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_divisions\Economic Analysis\Country Work\Zambia\ERR\Web Version Work\14 july\"/>
    </mc:Choice>
  </mc:AlternateContent>
  <bookViews>
    <workbookView xWindow="480" yWindow="30" windowWidth="14880" windowHeight="6135"/>
  </bookViews>
  <sheets>
    <sheet name="User's Guide" sheetId="35" r:id="rId1"/>
    <sheet name="Project Description" sheetId="32" r:id="rId2"/>
    <sheet name="ERR &amp; Sensitivity Analysis" sheetId="33" r:id="rId3"/>
    <sheet name="Combined Cost-Benefit" sheetId="34" r:id="rId4"/>
    <sheet name="ERR" sheetId="15" r:id="rId5"/>
    <sheet name="Cost" sheetId="20" r:id="rId6"/>
    <sheet name="Benefits" sheetId="17" r:id="rId7"/>
    <sheet name="health" sheetId="1" r:id="rId8"/>
    <sheet name="Health--Stunting" sheetId="13" r:id="rId9"/>
    <sheet name="Drainage" sheetId="14" r:id="rId10"/>
    <sheet name="Time Savings" sheetId="18" r:id="rId11"/>
    <sheet name="NRW" sheetId="19" r:id="rId12"/>
    <sheet name="Travel time analysis" sheetId="22" r:id="rId13"/>
    <sheet name="Sources" sheetId="8" r:id="rId14"/>
    <sheet name="Assumptions" sheetId="25" r:id="rId15"/>
    <sheet name="BA data" sheetId="23" r:id="rId16"/>
    <sheet name="Poverty Scorecard" sheetId="26" r:id="rId17"/>
    <sheet name="barchart" sheetId="29" r:id="rId18"/>
    <sheet name="barchart data" sheetId="2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LEX1955">'[1]summary-targets'!#REF!</definedName>
    <definedName name="__LEX1975">'[1]summary-targets'!#REF!</definedName>
    <definedName name="__LEX2025">'[1]summary-targets'!#REF!</definedName>
    <definedName name="__reg98">[2]whoreg!#REF!</definedName>
    <definedName name="_xlnm._FilterDatabase" localSheetId="6" hidden="1">Benefits!$A$1:$A$105</definedName>
    <definedName name="_xlnm._FilterDatabase" localSheetId="3" hidden="1">'Combined Cost-Benefit'!$A$1:$A$133</definedName>
    <definedName name="_xlnm._FilterDatabase" localSheetId="5" hidden="1">Cost!$A$1:$A$35</definedName>
    <definedName name="_xlnm._FilterDatabase" localSheetId="4" hidden="1">ERR!$A$1:$A$33</definedName>
    <definedName name="_xlnm._FilterDatabase" localSheetId="11" hidden="1">NRW!$A$1:$A$40</definedName>
    <definedName name="_xlnm._FilterDatabase" localSheetId="10" hidden="1">'Time Savings'!$A$1:$A$54</definedName>
    <definedName name="_LEX1955" localSheetId="6">'[3]summary-targets'!#REF!</definedName>
    <definedName name="_LEX1955" localSheetId="3">'[3]summary-targets'!#REF!</definedName>
    <definedName name="_LEX1955" localSheetId="5">'[3]summary-targets'!#REF!</definedName>
    <definedName name="_LEX1955" localSheetId="4">'[3]summary-targets'!#REF!</definedName>
    <definedName name="_LEX1955" localSheetId="11">'[3]summary-targets'!#REF!</definedName>
    <definedName name="_LEX1955" localSheetId="13">'[3]summary-targets'!#REF!</definedName>
    <definedName name="_LEX1955" localSheetId="10">'[3]summary-targets'!#REF!</definedName>
    <definedName name="_LEX1955">'[3]summary-targets'!#REF!</definedName>
    <definedName name="_LEX1975" localSheetId="6">'[3]summary-targets'!#REF!</definedName>
    <definedName name="_LEX1975" localSheetId="3">'[3]summary-targets'!#REF!</definedName>
    <definedName name="_LEX1975" localSheetId="5">'[3]summary-targets'!#REF!</definedName>
    <definedName name="_LEX1975" localSheetId="4">'[3]summary-targets'!#REF!</definedName>
    <definedName name="_LEX1975" localSheetId="11">'[3]summary-targets'!#REF!</definedName>
    <definedName name="_LEX1975" localSheetId="13">'[3]summary-targets'!#REF!</definedName>
    <definedName name="_LEX1975" localSheetId="10">'[3]summary-targets'!#REF!</definedName>
    <definedName name="_LEX1975">'[3]summary-targets'!#REF!</definedName>
    <definedName name="_LEX2025" localSheetId="6">'[3]summary-targets'!#REF!</definedName>
    <definedName name="_LEX2025" localSheetId="3">'[3]summary-targets'!#REF!</definedName>
    <definedName name="_LEX2025" localSheetId="5">'[3]summary-targets'!#REF!</definedName>
    <definedName name="_LEX2025" localSheetId="4">'[3]summary-targets'!#REF!</definedName>
    <definedName name="_LEX2025" localSheetId="11">'[3]summary-targets'!#REF!</definedName>
    <definedName name="_LEX2025" localSheetId="13">'[3]summary-targets'!#REF!</definedName>
    <definedName name="_LEX2025" localSheetId="10">'[3]summary-targets'!#REF!</definedName>
    <definedName name="_LEX2025">'[3]summary-targets'!#REF!</definedName>
    <definedName name="_LU1">[4]LU!$A$3:$V$57</definedName>
    <definedName name="_Ref264385662" localSheetId="15">'BA data'!$A$97</definedName>
    <definedName name="_reg98">[2]whoreg!#REF!</definedName>
    <definedName name="_resul">'[5]slop-inter'!$A$45:$AG$48</definedName>
    <definedName name="_yellowF" localSheetId="14">#REF!</definedName>
    <definedName name="_yellowF" localSheetId="15">#REF!</definedName>
    <definedName name="_yellowF" localSheetId="6">#REF!</definedName>
    <definedName name="_yellowF" localSheetId="3">#REF!</definedName>
    <definedName name="_yellowF" localSheetId="5">#REF!</definedName>
    <definedName name="_yellowF" localSheetId="9">#REF!</definedName>
    <definedName name="_yellowF" localSheetId="4">#REF!</definedName>
    <definedName name="_yellowF" localSheetId="11">#REF!</definedName>
    <definedName name="_yellowF" localSheetId="16">#REF!</definedName>
    <definedName name="_yellowF" localSheetId="13">#REF!</definedName>
    <definedName name="_yellowF" localSheetId="10">#REF!</definedName>
    <definedName name="_yellowF">#REF!</definedName>
    <definedName name="_yellowM" localSheetId="14">#REF!</definedName>
    <definedName name="_yellowM" localSheetId="15">#REF!</definedName>
    <definedName name="_yellowM" localSheetId="6">#REF!</definedName>
    <definedName name="_yellowM" localSheetId="3">#REF!</definedName>
    <definedName name="_yellowM" localSheetId="5">#REF!</definedName>
    <definedName name="_yellowM" localSheetId="9">#REF!</definedName>
    <definedName name="_yellowM" localSheetId="4">#REF!</definedName>
    <definedName name="_yellowM" localSheetId="11">#REF!</definedName>
    <definedName name="_yellowM" localSheetId="16">#REF!</definedName>
    <definedName name="_yellowM" localSheetId="13">#REF!</definedName>
    <definedName name="_yellowM" localSheetId="10">#REF!</definedName>
    <definedName name="_yellowM">#REF!</definedName>
    <definedName name="Addgrow" localSheetId="14">#REF!</definedName>
    <definedName name="Addgrow" localSheetId="15">#REF!</definedName>
    <definedName name="Addgrow" localSheetId="6">#REF!</definedName>
    <definedName name="Addgrow" localSheetId="3">#REF!</definedName>
    <definedName name="Addgrow" localSheetId="5">#REF!</definedName>
    <definedName name="Addgrow" localSheetId="9">#REF!</definedName>
    <definedName name="Addgrow" localSheetId="4">#REF!</definedName>
    <definedName name="Addgrow" localSheetId="11">#REF!</definedName>
    <definedName name="Addgrow" localSheetId="16">#REF!</definedName>
    <definedName name="Addgrow" localSheetId="13">#REF!</definedName>
    <definedName name="Addgrow" localSheetId="10">#REF!</definedName>
    <definedName name="Addgrow">#REF!</definedName>
    <definedName name="Annual_Eff_Benefit_2b">[6]Assumptions!$C$140</definedName>
    <definedName name="Annual_Eff_Benefit_2f">[6]Assumptions!$D$140</definedName>
    <definedName name="Annual_TS_Benefit_2b">[6]Assumptions!$C$126</definedName>
    <definedName name="Annual_TS_Benefit_2f">[6]Assumptions!$D$126</definedName>
    <definedName name="annwage" localSheetId="14">#REF!</definedName>
    <definedName name="annwage" localSheetId="15">#REF!</definedName>
    <definedName name="annwage" localSheetId="6">#REF!</definedName>
    <definedName name="annwage" localSheetId="3">#REF!</definedName>
    <definedName name="annwage" localSheetId="5">#REF!</definedName>
    <definedName name="annwage" localSheetId="9">#REF!</definedName>
    <definedName name="annwage" localSheetId="4">#REF!</definedName>
    <definedName name="annwage" localSheetId="11">#REF!</definedName>
    <definedName name="annwage" localSheetId="16">#REF!</definedName>
    <definedName name="annwage" localSheetId="13">#REF!</definedName>
    <definedName name="annwage" localSheetId="10">#REF!</definedName>
    <definedName name="annwage">#REF!</definedName>
    <definedName name="avgwage" localSheetId="14">'[7]Key Assumptions'!$G$9</definedName>
    <definedName name="avgwage" localSheetId="15">'[7]Key Assumptions'!$G$9</definedName>
    <definedName name="avgwage" localSheetId="6">'[7]Key Assumptions'!$G$9</definedName>
    <definedName name="avgwage" localSheetId="5">'[7]Key Assumptions'!$G$9</definedName>
    <definedName name="avgwage" localSheetId="9">'[7]Key Assumptions'!$G$9</definedName>
    <definedName name="avgwage" localSheetId="4">'[7]Key Assumptions'!$G$9</definedName>
    <definedName name="avgwage" localSheetId="8">'[7]Key Assumptions'!$G$9</definedName>
    <definedName name="avgwage" localSheetId="11">'[7]Key Assumptions'!$G$9</definedName>
    <definedName name="avgwage" localSheetId="16">'[7]Key Assumptions'!$G$9</definedName>
    <definedName name="avgwage" localSheetId="13">'[7]Key Assumptions'!$G$9</definedName>
    <definedName name="avgwage" localSheetId="10">'[7]Key Assumptions'!$G$9</definedName>
    <definedName name="avgwage">'[8]Key Assumptions'!$G$9</definedName>
    <definedName name="avoidedLoss">[9]OnFarm!$B$7</definedName>
    <definedName name="CB_1a26bd5dccc24da399e1ef642684b91f" localSheetId="2" hidden="1">'ERR &amp; Sensitivity Analysis'!#REF!</definedName>
    <definedName name="CB_21fd3b4c09dc428caa99db7ab391bb16" localSheetId="2" hidden="1">'ERR &amp; Sensitivity Analysis'!$D$13</definedName>
    <definedName name="CB_3be900a1508f4eafabf8087956dd6fde" localSheetId="2" hidden="1">'ERR &amp; Sensitivity Analysis'!#REF!</definedName>
    <definedName name="CB_77adbc97d2d84e87b6bd2b0647034066" localSheetId="2" hidden="1">'ERR &amp; Sensitivity Analysis'!#REF!</definedName>
    <definedName name="CB_81a46183bc2444daa8fbb1c567fde843" localSheetId="2" hidden="1">'ERR &amp; Sensitivity Analysis'!$D$17</definedName>
    <definedName name="CB_b8827ea14e17476d8c28fdadccc76bf3" localSheetId="2" hidden="1">'ERR &amp; Sensitivity Analysis'!#REF!</definedName>
    <definedName name="CB_cddd29dd3669483abcd8be7eabd016a1" localSheetId="2" hidden="1">'ERR &amp; Sensitivity Analysis'!$D$12</definedName>
    <definedName name="CBCR_6d6da4b106834a0c9191312e4e6116f3" localSheetId="2" hidden="1">'ERR &amp; Sensitivity Analysis'!#REF!</definedName>
    <definedName name="CBCR_d1bcd07f7c554f208b61d3a29177b005" localSheetId="2" hidden="1">'ERR &amp; Sensitivity Analysis'!$C$12</definedName>
    <definedName name="CBCR_da08fbc3e22d446b90bd2323a4dfc960" localSheetId="2" hidden="1">'ERR &amp; Sensitivity Analysis'!#REF!</definedName>
    <definedName name="CBCR_e136113f8aa04dc8abe85bb4c5cad7a2" localSheetId="2" hidden="1">'ERR &amp; Sensitivity Analysis'!#REF!</definedName>
    <definedName name="CBWorkbookPriority" localSheetId="0" hidden="1">-2100938669</definedName>
    <definedName name="CBWorkbookPriority" hidden="1">-1802552942</definedName>
    <definedName name="CBx_Sheet_Guid" localSheetId="2" hidden="1">"'7a9953af-a798-44e8-ae4e-7480b723f921"</definedName>
    <definedName name="CBx_StorageType" localSheetId="2" hidden="1">1</definedName>
    <definedName name="changebene">#REF!</definedName>
    <definedName name="changecosts">#REF!</definedName>
    <definedName name="changeinv">#REF!</definedName>
    <definedName name="Class1_wo_expt">#REF!</definedName>
    <definedName name="Class2_wo_expt">#REF!</definedName>
    <definedName name="Class3_wo_expt">#REF!</definedName>
    <definedName name="Clist" localSheetId="14">#REF!</definedName>
    <definedName name="Clist" localSheetId="15">#REF!</definedName>
    <definedName name="Clist" localSheetId="6">#REF!</definedName>
    <definedName name="Clist" localSheetId="5">#REF!</definedName>
    <definedName name="Clist" localSheetId="9">#REF!</definedName>
    <definedName name="Clist" localSheetId="4">#REF!</definedName>
    <definedName name="Clist" localSheetId="8">#REF!</definedName>
    <definedName name="Clist" localSheetId="11">#REF!</definedName>
    <definedName name="Clist" localSheetId="16">#REF!</definedName>
    <definedName name="Clist" localSheetId="13">#REF!</definedName>
    <definedName name="Clist" localSheetId="10">#REF!</definedName>
    <definedName name="Clist">#REF!</definedName>
    <definedName name="CODE" localSheetId="14">'[10]MEDIUM-2000 REVISION'!#REF!</definedName>
    <definedName name="CODE" localSheetId="15">'[10]MEDIUM-2000 REVISION'!#REF!</definedName>
    <definedName name="CODE" localSheetId="6">'[10]MEDIUM-2000 REVISION'!#REF!</definedName>
    <definedName name="CODE" localSheetId="5">'[10]MEDIUM-2000 REVISION'!#REF!</definedName>
    <definedName name="CODE" localSheetId="9">'[10]MEDIUM-2000 REVISION'!#REF!</definedName>
    <definedName name="CODE" localSheetId="4">'[10]MEDIUM-2000 REVISION'!#REF!</definedName>
    <definedName name="CODE" localSheetId="8">'[10]MEDIUM-2000 REVISION'!#REF!</definedName>
    <definedName name="CODE" localSheetId="11">'[10]MEDIUM-2000 REVISION'!#REF!</definedName>
    <definedName name="CODE" localSheetId="16">'[10]MEDIUM-2000 REVISION'!#REF!</definedName>
    <definedName name="CODE" localSheetId="13">'[10]MEDIUM-2000 REVISION'!#REF!</definedName>
    <definedName name="CODE" localSheetId="10">'[10]MEDIUM-2000 REVISION'!#REF!</definedName>
    <definedName name="CODE">'[10]MEDIUM-2000 REVISION'!#REF!</definedName>
    <definedName name="Corridor">[11]Benefits!$C$13</definedName>
    <definedName name="Current_water_shortfall_2B">[6]Assumptions!$C$51</definedName>
    <definedName name="Current_water_shortfall_2F">[6]Assumptions!$D$51</definedName>
    <definedName name="data" localSheetId="14">#REF!</definedName>
    <definedName name="data" localSheetId="15">#REF!</definedName>
    <definedName name="data" localSheetId="6">#REF!</definedName>
    <definedName name="data" localSheetId="3">#REF!</definedName>
    <definedName name="data" localSheetId="5">#REF!</definedName>
    <definedName name="data" localSheetId="9">#REF!</definedName>
    <definedName name="data" localSheetId="4">#REF!</definedName>
    <definedName name="data" localSheetId="11">#REF!</definedName>
    <definedName name="data" localSheetId="16">#REF!</definedName>
    <definedName name="data" localSheetId="13">#REF!</definedName>
    <definedName name="data" localSheetId="10">#REF!</definedName>
    <definedName name="data">#REF!</definedName>
    <definedName name="_xlnm.Database" localSheetId="14">#REF!</definedName>
    <definedName name="_xlnm.Database" localSheetId="15">#REF!</definedName>
    <definedName name="_xlnm.Database" localSheetId="6">#REF!</definedName>
    <definedName name="_xlnm.Database" localSheetId="3">#REF!</definedName>
    <definedName name="_xlnm.Database" localSheetId="5">#REF!</definedName>
    <definedName name="_xlnm.Database" localSheetId="9">#REF!</definedName>
    <definedName name="_xlnm.Database" localSheetId="4">#REF!</definedName>
    <definedName name="_xlnm.Database" localSheetId="11">#REF!</definedName>
    <definedName name="_xlnm.Database" localSheetId="16">#REF!</definedName>
    <definedName name="_xlnm.Database" localSheetId="13">#REF!</definedName>
    <definedName name="_xlnm.Database" localSheetId="10">#REF!</definedName>
    <definedName name="_xlnm.Database">#REF!</definedName>
    <definedName name="death_rate_stage_III_T">'[12]Diabetes Costs &amp; Benefits'!$C$26</definedName>
    <definedName name="death_rate_stage_III_UT">'[12]Diabetes Costs &amp; Benefits'!$C$25</definedName>
    <definedName name="death_rate_stage_IV_T">'[12]Hypertension Costs &amp; Benefits'!$C$28</definedName>
    <definedName name="death_rate_stage_IV_UT">'[12]Hypertension Costs &amp; Benefits'!$C$27</definedName>
    <definedName name="Demand_per_person_2010_2b">[6]Assumptions!$C$50</definedName>
    <definedName name="Demand_per_person_2010_2f">[6]Assumptions!$D$50</definedName>
    <definedName name="disc">[13]Assumptions!#REF!</definedName>
    <definedName name="disease_cases">[13]Assumptions!#REF!</definedName>
    <definedName name="DPY" localSheetId="14">'[7]Key Assumptions'!$G$24</definedName>
    <definedName name="DPY" localSheetId="15">'[7]Key Assumptions'!$G$24</definedName>
    <definedName name="DPY" localSheetId="6">'[7]Key Assumptions'!$G$24</definedName>
    <definedName name="DPY" localSheetId="5">'[7]Key Assumptions'!$G$24</definedName>
    <definedName name="DPY" localSheetId="9">'[7]Key Assumptions'!$G$24</definedName>
    <definedName name="DPY" localSheetId="4">'[7]Key Assumptions'!$G$24</definedName>
    <definedName name="DPY" localSheetId="8">'[7]Key Assumptions'!$G$24</definedName>
    <definedName name="DPY" localSheetId="11">'[7]Key Assumptions'!$G$24</definedName>
    <definedName name="DPY" localSheetId="16">'[7]Key Assumptions'!$G$24</definedName>
    <definedName name="DPY" localSheetId="13">'[7]Key Assumptions'!$G$24</definedName>
    <definedName name="DPY" localSheetId="10">'[7]Key Assumptions'!$G$24</definedName>
    <definedName name="DPY">'[8]Key Assumptions'!$G$24</definedName>
    <definedName name="ECF">[4]LU!$AF$8</definedName>
    <definedName name="eduwageadd">[13]Morogoro!$K$31</definedName>
    <definedName name="eduwagenr">[13]Morogoro!$K$29</definedName>
    <definedName name="elasticity">[11]Benefits!$C$12</definedName>
    <definedName name="EU_import_growth">[9]CoolChain!$B$10</definedName>
    <definedName name="EU_share">[9]CoolChain!$B$15</definedName>
    <definedName name="exch">[13]Assumptions!$F$7</definedName>
    <definedName name="farm_density">[11]Benefits!$C$15</definedName>
    <definedName name="FBO_outgrowers">[9]CoolChain!$B$18</definedName>
    <definedName name="GBDageD95">[14]Deaths!$A$1:$T$643</definedName>
    <definedName name="GM_param">[11]Benefits!#REF!</definedName>
    <definedName name="grow">[13]Assumptions!$F$8</definedName>
    <definedName name="Growth_Rate">[11]Benefits!$C$14</definedName>
    <definedName name="home">'[5]slop-inter'!$D$1:$F$1</definedName>
    <definedName name="I_to_II_T_W">'[12]Hypertension Costs &amp; Benefits'!$J$82</definedName>
    <definedName name="I_to_II_T_WO">'[12]Hypertension Costs &amp; Benefits'!$J$32</definedName>
    <definedName name="I_to_II_UT">'[12]Hypertension Costs &amp; Benefits'!$E$32</definedName>
    <definedName name="II_t0_III_T_WO">'[12]Hypertension Costs &amp; Benefits'!$J$33</definedName>
    <definedName name="II_t0_III_UT">'[12]Hypertension Costs &amp; Benefits'!$E$33</definedName>
    <definedName name="II_to_III_T_W">'[12]Hypertension Costs &amp; Benefits'!$J$83</definedName>
    <definedName name="II_to_III_UT">'[12]Diabetes Costs &amp; Benefits'!$E$31</definedName>
    <definedName name="III_to_IV_T_W">'[12]Hypertension Costs &amp; Benefits'!$J$84</definedName>
    <definedName name="III_to_IV_T_WO">'[12]Hypertension Costs &amp; Benefits'!$J$34</definedName>
    <definedName name="III_to_IV_UT">'[12]Hypertension Costs &amp; Benefits'!$E$34</definedName>
    <definedName name="improved_outgrower_prod_ha">[9]CoolChain!$B$17</definedName>
    <definedName name="Include_Rpymt">[6]Assumptions!$E$145</definedName>
    <definedName name="Include_TSB">[6]Assumptions!$E$144</definedName>
    <definedName name="Include_WLR">[6]Assumptions!$E$143</definedName>
    <definedName name="income_p">'[12]Hypertension Costs &amp; Benefits'!$E$6</definedName>
    <definedName name="incrnetchange">#REF!</definedName>
    <definedName name="incrswitch">#REF!</definedName>
    <definedName name="infl" localSheetId="14">'[7]Key Assumptions'!$G$38</definedName>
    <definedName name="infl" localSheetId="15">'[7]Key Assumptions'!$G$38</definedName>
    <definedName name="infl" localSheetId="6">'[7]Key Assumptions'!$G$38</definedName>
    <definedName name="infl" localSheetId="5">'[7]Key Assumptions'!$G$38</definedName>
    <definedName name="infl" localSheetId="9">'[7]Key Assumptions'!$G$38</definedName>
    <definedName name="infl" localSheetId="4">'[7]Key Assumptions'!$G$38</definedName>
    <definedName name="infl" localSheetId="8">'[7]Key Assumptions'!$G$38</definedName>
    <definedName name="infl" localSheetId="11">'[7]Key Assumptions'!$G$38</definedName>
    <definedName name="infl" localSheetId="16">'[7]Key Assumptions'!$G$38</definedName>
    <definedName name="infl" localSheetId="13">'[7]Key Assumptions'!$G$38</definedName>
    <definedName name="infl" localSheetId="10">'[7]Key Assumptions'!$G$38</definedName>
    <definedName name="infl">'[8]Key Assumptions'!$G$38</definedName>
    <definedName name="Kanyama" localSheetId="14">[15]Setup!#REF!</definedName>
    <definedName name="Kanyama" localSheetId="15">[15]Setup!#REF!</definedName>
    <definedName name="Kanyama" localSheetId="6">[15]Setup!#REF!</definedName>
    <definedName name="Kanyama" localSheetId="5">[15]Setup!#REF!</definedName>
    <definedName name="Kanyama" localSheetId="9">[15]Setup!#REF!</definedName>
    <definedName name="Kanyama" localSheetId="4">[15]Setup!#REF!</definedName>
    <definedName name="Kanyama" localSheetId="8">[15]Setup!#REF!</definedName>
    <definedName name="Kanyama" localSheetId="11">[15]Setup!#REF!</definedName>
    <definedName name="Kanyama" localSheetId="16">[15]Setup!#REF!</definedName>
    <definedName name="Kanyama" localSheetId="13">[15]Setup!#REF!</definedName>
    <definedName name="Kanyama" localSheetId="10">[15]Setup!#REF!</definedName>
    <definedName name="Kanyama">[15]Setup!#REF!</definedName>
    <definedName name="label">[5]lx!$D$1788:$E$1825</definedName>
    <definedName name="LCC" localSheetId="14">'[7]Key Assumptions'!$G$38</definedName>
    <definedName name="LCC" localSheetId="15">'[7]Key Assumptions'!$G$38</definedName>
    <definedName name="LCC" localSheetId="6">'[7]Key Assumptions'!$G$38</definedName>
    <definedName name="LCC" localSheetId="5">'[7]Key Assumptions'!$G$38</definedName>
    <definedName name="LCC" localSheetId="9">'[7]Key Assumptions'!$G$38</definedName>
    <definedName name="LCC" localSheetId="4">'[7]Key Assumptions'!$G$38</definedName>
    <definedName name="LCC" localSheetId="8">'[7]Key Assumptions'!$G$38</definedName>
    <definedName name="LCC" localSheetId="11">'[7]Key Assumptions'!$G$38</definedName>
    <definedName name="LCC" localSheetId="16">'[7]Key Assumptions'!$G$38</definedName>
    <definedName name="LCC" localSheetId="13">'[7]Key Assumptions'!$G$38</definedName>
    <definedName name="LCC" localSheetId="10">'[7]Key Assumptions'!$G$38</definedName>
    <definedName name="LCC">'[8]Key Assumptions'!$G$38</definedName>
    <definedName name="Lessgrow" localSheetId="14">#REF!</definedName>
    <definedName name="Lessgrow" localSheetId="15">#REF!</definedName>
    <definedName name="Lessgrow" localSheetId="6">#REF!</definedName>
    <definedName name="Lessgrow" localSheetId="3">#REF!</definedName>
    <definedName name="Lessgrow" localSheetId="5">#REF!</definedName>
    <definedName name="Lessgrow" localSheetId="9">#REF!</definedName>
    <definedName name="Lessgrow" localSheetId="4">#REF!</definedName>
    <definedName name="Lessgrow" localSheetId="11">#REF!</definedName>
    <definedName name="Lessgrow" localSheetId="16">#REF!</definedName>
    <definedName name="Lessgrow" localSheetId="13">#REF!</definedName>
    <definedName name="Lessgrow" localSheetId="10">#REF!</definedName>
    <definedName name="Lessgrow">#REF!</definedName>
    <definedName name="list">[13]Assumptions!#REF!</definedName>
    <definedName name="listtt" localSheetId="14">#REF!</definedName>
    <definedName name="listtt" localSheetId="15">#REF!</definedName>
    <definedName name="listtt" localSheetId="6">#REF!</definedName>
    <definedName name="listtt" localSheetId="3">#REF!</definedName>
    <definedName name="listtt" localSheetId="5">#REF!</definedName>
    <definedName name="listtt" localSheetId="9">#REF!</definedName>
    <definedName name="listtt" localSheetId="4">#REF!</definedName>
    <definedName name="listtt" localSheetId="11">#REF!</definedName>
    <definedName name="listtt" localSheetId="16">#REF!</definedName>
    <definedName name="listtt" localSheetId="13">#REF!</definedName>
    <definedName name="listtt" localSheetId="10">#REF!</definedName>
    <definedName name="listtt">#REF!</definedName>
    <definedName name="Loss_Rate_Tech_Post">[6]Assumptions!$E$64</definedName>
    <definedName name="Loss_Rate_Tech_Pre">[6]Assumptions!$E$58</definedName>
    <definedName name="lpb">[13]Assumptions!$F$6</definedName>
    <definedName name="LUsum">[4]Summary!$A$6:$S$16</definedName>
    <definedName name="lva" localSheetId="14">'[7]Key Assumptions'!$G$37</definedName>
    <definedName name="lva" localSheetId="15">'[7]Key Assumptions'!$G$37</definedName>
    <definedName name="lva" localSheetId="6">'[7]Key Assumptions'!$G$37</definedName>
    <definedName name="lva" localSheetId="5">'[7]Key Assumptions'!$G$37</definedName>
    <definedName name="lva" localSheetId="9">'[7]Key Assumptions'!$G$37</definedName>
    <definedName name="lva" localSheetId="4">'[7]Key Assumptions'!$G$37</definedName>
    <definedName name="lva" localSheetId="8">'[7]Key Assumptions'!$G$37</definedName>
    <definedName name="lva" localSheetId="11">'[7]Key Assumptions'!$G$37</definedName>
    <definedName name="lva" localSheetId="16">'[7]Key Assumptions'!$G$37</definedName>
    <definedName name="lva" localSheetId="13">'[7]Key Assumptions'!$G$37</definedName>
    <definedName name="lva" localSheetId="10">'[7]Key Assumptions'!$G$37</definedName>
    <definedName name="lva">'[8]Key Assumptions'!$G$37</definedName>
    <definedName name="major_works_impact">[11]Benefits!$C$11</definedName>
    <definedName name="minor_works_impact">[11]Benefits!$C$10</definedName>
    <definedName name="nmarkup">[13]Assumptions!#REF!</definedName>
    <definedName name="nucleus_growth">[9]CoolChain!$B$14</definedName>
    <definedName name="nucleus_prod">[9]CoolChain!$C$25</definedName>
    <definedName name="omcost">[13]Assumptions!$F$9</definedName>
    <definedName name="outgrower_growth">[16]Sheet1!$C$15</definedName>
    <definedName name="outgrower_prod_ha">[9]CoolChain!$C$26</definedName>
    <definedName name="PA" localSheetId="14">#REF!</definedName>
    <definedName name="PA" localSheetId="15">#REF!</definedName>
    <definedName name="PA" localSheetId="6">#REF!</definedName>
    <definedName name="PA" localSheetId="3">#REF!</definedName>
    <definedName name="PA" localSheetId="5">#REF!</definedName>
    <definedName name="PA" localSheetId="9">#REF!</definedName>
    <definedName name="PA" localSheetId="4">#REF!</definedName>
    <definedName name="PA" localSheetId="11">#REF!</definedName>
    <definedName name="PA" localSheetId="16">#REF!</definedName>
    <definedName name="PA" localSheetId="13">#REF!</definedName>
    <definedName name="PA" localSheetId="10">#REF!</definedName>
    <definedName name="PA">#REF!</definedName>
    <definedName name="PeriodicMain">[11]Costs!$C$9</definedName>
    <definedName name="pop" localSheetId="14">[15]Setup!#REF!</definedName>
    <definedName name="pop" localSheetId="15">[15]Setup!#REF!</definedName>
    <definedName name="pop" localSheetId="6">[15]Setup!#REF!</definedName>
    <definedName name="pop" localSheetId="5">[15]Setup!#REF!</definedName>
    <definedName name="pop" localSheetId="9">[15]Setup!#REF!</definedName>
    <definedName name="pop" localSheetId="4">[15]Setup!#REF!</definedName>
    <definedName name="pop" localSheetId="8">[15]Setup!#REF!</definedName>
    <definedName name="pop" localSheetId="11">[15]Setup!#REF!</definedName>
    <definedName name="pop" localSheetId="16">[15]Setup!#REF!</definedName>
    <definedName name="pop" localSheetId="13">[15]Setup!#REF!</definedName>
    <definedName name="pop" localSheetId="10">[15]Setup!#REF!</definedName>
    <definedName name="pop">[15]Setup!#REF!</definedName>
    <definedName name="pop_growth">'[12]Hypertension Costs &amp; Benefits'!$C$5</definedName>
    <definedName name="ppp" localSheetId="14">[17]Setup!#REF!</definedName>
    <definedName name="ppp" localSheetId="15">[17]Setup!#REF!</definedName>
    <definedName name="ppp" localSheetId="6">[17]Setup!#REF!</definedName>
    <definedName name="ppp" localSheetId="5">[17]Setup!#REF!</definedName>
    <definedName name="ppp" localSheetId="9">[17]Setup!#REF!</definedName>
    <definedName name="ppp" localSheetId="4">[17]Setup!#REF!</definedName>
    <definedName name="ppp" localSheetId="8">[17]Setup!#REF!</definedName>
    <definedName name="ppp" localSheetId="11">[17]Setup!#REF!</definedName>
    <definedName name="ppp" localSheetId="16">[17]Setup!#REF!</definedName>
    <definedName name="ppp" localSheetId="13">[17]Setup!#REF!</definedName>
    <definedName name="ppp" localSheetId="10">[17]Setup!#REF!</definedName>
    <definedName name="ppp">[17]Setup!#REF!</definedName>
    <definedName name="_xlnm.Print_Area" localSheetId="14">#REF!</definedName>
    <definedName name="_xlnm.Print_Area" localSheetId="15">#REF!</definedName>
    <definedName name="_xlnm.Print_Area" localSheetId="6">#REF!</definedName>
    <definedName name="_xlnm.Print_Area" localSheetId="3">#REF!</definedName>
    <definedName name="_xlnm.Print_Area" localSheetId="5">#REF!</definedName>
    <definedName name="_xlnm.Print_Area" localSheetId="9">#REF!</definedName>
    <definedName name="_xlnm.Print_Area" localSheetId="4">#REF!</definedName>
    <definedName name="_xlnm.Print_Area" localSheetId="2">'ERR &amp; Sensitivity Analysis'!$A$1:$G$73</definedName>
    <definedName name="_xlnm.Print_Area" localSheetId="11">NRW!$A$1:$X$57</definedName>
    <definedName name="_xlnm.Print_Area" localSheetId="16">#REF!</definedName>
    <definedName name="_xlnm.Print_Area" localSheetId="13">#REF!</definedName>
    <definedName name="_xlnm.Print_Area" localSheetId="10">#REF!</definedName>
    <definedName name="_xlnm.Print_Area">#REF!</definedName>
    <definedName name="PrintAr2" localSheetId="14">#REF!</definedName>
    <definedName name="PrintAr2" localSheetId="15">#REF!</definedName>
    <definedName name="PrintAr2" localSheetId="6">#REF!</definedName>
    <definedName name="PrintAr2" localSheetId="3">#REF!</definedName>
    <definedName name="PrintAr2" localSheetId="5">#REF!</definedName>
    <definedName name="PrintAr2" localSheetId="9">#REF!</definedName>
    <definedName name="PrintAr2" localSheetId="4">#REF!</definedName>
    <definedName name="PrintAr2" localSheetId="11">#REF!</definedName>
    <definedName name="PrintAr2" localSheetId="16">#REF!</definedName>
    <definedName name="PrintAr2" localSheetId="13">#REF!</definedName>
    <definedName name="PrintAr2" localSheetId="10">#REF!</definedName>
    <definedName name="PrintAr2">#REF!</definedName>
    <definedName name="prod">'[18]Key Assumptions'!$H$41</definedName>
    <definedName name="regeco98">[2]whoregeco!#REF!</definedName>
    <definedName name="RoutineMain">[11]Costs!$C$8</definedName>
    <definedName name="Savings_per_m3">[6]Assumptions!$E$72</definedName>
    <definedName name="Scale_Benefits">[6]Assumptions!$E$146</definedName>
    <definedName name="SlopeF" localSheetId="14">#REF!</definedName>
    <definedName name="SlopeF" localSheetId="15">#REF!</definedName>
    <definedName name="SlopeF" localSheetId="6">#REF!</definedName>
    <definedName name="SlopeF" localSheetId="3">#REF!</definedName>
    <definedName name="SlopeF" localSheetId="5">#REF!</definedName>
    <definedName name="SlopeF" localSheetId="9">#REF!</definedName>
    <definedName name="SlopeF" localSheetId="4">#REF!</definedName>
    <definedName name="SlopeF" localSheetId="11">#REF!</definedName>
    <definedName name="SlopeF" localSheetId="16">#REF!</definedName>
    <definedName name="SlopeF" localSheetId="13">#REF!</definedName>
    <definedName name="SlopeF" localSheetId="10">#REF!</definedName>
    <definedName name="SlopeF">#REF!</definedName>
    <definedName name="slopeintercept">'[19]intercept+slope projections'!$A$3:$H$29</definedName>
    <definedName name="slopeM" localSheetId="14">#REF!</definedName>
    <definedName name="slopeM" localSheetId="15">#REF!</definedName>
    <definedName name="slopeM" localSheetId="6">#REF!</definedName>
    <definedName name="slopeM" localSheetId="3">#REF!</definedName>
    <definedName name="slopeM" localSheetId="5">#REF!</definedName>
    <definedName name="slopeM" localSheetId="9">#REF!</definedName>
    <definedName name="slopeM" localSheetId="4">#REF!</definedName>
    <definedName name="slopeM" localSheetId="11">#REF!</definedName>
    <definedName name="slopeM" localSheetId="16">#REF!</definedName>
    <definedName name="slopeM" localSheetId="13">#REF!</definedName>
    <definedName name="slopeM" localSheetId="10">#REF!</definedName>
    <definedName name="slopeM">#REF!</definedName>
    <definedName name="sort1">'[19]intercept+slope projections'!$A$3:$B$29</definedName>
    <definedName name="sort2">'[19]intercept+slope projections'!$D$3:$F$29</definedName>
    <definedName name="sort3">'[19]intercept+slope projections'!$E$3:$F$29</definedName>
    <definedName name="sort4">'[19]intercept+slope projections'!$G$3:$H$29</definedName>
    <definedName name="SPSS" localSheetId="14">#REF!</definedName>
    <definedName name="SPSS" localSheetId="15">#REF!</definedName>
    <definedName name="SPSS" localSheetId="6">#REF!</definedName>
    <definedName name="SPSS" localSheetId="3">#REF!</definedName>
    <definedName name="SPSS" localSheetId="5">#REF!</definedName>
    <definedName name="SPSS" localSheetId="9">#REF!</definedName>
    <definedName name="SPSS" localSheetId="4">#REF!</definedName>
    <definedName name="SPSS" localSheetId="11">#REF!</definedName>
    <definedName name="SPSS" localSheetId="16">#REF!</definedName>
    <definedName name="SPSS" localSheetId="13">#REF!</definedName>
    <definedName name="SPSS" localSheetId="10">#REF!</definedName>
    <definedName name="SPSS">#REF!</definedName>
    <definedName name="UWSSA">[13]Assumptions!$E$14:$E$16</definedName>
    <definedName name="year">'[19]intercept+slope projections'!$A$3:$A$29</definedName>
    <definedName name="Year1">[13]Assumptions!$F$5</definedName>
    <definedName name="yll" localSheetId="14">[17]Setup!#REF!</definedName>
    <definedName name="yll" localSheetId="15">[17]Setup!#REF!</definedName>
    <definedName name="yll" localSheetId="6">[17]Setup!#REF!</definedName>
    <definedName name="yll" localSheetId="5">[17]Setup!#REF!</definedName>
    <definedName name="yll" localSheetId="9">[17]Setup!#REF!</definedName>
    <definedName name="yll" localSheetId="4">[17]Setup!#REF!</definedName>
    <definedName name="yll" localSheetId="8">[17]Setup!#REF!</definedName>
    <definedName name="yll" localSheetId="11">[17]Setup!#REF!</definedName>
    <definedName name="yll" localSheetId="16">[17]Setup!#REF!</definedName>
    <definedName name="yll" localSheetId="13">[17]Setup!#REF!</definedName>
    <definedName name="yll" localSheetId="10">[17]Setup!#REF!</definedName>
    <definedName name="yll">[17]Setup!#REF!</definedName>
    <definedName name="yll00" localSheetId="14">[15]Setup!#REF!</definedName>
    <definedName name="yll00" localSheetId="15">[15]Setup!#REF!</definedName>
    <definedName name="yll00" localSheetId="6">[15]Setup!#REF!</definedName>
    <definedName name="yll00" localSheetId="5">[15]Setup!#REF!</definedName>
    <definedName name="yll00" localSheetId="9">[15]Setup!#REF!</definedName>
    <definedName name="yll00" localSheetId="4">[15]Setup!#REF!</definedName>
    <definedName name="yll00" localSheetId="8">[15]Setup!#REF!</definedName>
    <definedName name="yll00" localSheetId="11">[15]Setup!#REF!</definedName>
    <definedName name="yll00" localSheetId="16">[15]Setup!#REF!</definedName>
    <definedName name="yll00" localSheetId="13">[15]Setup!#REF!</definedName>
    <definedName name="yll00" localSheetId="10">[15]Setup!#REF!</definedName>
    <definedName name="yll00">[15]Setup!#REF!</definedName>
    <definedName name="yll13">[15]Setup!#REF!</definedName>
  </definedNames>
  <calcPr calcId="152511"/>
</workbook>
</file>

<file path=xl/calcChain.xml><?xml version="1.0" encoding="utf-8"?>
<calcChain xmlns="http://schemas.openxmlformats.org/spreadsheetml/2006/main">
  <c r="M28" i="34" l="1"/>
  <c r="M27" i="34"/>
  <c r="M26" i="34"/>
  <c r="M25" i="34"/>
  <c r="M24" i="34"/>
  <c r="E48" i="1" l="1"/>
  <c r="D13" i="33"/>
  <c r="D9" i="33"/>
  <c r="D10" i="33"/>
  <c r="B17" i="1" l="1"/>
  <c r="I9" i="20" l="1"/>
  <c r="I16" i="20"/>
  <c r="Y107" i="34"/>
  <c r="X107" i="34"/>
  <c r="W107" i="34"/>
  <c r="V107" i="34"/>
  <c r="U107" i="34"/>
  <c r="T107" i="34"/>
  <c r="S107" i="34"/>
  <c r="R107" i="34"/>
  <c r="Q107" i="34"/>
  <c r="P107" i="34"/>
  <c r="O107" i="34"/>
  <c r="N107" i="34"/>
  <c r="M107" i="34"/>
  <c r="L107" i="34"/>
  <c r="K107" i="34"/>
  <c r="J107" i="34"/>
  <c r="I107" i="34"/>
  <c r="H107" i="34"/>
  <c r="G107" i="34"/>
  <c r="F107" i="34"/>
  <c r="E107" i="34"/>
  <c r="Y106" i="34"/>
  <c r="X106" i="34"/>
  <c r="W106" i="34"/>
  <c r="V106" i="34"/>
  <c r="U106" i="34"/>
  <c r="T106" i="34"/>
  <c r="S106" i="34"/>
  <c r="R106" i="34"/>
  <c r="Q106" i="34"/>
  <c r="P106" i="34"/>
  <c r="O106" i="34"/>
  <c r="N106" i="34"/>
  <c r="M106" i="34"/>
  <c r="L106" i="34"/>
  <c r="K106" i="34"/>
  <c r="J106" i="34"/>
  <c r="I106" i="34"/>
  <c r="H106" i="34"/>
  <c r="G106" i="34"/>
  <c r="F106" i="34"/>
  <c r="E106" i="34"/>
  <c r="D104" i="34"/>
  <c r="Y102" i="34"/>
  <c r="X102" i="34"/>
  <c r="W102" i="34"/>
  <c r="V102" i="34"/>
  <c r="U102" i="34"/>
  <c r="T102" i="34"/>
  <c r="S102" i="34"/>
  <c r="R102" i="34"/>
  <c r="Q102" i="34"/>
  <c r="P102" i="34"/>
  <c r="O102" i="34"/>
  <c r="N102" i="34"/>
  <c r="M102" i="34"/>
  <c r="L102" i="34"/>
  <c r="K102" i="34"/>
  <c r="J102" i="34"/>
  <c r="I102" i="34"/>
  <c r="H102" i="34"/>
  <c r="G102" i="34"/>
  <c r="F102" i="34"/>
  <c r="E102" i="34"/>
  <c r="D98" i="34"/>
  <c r="Y96" i="34"/>
  <c r="X96" i="34"/>
  <c r="W96" i="34"/>
  <c r="V96" i="34"/>
  <c r="U96" i="34"/>
  <c r="T96" i="34"/>
  <c r="S96" i="34"/>
  <c r="R96" i="34"/>
  <c r="Q96" i="34"/>
  <c r="P96" i="34"/>
  <c r="O96" i="34"/>
  <c r="N96" i="34"/>
  <c r="M96" i="34"/>
  <c r="L96" i="34"/>
  <c r="K96" i="34"/>
  <c r="J96" i="34"/>
  <c r="I96" i="34"/>
  <c r="H96" i="34"/>
  <c r="G96" i="34"/>
  <c r="F96" i="34"/>
  <c r="E96" i="34"/>
  <c r="D92" i="34"/>
  <c r="Y90" i="34"/>
  <c r="X90" i="34"/>
  <c r="W90" i="34"/>
  <c r="V90" i="34"/>
  <c r="U90" i="34"/>
  <c r="T90" i="34"/>
  <c r="S90" i="34"/>
  <c r="R90" i="34"/>
  <c r="Q90" i="34"/>
  <c r="P90" i="34"/>
  <c r="O90" i="34"/>
  <c r="N90" i="34"/>
  <c r="M90" i="34"/>
  <c r="L90" i="34"/>
  <c r="K90" i="34"/>
  <c r="J90" i="34"/>
  <c r="I90" i="34"/>
  <c r="H90" i="34"/>
  <c r="G90" i="34"/>
  <c r="F90" i="34"/>
  <c r="E90" i="34"/>
  <c r="D85" i="34"/>
  <c r="Y83" i="34"/>
  <c r="X83" i="34"/>
  <c r="W83" i="34"/>
  <c r="V83" i="34"/>
  <c r="U83" i="34"/>
  <c r="T83" i="34"/>
  <c r="S83" i="34"/>
  <c r="R83" i="34"/>
  <c r="Q83" i="34"/>
  <c r="P83" i="34"/>
  <c r="O83" i="34"/>
  <c r="N83" i="34"/>
  <c r="M83" i="34"/>
  <c r="L83" i="34"/>
  <c r="K83" i="34"/>
  <c r="J83" i="34"/>
  <c r="I83" i="34"/>
  <c r="H83" i="34"/>
  <c r="G83" i="34"/>
  <c r="F83" i="34"/>
  <c r="E83" i="34"/>
  <c r="D78" i="34"/>
  <c r="Y76" i="34"/>
  <c r="X76" i="34"/>
  <c r="W76" i="34"/>
  <c r="V76" i="34"/>
  <c r="U76" i="34"/>
  <c r="T76" i="34"/>
  <c r="S76" i="34"/>
  <c r="R76" i="34"/>
  <c r="Q76" i="34"/>
  <c r="P76" i="34"/>
  <c r="O76" i="34"/>
  <c r="N76" i="34"/>
  <c r="M76" i="34"/>
  <c r="L76" i="34"/>
  <c r="K76" i="34"/>
  <c r="J76" i="34"/>
  <c r="I76" i="34"/>
  <c r="H76" i="34"/>
  <c r="G76" i="34"/>
  <c r="F76" i="34"/>
  <c r="E76" i="34"/>
  <c r="D72" i="34"/>
  <c r="Y70" i="34"/>
  <c r="X70" i="34"/>
  <c r="W70" i="34"/>
  <c r="V70" i="34"/>
  <c r="U70" i="34"/>
  <c r="T70" i="34"/>
  <c r="S70" i="34"/>
  <c r="R70" i="34"/>
  <c r="Q70" i="34"/>
  <c r="P70" i="34"/>
  <c r="O70" i="34"/>
  <c r="N70" i="34"/>
  <c r="M70" i="34"/>
  <c r="L70" i="34"/>
  <c r="K70" i="34"/>
  <c r="J70" i="34"/>
  <c r="I70" i="34"/>
  <c r="H70" i="34"/>
  <c r="G70" i="34"/>
  <c r="F70" i="34"/>
  <c r="E70" i="34"/>
  <c r="D66" i="34"/>
  <c r="Y64" i="34"/>
  <c r="X64" i="34"/>
  <c r="W64" i="34"/>
  <c r="V64" i="34"/>
  <c r="U64" i="34"/>
  <c r="T64" i="34"/>
  <c r="S64" i="34"/>
  <c r="R64" i="34"/>
  <c r="Q64" i="34"/>
  <c r="P64" i="34"/>
  <c r="O64" i="34"/>
  <c r="N64" i="34"/>
  <c r="M64" i="34"/>
  <c r="L64" i="34"/>
  <c r="K64" i="34"/>
  <c r="J64" i="34"/>
  <c r="I64" i="34"/>
  <c r="H64" i="34"/>
  <c r="G64" i="34"/>
  <c r="F64" i="34"/>
  <c r="E64" i="34"/>
  <c r="D60" i="34"/>
  <c r="Y58" i="34"/>
  <c r="X58" i="34"/>
  <c r="W58" i="34"/>
  <c r="V58" i="34"/>
  <c r="U58" i="34"/>
  <c r="T58" i="34"/>
  <c r="S58" i="34"/>
  <c r="R58" i="34"/>
  <c r="Q58" i="34"/>
  <c r="P58" i="34"/>
  <c r="O58" i="34"/>
  <c r="N58" i="34"/>
  <c r="M58" i="34"/>
  <c r="L58" i="34"/>
  <c r="K58" i="34"/>
  <c r="J58" i="34"/>
  <c r="I58" i="34"/>
  <c r="H58" i="34"/>
  <c r="G58" i="34"/>
  <c r="F58" i="34"/>
  <c r="E58" i="34"/>
  <c r="D54" i="34"/>
  <c r="Y52" i="34"/>
  <c r="X52" i="34"/>
  <c r="W52" i="34"/>
  <c r="V52" i="34"/>
  <c r="U52" i="34"/>
  <c r="T52" i="34"/>
  <c r="S52" i="34"/>
  <c r="R52" i="34"/>
  <c r="Q52" i="34"/>
  <c r="P52" i="34"/>
  <c r="O52" i="34"/>
  <c r="N52" i="34"/>
  <c r="M52" i="34"/>
  <c r="L52" i="34"/>
  <c r="K52" i="34"/>
  <c r="J52" i="34"/>
  <c r="I52" i="34"/>
  <c r="H52" i="34"/>
  <c r="G52" i="34"/>
  <c r="F52" i="34"/>
  <c r="E52" i="34"/>
  <c r="D48" i="34"/>
  <c r="Y46" i="34"/>
  <c r="X46" i="34"/>
  <c r="AT48" i="34" s="1"/>
  <c r="W46" i="34"/>
  <c r="AS48" i="34" s="1"/>
  <c r="V46" i="34"/>
  <c r="AR48" i="34" s="1"/>
  <c r="U46" i="34"/>
  <c r="AQ48" i="34" s="1"/>
  <c r="T46" i="34"/>
  <c r="AP48" i="34" s="1"/>
  <c r="S46" i="34"/>
  <c r="AO48" i="34" s="1"/>
  <c r="R46" i="34"/>
  <c r="AN48" i="34" s="1"/>
  <c r="Q46" i="34"/>
  <c r="AM48" i="34" s="1"/>
  <c r="P46" i="34"/>
  <c r="AL48" i="34" s="1"/>
  <c r="O46" i="34"/>
  <c r="AK48" i="34" s="1"/>
  <c r="N46" i="34"/>
  <c r="AJ48" i="34" s="1"/>
  <c r="M46" i="34"/>
  <c r="AI48" i="34" s="1"/>
  <c r="L46" i="34"/>
  <c r="AH48" i="34" s="1"/>
  <c r="K46" i="34"/>
  <c r="AG48" i="34" s="1"/>
  <c r="J46" i="34"/>
  <c r="AF48" i="34" s="1"/>
  <c r="I46" i="34"/>
  <c r="AE48" i="34" s="1"/>
  <c r="H46" i="34"/>
  <c r="AD48" i="34" s="1"/>
  <c r="G46" i="34"/>
  <c r="AC48" i="34" s="1"/>
  <c r="F46" i="34"/>
  <c r="AB48" i="34" s="1"/>
  <c r="E46" i="34"/>
  <c r="D42" i="34"/>
  <c r="Y40" i="34"/>
  <c r="X40" i="34"/>
  <c r="W40" i="34"/>
  <c r="V40" i="34"/>
  <c r="U40" i="34"/>
  <c r="T40" i="34"/>
  <c r="S40" i="34"/>
  <c r="R40" i="34"/>
  <c r="Q40" i="34"/>
  <c r="P40" i="34"/>
  <c r="O40" i="34"/>
  <c r="N40" i="34"/>
  <c r="M40" i="34"/>
  <c r="L40" i="34"/>
  <c r="K40" i="34"/>
  <c r="J40" i="34"/>
  <c r="I40" i="34"/>
  <c r="H40" i="34"/>
  <c r="G40" i="34"/>
  <c r="F40" i="34"/>
  <c r="E40" i="34"/>
  <c r="F35" i="34"/>
  <c r="G35" i="34" s="1"/>
  <c r="H35" i="34" s="1"/>
  <c r="I35" i="34" s="1"/>
  <c r="J35" i="34" s="1"/>
  <c r="K35" i="34" s="1"/>
  <c r="L35" i="34" s="1"/>
  <c r="M35" i="34" s="1"/>
  <c r="N35" i="34" s="1"/>
  <c r="O35" i="34" s="1"/>
  <c r="P35" i="34" s="1"/>
  <c r="Q35" i="34" s="1"/>
  <c r="R35" i="34" s="1"/>
  <c r="S35" i="34" s="1"/>
  <c r="T35" i="34" s="1"/>
  <c r="U35" i="34" s="1"/>
  <c r="V35" i="34" s="1"/>
  <c r="W35" i="34" s="1"/>
  <c r="X35" i="34" s="1"/>
  <c r="Y35" i="34" s="1"/>
  <c r="F34" i="34"/>
  <c r="G34" i="34" s="1"/>
  <c r="H34" i="34" s="1"/>
  <c r="I34" i="34" s="1"/>
  <c r="J34" i="34" s="1"/>
  <c r="K34" i="34" s="1"/>
  <c r="L34" i="34" s="1"/>
  <c r="M34" i="34" s="1"/>
  <c r="N34" i="34" s="1"/>
  <c r="O34" i="34" s="1"/>
  <c r="P34" i="34" s="1"/>
  <c r="Q34" i="34" s="1"/>
  <c r="R34" i="34" s="1"/>
  <c r="S34" i="34" s="1"/>
  <c r="T34" i="34" s="1"/>
  <c r="U34" i="34" s="1"/>
  <c r="V34" i="34" s="1"/>
  <c r="W34" i="34" s="1"/>
  <c r="X34" i="34" s="1"/>
  <c r="Y34" i="34" s="1"/>
  <c r="H24" i="34"/>
  <c r="I24" i="34" s="1"/>
  <c r="O17" i="34"/>
  <c r="P17" i="34" s="1"/>
  <c r="N16" i="34"/>
  <c r="F6" i="34"/>
  <c r="G6" i="34" s="1"/>
  <c r="H6" i="34" s="1"/>
  <c r="I6" i="34" s="1"/>
  <c r="J6" i="34" s="1"/>
  <c r="K6" i="34" s="1"/>
  <c r="L6" i="34" s="1"/>
  <c r="M6" i="34" s="1"/>
  <c r="N6" i="34" s="1"/>
  <c r="O6" i="34" s="1"/>
  <c r="P6" i="34" s="1"/>
  <c r="Q6" i="34" s="1"/>
  <c r="R6" i="34" s="1"/>
  <c r="S6" i="34" s="1"/>
  <c r="T6" i="34" s="1"/>
  <c r="U6" i="34" s="1"/>
  <c r="V6" i="34" s="1"/>
  <c r="W6" i="34" s="1"/>
  <c r="X6" i="34" s="1"/>
  <c r="F4" i="34"/>
  <c r="G4" i="34" s="1"/>
  <c r="H4" i="34" s="1"/>
  <c r="I4" i="34" s="1"/>
  <c r="J4" i="34" s="1"/>
  <c r="K4" i="34" s="1"/>
  <c r="L4" i="34" s="1"/>
  <c r="M4" i="34" s="1"/>
  <c r="N4" i="34" s="1"/>
  <c r="O4" i="34" s="1"/>
  <c r="P4" i="34" s="1"/>
  <c r="Q4" i="34" s="1"/>
  <c r="R4" i="34" s="1"/>
  <c r="S4" i="34" s="1"/>
  <c r="T4" i="34" s="1"/>
  <c r="U4" i="34" s="1"/>
  <c r="V4" i="34" s="1"/>
  <c r="W4" i="34" s="1"/>
  <c r="X4" i="34" s="1"/>
  <c r="Y4" i="34" s="1"/>
  <c r="I13" i="33"/>
  <c r="G10" i="33"/>
  <c r="I9" i="33"/>
  <c r="G13" i="33" s="1"/>
  <c r="I32" i="19" s="1"/>
  <c r="F32" i="19" s="1"/>
  <c r="G9" i="33"/>
  <c r="G9" i="34" s="1"/>
  <c r="D47" i="34" l="1"/>
  <c r="D53" i="34"/>
  <c r="D77" i="34"/>
  <c r="D103" i="34"/>
  <c r="D41" i="34"/>
  <c r="D65" i="34"/>
  <c r="D71" i="34"/>
  <c r="D91" i="34"/>
  <c r="D97" i="34"/>
  <c r="D110" i="34"/>
  <c r="H108" i="34"/>
  <c r="J108" i="34"/>
  <c r="L108" i="34"/>
  <c r="N108" i="34"/>
  <c r="P108" i="34"/>
  <c r="R108" i="34"/>
  <c r="T108" i="34"/>
  <c r="V108" i="34"/>
  <c r="X108" i="34"/>
  <c r="E108" i="34"/>
  <c r="G108" i="34"/>
  <c r="I108" i="34"/>
  <c r="K108" i="34"/>
  <c r="M108" i="34"/>
  <c r="O108" i="34"/>
  <c r="Q108" i="34"/>
  <c r="S108" i="34"/>
  <c r="U108" i="34"/>
  <c r="W108" i="34"/>
  <c r="Y108" i="34"/>
  <c r="AA48" i="34"/>
  <c r="AC49" i="34" s="1"/>
  <c r="D59" i="34"/>
  <c r="D84" i="34"/>
  <c r="F108" i="34"/>
  <c r="N9" i="34"/>
  <c r="U9" i="34"/>
  <c r="H9" i="34"/>
  <c r="Y9" i="34"/>
  <c r="R9" i="34"/>
  <c r="J9" i="34"/>
  <c r="E9" i="34"/>
  <c r="X9" i="34"/>
  <c r="T9" i="34"/>
  <c r="P9" i="34"/>
  <c r="M9" i="34"/>
  <c r="I9" i="34"/>
  <c r="M29" i="34"/>
  <c r="V9" i="34"/>
  <c r="Q9" i="34"/>
  <c r="L9" i="34"/>
  <c r="F9" i="34"/>
  <c r="W9" i="34"/>
  <c r="S9" i="34"/>
  <c r="O9" i="34"/>
  <c r="K9" i="34"/>
  <c r="G12" i="33"/>
  <c r="B12" i="1" s="1"/>
  <c r="H18" i="1" s="1"/>
  <c r="B18" i="1" s="1"/>
  <c r="B3" i="34"/>
  <c r="B15" i="33"/>
  <c r="AA49" i="34"/>
  <c r="D109" i="34" l="1"/>
  <c r="D9" i="34"/>
  <c r="D26" i="33" s="1"/>
  <c r="C82" i="13" l="1"/>
  <c r="C83" i="13" s="1"/>
  <c r="C87" i="13" s="1"/>
  <c r="D87" i="13" l="1"/>
  <c r="C92" i="13" s="1"/>
  <c r="D51" i="13" s="1"/>
  <c r="C88" i="13"/>
  <c r="C23" i="13"/>
  <c r="D88" i="13" l="1"/>
  <c r="C93" i="13" s="1"/>
  <c r="C96" i="13" s="1"/>
  <c r="F48" i="27"/>
  <c r="F49" i="27"/>
  <c r="F47" i="27"/>
  <c r="C51" i="27"/>
  <c r="C52" i="27"/>
  <c r="C50" i="27"/>
  <c r="E110" i="13" l="1"/>
  <c r="E118" i="13" s="1"/>
  <c r="E112" i="13"/>
  <c r="E114" i="13"/>
  <c r="C244" i="18" l="1"/>
  <c r="C242" i="18"/>
  <c r="C240" i="18"/>
  <c r="C236" i="18"/>
  <c r="D230" i="18"/>
  <c r="D231" i="18"/>
  <c r="D158" i="1" l="1"/>
  <c r="C158" i="1"/>
  <c r="C163" i="1"/>
  <c r="Y204" i="1" l="1"/>
  <c r="D204" i="1"/>
  <c r="W204" i="1"/>
  <c r="W181" i="1"/>
  <c r="Z158" i="1"/>
  <c r="Y158" i="1"/>
  <c r="U158" i="1"/>
  <c r="F158" i="1"/>
  <c r="E33" i="27" l="1"/>
  <c r="E34" i="27"/>
  <c r="E35" i="27"/>
  <c r="E32" i="27"/>
  <c r="B4" i="27" l="1"/>
  <c r="B5" i="27"/>
  <c r="B3" i="27"/>
  <c r="B6" i="27"/>
  <c r="B2" i="27"/>
  <c r="G203" i="23" l="1"/>
  <c r="N110" i="1" l="1"/>
  <c r="G91" i="1"/>
  <c r="E91" i="1" s="1"/>
  <c r="E90" i="1" s="1"/>
  <c r="F90" i="1" s="1"/>
  <c r="F93" i="1" s="1"/>
  <c r="F87" i="1"/>
  <c r="E114" i="1" l="1"/>
  <c r="E113" i="1" l="1"/>
  <c r="I114" i="1" s="1"/>
  <c r="L204" i="1" s="1"/>
  <c r="M204" i="1" s="1"/>
  <c r="C12" i="1"/>
  <c r="L41" i="1" l="1"/>
  <c r="D48" i="19"/>
  <c r="D47" i="19"/>
  <c r="F212" i="18"/>
  <c r="F211" i="18"/>
  <c r="F208" i="18"/>
  <c r="G152" i="18" l="1"/>
  <c r="I48" i="1"/>
  <c r="F48" i="1"/>
  <c r="D30" i="1"/>
  <c r="F96" i="23" l="1"/>
  <c r="G96" i="23"/>
  <c r="H96" i="23"/>
  <c r="E96" i="23"/>
  <c r="D278" i="1" l="1"/>
  <c r="E278" i="1"/>
  <c r="F278" i="1"/>
  <c r="G278" i="1"/>
  <c r="H278" i="1"/>
  <c r="C278" i="1"/>
  <c r="C203" i="18"/>
  <c r="C15" i="20" l="1"/>
  <c r="C12" i="20"/>
  <c r="C91" i="15" s="1"/>
  <c r="C90" i="15" l="1"/>
  <c r="D73" i="15" l="1"/>
  <c r="E73" i="15"/>
  <c r="F73" i="15"/>
  <c r="G73" i="15"/>
  <c r="H73" i="15"/>
  <c r="I73" i="15"/>
  <c r="J73" i="15"/>
  <c r="K73" i="15"/>
  <c r="L73" i="15"/>
  <c r="M73" i="15"/>
  <c r="N73" i="15"/>
  <c r="O73" i="15"/>
  <c r="P73" i="15"/>
  <c r="Q73" i="15"/>
  <c r="R73" i="15"/>
  <c r="S73" i="15"/>
  <c r="T73" i="15"/>
  <c r="U73" i="15"/>
  <c r="V73" i="15"/>
  <c r="W73" i="15"/>
  <c r="C73" i="15"/>
  <c r="D69" i="15" l="1"/>
  <c r="E69" i="15"/>
  <c r="F69" i="15"/>
  <c r="G69" i="15"/>
  <c r="H69" i="15"/>
  <c r="I69" i="15"/>
  <c r="J69" i="15"/>
  <c r="K69" i="15"/>
  <c r="L69" i="15"/>
  <c r="M69" i="15"/>
  <c r="N69" i="15"/>
  <c r="O69" i="15"/>
  <c r="P69" i="15"/>
  <c r="Q69" i="15"/>
  <c r="R69" i="15"/>
  <c r="S69" i="15"/>
  <c r="T69" i="15"/>
  <c r="U69" i="15"/>
  <c r="V69" i="15"/>
  <c r="W69" i="15"/>
  <c r="C69" i="15"/>
  <c r="D66" i="15"/>
  <c r="E66" i="15"/>
  <c r="F66" i="15"/>
  <c r="G66" i="15"/>
  <c r="H66" i="15"/>
  <c r="I66" i="15"/>
  <c r="J66" i="15"/>
  <c r="K66" i="15"/>
  <c r="L66" i="15"/>
  <c r="M66" i="15"/>
  <c r="N66" i="15"/>
  <c r="O66" i="15"/>
  <c r="P66" i="15"/>
  <c r="Q66" i="15"/>
  <c r="R66" i="15"/>
  <c r="S66" i="15"/>
  <c r="T66" i="15"/>
  <c r="U66" i="15"/>
  <c r="V66" i="15"/>
  <c r="W66" i="15"/>
  <c r="C66" i="15"/>
  <c r="D62" i="15"/>
  <c r="E62" i="15"/>
  <c r="F62" i="15"/>
  <c r="G62" i="15"/>
  <c r="H62" i="15"/>
  <c r="I62" i="15"/>
  <c r="J62" i="15"/>
  <c r="K62" i="15"/>
  <c r="L62" i="15"/>
  <c r="M62" i="15"/>
  <c r="N62" i="15"/>
  <c r="O62" i="15"/>
  <c r="P62" i="15"/>
  <c r="Q62" i="15"/>
  <c r="R62" i="15"/>
  <c r="S62" i="15"/>
  <c r="T62" i="15"/>
  <c r="U62" i="15"/>
  <c r="V62" i="15"/>
  <c r="W62" i="15"/>
  <c r="C62" i="15"/>
  <c r="D59" i="15"/>
  <c r="E59" i="15" s="1"/>
  <c r="F59" i="15" s="1"/>
  <c r="G59" i="15" s="1"/>
  <c r="H59" i="15" s="1"/>
  <c r="I59" i="15" s="1"/>
  <c r="J59" i="15" s="1"/>
  <c r="K59" i="15" s="1"/>
  <c r="L59" i="15" s="1"/>
  <c r="M59" i="15" s="1"/>
  <c r="N59" i="15" s="1"/>
  <c r="O59" i="15" s="1"/>
  <c r="P59" i="15" s="1"/>
  <c r="Q59" i="15" s="1"/>
  <c r="R59" i="15" s="1"/>
  <c r="S59" i="15" s="1"/>
  <c r="T59" i="15" s="1"/>
  <c r="U59" i="15" s="1"/>
  <c r="V59" i="15" s="1"/>
  <c r="W59" i="15" s="1"/>
  <c r="B15" i="1" l="1"/>
  <c r="H21" i="1" l="1"/>
  <c r="J21" i="1" s="1"/>
  <c r="J18" i="1"/>
  <c r="J19" i="1" s="1"/>
  <c r="C15" i="1"/>
  <c r="C67" i="18"/>
  <c r="G71" i="18" s="1"/>
  <c r="D48" i="13"/>
  <c r="F45" i="13"/>
  <c r="E12" i="13" l="1"/>
  <c r="F12" i="13" l="1"/>
  <c r="E23" i="13"/>
  <c r="I364" i="1"/>
  <c r="J364" i="1" s="1"/>
  <c r="I341" i="1"/>
  <c r="L34" i="13"/>
  <c r="P34" i="13"/>
  <c r="L35" i="13"/>
  <c r="P35" i="13"/>
  <c r="L36" i="13"/>
  <c r="P36" i="13"/>
  <c r="L37" i="13"/>
  <c r="N37" i="13"/>
  <c r="N36" i="13" s="1"/>
  <c r="N35" i="13" s="1"/>
  <c r="N34" i="13" s="1"/>
  <c r="P37" i="13"/>
  <c r="K364" i="1" l="1"/>
  <c r="J341" i="1"/>
  <c r="C20" i="20"/>
  <c r="L364" i="1" l="1"/>
  <c r="K341" i="1"/>
  <c r="M364" i="1" l="1"/>
  <c r="L341" i="1"/>
  <c r="F71" i="18"/>
  <c r="B41" i="13"/>
  <c r="C42" i="13" s="1"/>
  <c r="N364" i="1" l="1"/>
  <c r="M341" i="1"/>
  <c r="E209" i="23"/>
  <c r="E207" i="23"/>
  <c r="E206" i="23"/>
  <c r="E204" i="23"/>
  <c r="E203" i="23"/>
  <c r="J202" i="23"/>
  <c r="I202" i="23"/>
  <c r="G202" i="23"/>
  <c r="F202" i="23"/>
  <c r="H52" i="23"/>
  <c r="G31" i="1"/>
  <c r="G30" i="1"/>
  <c r="D26" i="23"/>
  <c r="E57" i="23"/>
  <c r="G57" i="23" s="1"/>
  <c r="E56" i="23"/>
  <c r="E82" i="23" s="1"/>
  <c r="E54" i="23"/>
  <c r="E53" i="23"/>
  <c r="G53" i="23" s="1"/>
  <c r="E52" i="23"/>
  <c r="G52" i="23" s="1"/>
  <c r="O364" i="1" l="1"/>
  <c r="N341" i="1"/>
  <c r="E170" i="23"/>
  <c r="D169" i="23"/>
  <c r="E169" i="23" s="1"/>
  <c r="D36" i="26"/>
  <c r="P364" i="1" l="1"/>
  <c r="O341" i="1"/>
  <c r="Q364" i="1" l="1"/>
  <c r="P341" i="1"/>
  <c r="E117" i="14"/>
  <c r="F117" i="14"/>
  <c r="H117" i="14"/>
  <c r="E118" i="14"/>
  <c r="F118" i="14"/>
  <c r="H118" i="14"/>
  <c r="E119" i="14"/>
  <c r="F119" i="14"/>
  <c r="H119" i="14"/>
  <c r="E120" i="14"/>
  <c r="F120" i="14"/>
  <c r="H120" i="14"/>
  <c r="E121" i="14"/>
  <c r="F121" i="14"/>
  <c r="H121" i="14"/>
  <c r="R364" i="1" l="1"/>
  <c r="Q341" i="1"/>
  <c r="E105" i="22"/>
  <c r="D105" i="22"/>
  <c r="C105" i="22"/>
  <c r="B63" i="22"/>
  <c r="B67" i="22"/>
  <c r="J177" i="18"/>
  <c r="J174" i="18"/>
  <c r="F177" i="18"/>
  <c r="F174" i="18"/>
  <c r="S364" i="1" l="1"/>
  <c r="R341" i="1"/>
  <c r="T364" i="1" l="1"/>
  <c r="S341" i="1"/>
  <c r="M25" i="15"/>
  <c r="M24" i="15"/>
  <c r="U364" i="1" l="1"/>
  <c r="T341" i="1"/>
  <c r="G9" i="25"/>
  <c r="M9" i="25"/>
  <c r="P9" i="25"/>
  <c r="R9" i="25"/>
  <c r="V9" i="25"/>
  <c r="BH9" i="25"/>
  <c r="BI9" i="25"/>
  <c r="BJ9" i="25"/>
  <c r="BK9" i="25"/>
  <c r="BL9" i="25"/>
  <c r="BM9" i="25"/>
  <c r="G10" i="25"/>
  <c r="M10" i="25"/>
  <c r="P10" i="25"/>
  <c r="R10" i="25"/>
  <c r="V10" i="25"/>
  <c r="BH10" i="25"/>
  <c r="BI10" i="25"/>
  <c r="BJ10" i="25"/>
  <c r="BK10" i="25"/>
  <c r="BL10" i="25"/>
  <c r="BM10" i="25"/>
  <c r="G11" i="25"/>
  <c r="M11" i="25"/>
  <c r="P11" i="25"/>
  <c r="R11" i="25"/>
  <c r="V11" i="25"/>
  <c r="BH11" i="25"/>
  <c r="BI11" i="25"/>
  <c r="BJ11" i="25"/>
  <c r="BK11" i="25"/>
  <c r="BL11" i="25"/>
  <c r="BM11" i="25"/>
  <c r="G12" i="25"/>
  <c r="M12" i="25"/>
  <c r="P12" i="25"/>
  <c r="R12" i="25"/>
  <c r="V12" i="25"/>
  <c r="BH12" i="25"/>
  <c r="BI12" i="25"/>
  <c r="BJ12" i="25"/>
  <c r="BK12" i="25"/>
  <c r="BL12" i="25"/>
  <c r="BM12" i="25"/>
  <c r="G13" i="25"/>
  <c r="M13" i="25"/>
  <c r="P13" i="25"/>
  <c r="R13" i="25"/>
  <c r="V13" i="25"/>
  <c r="BH13" i="25"/>
  <c r="BI13" i="25"/>
  <c r="BJ13" i="25"/>
  <c r="BK13" i="25"/>
  <c r="BL13" i="25"/>
  <c r="BM13" i="25"/>
  <c r="G14" i="25"/>
  <c r="M14" i="25"/>
  <c r="P14" i="25"/>
  <c r="R14" i="25"/>
  <c r="V14" i="25"/>
  <c r="BH14" i="25"/>
  <c r="BI14" i="25"/>
  <c r="BJ14" i="25"/>
  <c r="BK14" i="25"/>
  <c r="BL14" i="25"/>
  <c r="BM14" i="25"/>
  <c r="G15" i="25"/>
  <c r="M15" i="25"/>
  <c r="P15" i="25"/>
  <c r="R15" i="25"/>
  <c r="V15" i="25"/>
  <c r="BH15" i="25"/>
  <c r="BI15" i="25"/>
  <c r="BJ15" i="25"/>
  <c r="BK15" i="25"/>
  <c r="BL15" i="25"/>
  <c r="BM15" i="25"/>
  <c r="G16" i="25"/>
  <c r="M16" i="25"/>
  <c r="P16" i="25"/>
  <c r="R16" i="25"/>
  <c r="V16" i="25"/>
  <c r="BH16" i="25"/>
  <c r="BI16" i="25"/>
  <c r="BJ16" i="25"/>
  <c r="BK16" i="25"/>
  <c r="BL16" i="25"/>
  <c r="BM16" i="25"/>
  <c r="G17" i="25"/>
  <c r="M17" i="25"/>
  <c r="P17" i="25"/>
  <c r="R17" i="25"/>
  <c r="V17" i="25"/>
  <c r="BH17" i="25"/>
  <c r="BI17" i="25"/>
  <c r="BJ17" i="25"/>
  <c r="BK17" i="25"/>
  <c r="BL17" i="25"/>
  <c r="BM17" i="25"/>
  <c r="G18" i="25"/>
  <c r="M18" i="25"/>
  <c r="P18" i="25"/>
  <c r="R18" i="25"/>
  <c r="V18" i="25"/>
  <c r="BH18" i="25"/>
  <c r="BI18" i="25"/>
  <c r="BJ18" i="25"/>
  <c r="BK18" i="25"/>
  <c r="BL18" i="25"/>
  <c r="BM18" i="25"/>
  <c r="G19" i="25"/>
  <c r="M19" i="25"/>
  <c r="P19" i="25"/>
  <c r="R19" i="25"/>
  <c r="V19" i="25"/>
  <c r="BH19" i="25"/>
  <c r="BI19" i="25"/>
  <c r="BJ19" i="25"/>
  <c r="BK19" i="25"/>
  <c r="BL19" i="25"/>
  <c r="BM19" i="25"/>
  <c r="G20" i="25"/>
  <c r="M20" i="25"/>
  <c r="P20" i="25"/>
  <c r="R20" i="25"/>
  <c r="V20" i="25"/>
  <c r="BH20" i="25"/>
  <c r="BI20" i="25"/>
  <c r="BJ20" i="25"/>
  <c r="BK20" i="25"/>
  <c r="BL20" i="25"/>
  <c r="BM20" i="25"/>
  <c r="G21" i="25"/>
  <c r="M21" i="25"/>
  <c r="P21" i="25"/>
  <c r="R21" i="25"/>
  <c r="V21" i="25"/>
  <c r="BH21" i="25"/>
  <c r="BI21" i="25"/>
  <c r="BJ21" i="25"/>
  <c r="BK21" i="25"/>
  <c r="BL21" i="25"/>
  <c r="BM21" i="25"/>
  <c r="G22" i="25"/>
  <c r="M22" i="25"/>
  <c r="P22" i="25"/>
  <c r="R22" i="25"/>
  <c r="V22" i="25"/>
  <c r="BH22" i="25"/>
  <c r="BI22" i="25"/>
  <c r="BJ22" i="25"/>
  <c r="BK22" i="25"/>
  <c r="BL22" i="25"/>
  <c r="BM22" i="25"/>
  <c r="G23" i="25"/>
  <c r="M23" i="25"/>
  <c r="P23" i="25"/>
  <c r="R23" i="25"/>
  <c r="V23" i="25"/>
  <c r="BH23" i="25"/>
  <c r="BI23" i="25"/>
  <c r="BJ23" i="25"/>
  <c r="BK23" i="25"/>
  <c r="BL23" i="25"/>
  <c r="BM23" i="25"/>
  <c r="G24" i="25"/>
  <c r="M24" i="25"/>
  <c r="P24" i="25"/>
  <c r="R24" i="25"/>
  <c r="V24" i="25"/>
  <c r="BH24" i="25"/>
  <c r="BI24" i="25"/>
  <c r="BJ24" i="25"/>
  <c r="BK24" i="25"/>
  <c r="BL24" i="25"/>
  <c r="BM24" i="25"/>
  <c r="G25" i="25"/>
  <c r="M25" i="25"/>
  <c r="P25" i="25"/>
  <c r="R25" i="25"/>
  <c r="V25" i="25"/>
  <c r="BH25" i="25"/>
  <c r="BI25" i="25"/>
  <c r="BJ25" i="25"/>
  <c r="BK25" i="25"/>
  <c r="BL25" i="25"/>
  <c r="BM25" i="25"/>
  <c r="G26" i="25"/>
  <c r="M26" i="25"/>
  <c r="P26" i="25"/>
  <c r="R26" i="25"/>
  <c r="V26" i="25"/>
  <c r="BH26" i="25"/>
  <c r="BI26" i="25"/>
  <c r="BJ26" i="25"/>
  <c r="BK26" i="25"/>
  <c r="BL26" i="25"/>
  <c r="BM26" i="25"/>
  <c r="G27" i="25"/>
  <c r="M27" i="25"/>
  <c r="P27" i="25"/>
  <c r="R27" i="25"/>
  <c r="V27" i="25"/>
  <c r="BH27" i="25"/>
  <c r="BI27" i="25"/>
  <c r="BJ27" i="25"/>
  <c r="BK27" i="25"/>
  <c r="BL27" i="25"/>
  <c r="BM27" i="25"/>
  <c r="G28" i="25"/>
  <c r="M28" i="25"/>
  <c r="P28" i="25"/>
  <c r="R28" i="25"/>
  <c r="V28" i="25"/>
  <c r="BH28" i="25"/>
  <c r="BI28" i="25"/>
  <c r="BJ28" i="25"/>
  <c r="BK28" i="25"/>
  <c r="BL28" i="25"/>
  <c r="BM28" i="25"/>
  <c r="G29" i="25"/>
  <c r="M29" i="25"/>
  <c r="P29" i="25"/>
  <c r="R29" i="25"/>
  <c r="V29" i="25"/>
  <c r="BH29" i="25"/>
  <c r="BI29" i="25"/>
  <c r="BJ29" i="25"/>
  <c r="BK29" i="25"/>
  <c r="BL29" i="25"/>
  <c r="BM29" i="25"/>
  <c r="G30" i="25"/>
  <c r="M30" i="25"/>
  <c r="P30" i="25"/>
  <c r="R30" i="25"/>
  <c r="V30" i="25"/>
  <c r="BH30" i="25"/>
  <c r="BI30" i="25"/>
  <c r="BJ30" i="25"/>
  <c r="BK30" i="25"/>
  <c r="BL30" i="25"/>
  <c r="BM30" i="25"/>
  <c r="G31" i="25"/>
  <c r="M31" i="25"/>
  <c r="P31" i="25"/>
  <c r="R31" i="25"/>
  <c r="V31" i="25"/>
  <c r="BH31" i="25"/>
  <c r="BI31" i="25"/>
  <c r="BJ31" i="25"/>
  <c r="BK31" i="25"/>
  <c r="BL31" i="25"/>
  <c r="BM31" i="25"/>
  <c r="G32" i="25"/>
  <c r="M32" i="25"/>
  <c r="P32" i="25"/>
  <c r="R32" i="25"/>
  <c r="V32" i="25"/>
  <c r="BH32" i="25"/>
  <c r="BI32" i="25"/>
  <c r="BJ32" i="25"/>
  <c r="BK32" i="25"/>
  <c r="BL32" i="25"/>
  <c r="BM32" i="25"/>
  <c r="G33" i="25"/>
  <c r="M33" i="25"/>
  <c r="P33" i="25"/>
  <c r="R33" i="25"/>
  <c r="V33" i="25"/>
  <c r="BH33" i="25"/>
  <c r="BI33" i="25"/>
  <c r="BJ33" i="25"/>
  <c r="BK33" i="25"/>
  <c r="BL33" i="25"/>
  <c r="BM33" i="25"/>
  <c r="AA37" i="25"/>
  <c r="E38" i="25"/>
  <c r="AA38" i="25"/>
  <c r="P39" i="25"/>
  <c r="T39" i="25"/>
  <c r="AA39" i="25"/>
  <c r="P40" i="25"/>
  <c r="T40" i="25"/>
  <c r="AA40" i="25"/>
  <c r="P41" i="25"/>
  <c r="T41" i="25"/>
  <c r="AA41" i="25"/>
  <c r="P42" i="25"/>
  <c r="R42" i="25"/>
  <c r="R41" i="25" s="1"/>
  <c r="R40" i="25" s="1"/>
  <c r="R39" i="25" s="1"/>
  <c r="R38" i="25" s="1"/>
  <c r="T42" i="25"/>
  <c r="P43" i="25"/>
  <c r="T43" i="25"/>
  <c r="P44" i="25"/>
  <c r="R44" i="25"/>
  <c r="R45" i="25" s="1"/>
  <c r="R46" i="25" s="1"/>
  <c r="R47" i="25" s="1"/>
  <c r="T44" i="25"/>
  <c r="P45" i="25"/>
  <c r="T45" i="25"/>
  <c r="P46" i="25"/>
  <c r="T46" i="25"/>
  <c r="P47" i="25"/>
  <c r="T47" i="25"/>
  <c r="B105" i="22" s="1"/>
  <c r="U47" i="25"/>
  <c r="T51" i="25" s="1"/>
  <c r="O48" i="25"/>
  <c r="Q48" i="25"/>
  <c r="O49" i="25"/>
  <c r="V49" i="25"/>
  <c r="O105" i="22" l="1"/>
  <c r="K105" i="22"/>
  <c r="G105" i="22"/>
  <c r="U105" i="22"/>
  <c r="R105" i="22"/>
  <c r="N105" i="22"/>
  <c r="J105" i="22"/>
  <c r="F105" i="22"/>
  <c r="X105" i="22"/>
  <c r="T105" i="22"/>
  <c r="Q105" i="22"/>
  <c r="M105" i="22"/>
  <c r="I105" i="22"/>
  <c r="W105" i="22"/>
  <c r="S105" i="22"/>
  <c r="P105" i="22"/>
  <c r="L105" i="22"/>
  <c r="H105" i="22"/>
  <c r="V105" i="22"/>
  <c r="R48" i="25"/>
  <c r="O50" i="25"/>
  <c r="B61" i="22"/>
  <c r="Q49" i="25"/>
  <c r="Q50" i="25" s="1"/>
  <c r="B69" i="22"/>
  <c r="V364" i="1"/>
  <c r="U341" i="1"/>
  <c r="R49" i="25" l="1"/>
  <c r="V341" i="1"/>
  <c r="E13" i="23"/>
  <c r="F16" i="23"/>
  <c r="G18" i="23"/>
  <c r="D27" i="23"/>
  <c r="D28" i="23"/>
  <c r="D30" i="23"/>
  <c r="D31" i="23"/>
  <c r="D42" i="23"/>
  <c r="E78" i="23"/>
  <c r="G78" i="23"/>
  <c r="D109" i="23"/>
  <c r="D139" i="23"/>
  <c r="F139" i="23" s="1"/>
  <c r="E89" i="23"/>
  <c r="E140" i="23"/>
  <c r="H140" i="23"/>
  <c r="H141" i="23" s="1"/>
  <c r="F170" i="23"/>
  <c r="G170" i="23"/>
  <c r="G171" i="23" s="1"/>
  <c r="H160" i="23"/>
  <c r="H161" i="23" s="1"/>
  <c r="E110" i="23"/>
  <c r="F110" i="23"/>
  <c r="F111" i="23" s="1"/>
  <c r="G110" i="23"/>
  <c r="G111" i="23" s="1"/>
  <c r="H110" i="23"/>
  <c r="H111" i="23" s="1"/>
  <c r="E111" i="23"/>
  <c r="E120" i="23"/>
  <c r="F120" i="23"/>
  <c r="F121" i="23" s="1"/>
  <c r="G120" i="23"/>
  <c r="G121" i="23" s="1"/>
  <c r="H120" i="23"/>
  <c r="E121" i="23"/>
  <c r="E130" i="23"/>
  <c r="F130" i="23"/>
  <c r="F131" i="23" s="1"/>
  <c r="G130" i="23"/>
  <c r="H130" i="23"/>
  <c r="H131" i="23" s="1"/>
  <c r="E131" i="23"/>
  <c r="G131" i="23"/>
  <c r="F140" i="23"/>
  <c r="F141" i="23" s="1"/>
  <c r="G140" i="23"/>
  <c r="G141" i="23" s="1"/>
  <c r="E148" i="23"/>
  <c r="F148" i="23"/>
  <c r="E158" i="23"/>
  <c r="F158" i="23"/>
  <c r="F160" i="23"/>
  <c r="F161" i="23" s="1"/>
  <c r="G160" i="23"/>
  <c r="G161" i="23" s="1"/>
  <c r="E178" i="23"/>
  <c r="F178" i="23"/>
  <c r="L17" i="14"/>
  <c r="L30" i="14" s="1"/>
  <c r="K17" i="14"/>
  <c r="K30" i="14" s="1"/>
  <c r="J17" i="14"/>
  <c r="J30" i="14" s="1"/>
  <c r="I17" i="14"/>
  <c r="H17" i="14"/>
  <c r="G17" i="14"/>
  <c r="F17" i="14"/>
  <c r="F30" i="14" s="1"/>
  <c r="M15" i="22"/>
  <c r="M16" i="22"/>
  <c r="M17" i="22"/>
  <c r="M18" i="22"/>
  <c r="M19" i="22"/>
  <c r="M20" i="22"/>
  <c r="M21" i="22"/>
  <c r="M22" i="22"/>
  <c r="M23" i="22"/>
  <c r="M24" i="22"/>
  <c r="B29" i="22"/>
  <c r="E29" i="22"/>
  <c r="F29" i="22" s="1"/>
  <c r="G29" i="22" s="1"/>
  <c r="H29" i="22" s="1"/>
  <c r="I29" i="22" s="1"/>
  <c r="J29" i="22" s="1"/>
  <c r="E43" i="22" s="1"/>
  <c r="E30" i="22"/>
  <c r="F30" i="22"/>
  <c r="G30" i="22" s="1"/>
  <c r="H30" i="22" s="1"/>
  <c r="I30" i="22" s="1"/>
  <c r="J30" i="22" s="1"/>
  <c r="E31" i="22"/>
  <c r="E32" i="22"/>
  <c r="F32" i="22" s="1"/>
  <c r="G32" i="22" s="1"/>
  <c r="H32" i="22" s="1"/>
  <c r="I32" i="22" s="1"/>
  <c r="J32" i="22" s="1"/>
  <c r="E33" i="22"/>
  <c r="E34" i="22"/>
  <c r="E35" i="22"/>
  <c r="F35" i="22"/>
  <c r="G35" i="22" s="1"/>
  <c r="H35" i="22" s="1"/>
  <c r="I35" i="22" s="1"/>
  <c r="J35" i="22" s="1"/>
  <c r="K35" i="22" s="1"/>
  <c r="E36" i="22"/>
  <c r="E37" i="22"/>
  <c r="Z44" i="22"/>
  <c r="B60" i="22"/>
  <c r="B64" i="22"/>
  <c r="F67" i="22"/>
  <c r="B73" i="22"/>
  <c r="B74" i="22"/>
  <c r="B75" i="22"/>
  <c r="B76" i="22"/>
  <c r="B77" i="22"/>
  <c r="B78" i="22"/>
  <c r="B79" i="22"/>
  <c r="B80" i="22"/>
  <c r="B81" i="22"/>
  <c r="B85" i="22"/>
  <c r="B87" i="22"/>
  <c r="D96" i="22"/>
  <c r="B127" i="22" s="1"/>
  <c r="E96" i="22"/>
  <c r="B128" i="22" s="1"/>
  <c r="F96" i="22"/>
  <c r="B129" i="22" s="1"/>
  <c r="B109" i="22"/>
  <c r="B111" i="22"/>
  <c r="E140" i="22" s="1"/>
  <c r="B113" i="22"/>
  <c r="B117" i="22"/>
  <c r="B118" i="22"/>
  <c r="B119" i="22"/>
  <c r="D127" i="22"/>
  <c r="D128" i="22"/>
  <c r="D129" i="22"/>
  <c r="Z135" i="22"/>
  <c r="D140" i="22"/>
  <c r="G140" i="22"/>
  <c r="Q140" i="22"/>
  <c r="D141" i="22"/>
  <c r="F141" i="22"/>
  <c r="P141" i="22"/>
  <c r="D142" i="22"/>
  <c r="K142" i="22"/>
  <c r="V142" i="22"/>
  <c r="Q142" i="22" l="1"/>
  <c r="F142" i="22"/>
  <c r="V141" i="22"/>
  <c r="K141" i="22"/>
  <c r="W140" i="22"/>
  <c r="L140" i="22"/>
  <c r="H30" i="14"/>
  <c r="O142" i="22"/>
  <c r="E142" i="22"/>
  <c r="R141" i="22"/>
  <c r="G141" i="22"/>
  <c r="U140" i="22"/>
  <c r="K140" i="22"/>
  <c r="I140" i="22"/>
  <c r="I30" i="14"/>
  <c r="D120" i="23"/>
  <c r="D33" i="23"/>
  <c r="D34" i="23" s="1"/>
  <c r="D130" i="23"/>
  <c r="U142" i="22"/>
  <c r="J142" i="22"/>
  <c r="W141" i="22"/>
  <c r="L141" i="22"/>
  <c r="P140" i="22"/>
  <c r="G30" i="14"/>
  <c r="R50" i="25"/>
  <c r="B62" i="22"/>
  <c r="F171" i="23"/>
  <c r="D159" i="23"/>
  <c r="E159" i="23" s="1"/>
  <c r="E160" i="23"/>
  <c r="E161" i="23" s="1"/>
  <c r="H169" i="23"/>
  <c r="C78" i="22"/>
  <c r="H109" i="23"/>
  <c r="H112" i="23" s="1"/>
  <c r="E109" i="23"/>
  <c r="E112" i="23" s="1"/>
  <c r="F109" i="23"/>
  <c r="F112" i="23" s="1"/>
  <c r="G109" i="23"/>
  <c r="F142" i="23"/>
  <c r="H170" i="23"/>
  <c r="H171" i="23" s="1"/>
  <c r="G169" i="23"/>
  <c r="G172" i="23" s="1"/>
  <c r="G112" i="23"/>
  <c r="F169" i="23"/>
  <c r="D44" i="23"/>
  <c r="E171" i="23"/>
  <c r="E141" i="23"/>
  <c r="D140" i="23"/>
  <c r="D110" i="23"/>
  <c r="E139" i="23"/>
  <c r="D131" i="23"/>
  <c r="H121" i="23"/>
  <c r="D121" i="23"/>
  <c r="D111" i="23"/>
  <c r="G139" i="23"/>
  <c r="G142" i="23" s="1"/>
  <c r="D129" i="23"/>
  <c r="H139" i="23"/>
  <c r="H142" i="23" s="1"/>
  <c r="D43" i="23"/>
  <c r="K32" i="22"/>
  <c r="E46" i="22"/>
  <c r="E44" i="22"/>
  <c r="K30" i="22"/>
  <c r="L35" i="22"/>
  <c r="F49" i="22"/>
  <c r="F34" i="22"/>
  <c r="G34" i="22" s="1"/>
  <c r="H34" i="22" s="1"/>
  <c r="I34" i="22" s="1"/>
  <c r="J34" i="22" s="1"/>
  <c r="F31" i="22"/>
  <c r="G31" i="22" s="1"/>
  <c r="H31" i="22" s="1"/>
  <c r="I31" i="22" s="1"/>
  <c r="J31" i="22" s="1"/>
  <c r="S142" i="22"/>
  <c r="N142" i="22"/>
  <c r="I142" i="22"/>
  <c r="T141" i="22"/>
  <c r="O141" i="22"/>
  <c r="J141" i="22"/>
  <c r="T140" i="22"/>
  <c r="O140" i="22"/>
  <c r="F140" i="22"/>
  <c r="J140" i="22"/>
  <c r="N140" i="22"/>
  <c r="R140" i="22"/>
  <c r="V140" i="22"/>
  <c r="E141" i="22"/>
  <c r="I141" i="22"/>
  <c r="M141" i="22"/>
  <c r="Q141" i="22"/>
  <c r="U141" i="22"/>
  <c r="H142" i="22"/>
  <c r="L142" i="22"/>
  <c r="P142" i="22"/>
  <c r="T142" i="22"/>
  <c r="X142" i="22"/>
  <c r="E49" i="22"/>
  <c r="F37" i="22"/>
  <c r="G37" i="22" s="1"/>
  <c r="H37" i="22" s="1"/>
  <c r="I37" i="22" s="1"/>
  <c r="J37" i="22" s="1"/>
  <c r="W142" i="22"/>
  <c r="R142" i="22"/>
  <c r="M142" i="22"/>
  <c r="G142" i="22"/>
  <c r="X141" i="22"/>
  <c r="S141" i="22"/>
  <c r="N141" i="22"/>
  <c r="H141" i="22"/>
  <c r="X140" i="22"/>
  <c r="S140" i="22"/>
  <c r="M140" i="22"/>
  <c r="H140" i="22"/>
  <c r="C80" i="22"/>
  <c r="K29" i="22"/>
  <c r="C79" i="22"/>
  <c r="F36" i="22"/>
  <c r="G36" i="22" s="1"/>
  <c r="H36" i="22" s="1"/>
  <c r="I36" i="22" s="1"/>
  <c r="J36" i="22" s="1"/>
  <c r="F33" i="22"/>
  <c r="G33" i="22" s="1"/>
  <c r="H33" i="22" s="1"/>
  <c r="I33" i="22" s="1"/>
  <c r="J33" i="22" s="1"/>
  <c r="H159" i="23" l="1"/>
  <c r="H162" i="23" s="1"/>
  <c r="F172" i="23"/>
  <c r="F59" i="23"/>
  <c r="F85" i="23" s="1"/>
  <c r="F54" i="23"/>
  <c r="F57" i="23"/>
  <c r="D168" i="23" s="1"/>
  <c r="H168" i="23" s="1"/>
  <c r="F52" i="23"/>
  <c r="H108" i="23" s="1"/>
  <c r="F56" i="23"/>
  <c r="F82" i="23" s="1"/>
  <c r="F53" i="23"/>
  <c r="D178" i="23"/>
  <c r="K38" i="22"/>
  <c r="D170" i="23"/>
  <c r="H172" i="23"/>
  <c r="G159" i="23"/>
  <c r="G162" i="23" s="1"/>
  <c r="F159" i="23"/>
  <c r="F162" i="23" s="1"/>
  <c r="D160" i="23"/>
  <c r="D112" i="23"/>
  <c r="F83" i="23"/>
  <c r="E172" i="23"/>
  <c r="D171" i="23"/>
  <c r="E162" i="23"/>
  <c r="D161" i="23"/>
  <c r="F79" i="23"/>
  <c r="D128" i="23"/>
  <c r="G168" i="23"/>
  <c r="D141" i="23"/>
  <c r="E142" i="23"/>
  <c r="D108" i="23"/>
  <c r="F78" i="23"/>
  <c r="F80" i="23"/>
  <c r="D138" i="23"/>
  <c r="G129" i="23"/>
  <c r="E129" i="23"/>
  <c r="E149" i="23" s="1"/>
  <c r="H129" i="23"/>
  <c r="F129" i="23"/>
  <c r="D118" i="23"/>
  <c r="H158" i="23"/>
  <c r="K31" i="22"/>
  <c r="K39" i="22" s="1"/>
  <c r="E45" i="22"/>
  <c r="F44" i="22"/>
  <c r="L30" i="22"/>
  <c r="L32" i="22"/>
  <c r="F46" i="22"/>
  <c r="K34" i="22"/>
  <c r="E48" i="22"/>
  <c r="K33" i="22"/>
  <c r="E47" i="22"/>
  <c r="E51" i="22"/>
  <c r="K37" i="22"/>
  <c r="K36" i="22"/>
  <c r="E50" i="22"/>
  <c r="F43" i="22"/>
  <c r="L29" i="22"/>
  <c r="G49" i="22"/>
  <c r="M35" i="22"/>
  <c r="G108" i="23" l="1"/>
  <c r="D158" i="23"/>
  <c r="L38" i="22"/>
  <c r="G158" i="23"/>
  <c r="K40" i="22"/>
  <c r="H149" i="23"/>
  <c r="H132" i="23"/>
  <c r="D142" i="23"/>
  <c r="D172" i="23"/>
  <c r="F150" i="23"/>
  <c r="F151" i="23" s="1"/>
  <c r="F149" i="23"/>
  <c r="D149" i="23" s="1"/>
  <c r="F132" i="23"/>
  <c r="H118" i="23"/>
  <c r="G118" i="23"/>
  <c r="G138" i="23"/>
  <c r="H138" i="23"/>
  <c r="H128" i="23"/>
  <c r="D148" i="23"/>
  <c r="G128" i="23"/>
  <c r="G148" i="23" s="1"/>
  <c r="D162" i="23"/>
  <c r="E163" i="23" s="1"/>
  <c r="E150" i="23"/>
  <c r="E132" i="23"/>
  <c r="G149" i="23"/>
  <c r="G132" i="23"/>
  <c r="M29" i="22"/>
  <c r="G43" i="22"/>
  <c r="M32" i="22"/>
  <c r="G46" i="22"/>
  <c r="L31" i="22"/>
  <c r="L39" i="22" s="1"/>
  <c r="F45" i="22"/>
  <c r="L36" i="22"/>
  <c r="F50" i="22"/>
  <c r="M30" i="22"/>
  <c r="G44" i="22"/>
  <c r="F47" i="22"/>
  <c r="L33" i="22"/>
  <c r="L34" i="22"/>
  <c r="F48" i="22"/>
  <c r="N35" i="22"/>
  <c r="H49" i="22"/>
  <c r="F51" i="22"/>
  <c r="L37" i="22"/>
  <c r="E52" i="22"/>
  <c r="E89" i="22" s="1"/>
  <c r="M38" i="22" l="1"/>
  <c r="L40" i="22"/>
  <c r="G150" i="23"/>
  <c r="G151" i="23" s="1"/>
  <c r="G152" i="23" s="1"/>
  <c r="F152" i="23"/>
  <c r="H150" i="23"/>
  <c r="H151" i="23" s="1"/>
  <c r="H152" i="23" s="1"/>
  <c r="G178" i="23"/>
  <c r="D132" i="23"/>
  <c r="D163" i="23"/>
  <c r="E164" i="23"/>
  <c r="E151" i="23"/>
  <c r="F163" i="23"/>
  <c r="F164" i="23" s="1"/>
  <c r="H148" i="23"/>
  <c r="F52" i="22"/>
  <c r="F89" i="22" s="1"/>
  <c r="H46" i="22"/>
  <c r="N32" i="22"/>
  <c r="N29" i="22"/>
  <c r="H43" i="22"/>
  <c r="M34" i="22"/>
  <c r="G48" i="22"/>
  <c r="M36" i="22"/>
  <c r="G50" i="22"/>
  <c r="M31" i="22"/>
  <c r="M39" i="22" s="1"/>
  <c r="G45" i="22"/>
  <c r="M37" i="22"/>
  <c r="G51" i="22"/>
  <c r="O35" i="22"/>
  <c r="I49" i="22"/>
  <c r="M33" i="22"/>
  <c r="G47" i="22"/>
  <c r="N30" i="22"/>
  <c r="H44" i="22"/>
  <c r="F92" i="22" l="1"/>
  <c r="N38" i="22"/>
  <c r="M40" i="22"/>
  <c r="D150" i="23"/>
  <c r="E152" i="23"/>
  <c r="D151" i="23"/>
  <c r="D164" i="23"/>
  <c r="H178" i="23"/>
  <c r="N37" i="22"/>
  <c r="H51" i="22"/>
  <c r="H45" i="22"/>
  <c r="N31" i="22"/>
  <c r="N39" i="22" s="1"/>
  <c r="I44" i="22"/>
  <c r="O30" i="22"/>
  <c r="I43" i="22"/>
  <c r="O29" i="22"/>
  <c r="G52" i="22"/>
  <c r="G89" i="22" s="1"/>
  <c r="P35" i="22"/>
  <c r="J49" i="22"/>
  <c r="N34" i="22"/>
  <c r="H48" i="22"/>
  <c r="O32" i="22"/>
  <c r="I46" i="22"/>
  <c r="N33" i="22"/>
  <c r="H47" i="22"/>
  <c r="H50" i="22"/>
  <c r="N36" i="22"/>
  <c r="G92" i="22" l="1"/>
  <c r="O38" i="22"/>
  <c r="N40" i="22"/>
  <c r="D152" i="23"/>
  <c r="J46" i="22"/>
  <c r="P32" i="22"/>
  <c r="K49" i="22"/>
  <c r="Q35" i="22"/>
  <c r="P30" i="22"/>
  <c r="J44" i="22"/>
  <c r="O37" i="22"/>
  <c r="I51" i="22"/>
  <c r="O33" i="22"/>
  <c r="I47" i="22"/>
  <c r="O31" i="22"/>
  <c r="O39" i="22" s="1"/>
  <c r="I45" i="22"/>
  <c r="O36" i="22"/>
  <c r="I50" i="22"/>
  <c r="J43" i="22"/>
  <c r="P29" i="22"/>
  <c r="O34" i="22"/>
  <c r="O40" i="22" s="1"/>
  <c r="I48" i="22"/>
  <c r="H52" i="22"/>
  <c r="H89" i="22" s="1"/>
  <c r="H92" i="22" l="1"/>
  <c r="P38" i="22"/>
  <c r="J47" i="22"/>
  <c r="P33" i="22"/>
  <c r="P31" i="22"/>
  <c r="P39" i="22" s="1"/>
  <c r="J45" i="22"/>
  <c r="Q30" i="22"/>
  <c r="K44" i="22"/>
  <c r="I52" i="22"/>
  <c r="I89" i="22" s="1"/>
  <c r="P34" i="22"/>
  <c r="J48" i="22"/>
  <c r="J51" i="22"/>
  <c r="P37" i="22"/>
  <c r="K43" i="22"/>
  <c r="Q29" i="22"/>
  <c r="J50" i="22"/>
  <c r="P36" i="22"/>
  <c r="L49" i="22"/>
  <c r="R35" i="22"/>
  <c r="Q32" i="22"/>
  <c r="K46" i="22"/>
  <c r="I92" i="22" l="1"/>
  <c r="P40" i="22"/>
  <c r="M49" i="22"/>
  <c r="S35" i="22"/>
  <c r="K45" i="22"/>
  <c r="Q31" i="22"/>
  <c r="J52" i="22"/>
  <c r="J89" i="22" s="1"/>
  <c r="Q33" i="22"/>
  <c r="K47" i="22"/>
  <c r="L46" i="22"/>
  <c r="R32" i="22"/>
  <c r="R29" i="22"/>
  <c r="L43" i="22"/>
  <c r="Q34" i="22"/>
  <c r="K48" i="22"/>
  <c r="R30" i="22"/>
  <c r="L44" i="22"/>
  <c r="Q36" i="22"/>
  <c r="K50" i="22"/>
  <c r="K51" i="22"/>
  <c r="Q37" i="22"/>
  <c r="J92" i="22" l="1"/>
  <c r="L45" i="22"/>
  <c r="R31" i="22"/>
  <c r="R36" i="22"/>
  <c r="L50" i="22"/>
  <c r="K52" i="22"/>
  <c r="K89" i="22" s="1"/>
  <c r="L48" i="22"/>
  <c r="R34" i="22"/>
  <c r="M43" i="22"/>
  <c r="S29" i="22"/>
  <c r="R33" i="22"/>
  <c r="L47" i="22"/>
  <c r="R37" i="22"/>
  <c r="L51" i="22"/>
  <c r="S30" i="22"/>
  <c r="M44" i="22"/>
  <c r="S32" i="22"/>
  <c r="M46" i="22"/>
  <c r="T35" i="22"/>
  <c r="N49" i="22"/>
  <c r="K92" i="22" l="1"/>
  <c r="N43" i="22"/>
  <c r="T29" i="22"/>
  <c r="S31" i="22"/>
  <c r="M45" i="22"/>
  <c r="N46" i="22"/>
  <c r="T32" i="22"/>
  <c r="S37" i="22"/>
  <c r="M51" i="22"/>
  <c r="L52" i="22"/>
  <c r="L89" i="22" s="1"/>
  <c r="S36" i="22"/>
  <c r="M50" i="22"/>
  <c r="U35" i="22"/>
  <c r="O49" i="22"/>
  <c r="N44" i="22"/>
  <c r="T30" i="22"/>
  <c r="S33" i="22"/>
  <c r="M47" i="22"/>
  <c r="S34" i="22"/>
  <c r="M48" i="22"/>
  <c r="T34" i="22" l="1"/>
  <c r="N48" i="22"/>
  <c r="N50" i="22"/>
  <c r="T36" i="22"/>
  <c r="T33" i="22"/>
  <c r="N47" i="22"/>
  <c r="N51" i="22"/>
  <c r="T37" i="22"/>
  <c r="T31" i="22"/>
  <c r="N45" i="22"/>
  <c r="U30" i="22"/>
  <c r="O44" i="22"/>
  <c r="V35" i="22"/>
  <c r="P49" i="22"/>
  <c r="M52" i="22"/>
  <c r="M89" i="22" s="1"/>
  <c r="U32" i="22"/>
  <c r="O46" i="22"/>
  <c r="O43" i="22"/>
  <c r="U29" i="22"/>
  <c r="N52" i="22" l="1"/>
  <c r="N89" i="22" s="1"/>
  <c r="V32" i="22"/>
  <c r="P46" i="22"/>
  <c r="W35" i="22"/>
  <c r="Q49" i="22"/>
  <c r="U31" i="22"/>
  <c r="O45" i="22"/>
  <c r="O47" i="22"/>
  <c r="U33" i="22"/>
  <c r="O50" i="22"/>
  <c r="U36" i="22"/>
  <c r="U34" i="22"/>
  <c r="O48" i="22"/>
  <c r="V29" i="22"/>
  <c r="P43" i="22"/>
  <c r="U37" i="22"/>
  <c r="O51" i="22"/>
  <c r="P44" i="22"/>
  <c r="V30" i="22"/>
  <c r="O52" i="22" l="1"/>
  <c r="O89" i="22" s="1"/>
  <c r="Q43" i="22"/>
  <c r="W29" i="22"/>
  <c r="V36" i="22"/>
  <c r="P50" i="22"/>
  <c r="V33" i="22"/>
  <c r="P47" i="22"/>
  <c r="W32" i="22"/>
  <c r="Q46" i="22"/>
  <c r="Q44" i="22"/>
  <c r="W30" i="22"/>
  <c r="V37" i="22"/>
  <c r="P51" i="22"/>
  <c r="X35" i="22"/>
  <c r="R49" i="22"/>
  <c r="P48" i="22"/>
  <c r="V34" i="22"/>
  <c r="P45" i="22"/>
  <c r="V31" i="22"/>
  <c r="P52" i="22" l="1"/>
  <c r="P89" i="22" s="1"/>
  <c r="X30" i="22"/>
  <c r="R44" i="22"/>
  <c r="W36" i="22"/>
  <c r="Q50" i="22"/>
  <c r="S49" i="22"/>
  <c r="Y35" i="22"/>
  <c r="Q47" i="22"/>
  <c r="W33" i="22"/>
  <c r="X29" i="22"/>
  <c r="R43" i="22"/>
  <c r="Q48" i="22"/>
  <c r="W34" i="22"/>
  <c r="W31" i="22"/>
  <c r="Q45" i="22"/>
  <c r="W37" i="22"/>
  <c r="Q51" i="22"/>
  <c r="X32" i="22"/>
  <c r="R46" i="22"/>
  <c r="Y32" i="22" l="1"/>
  <c r="S46" i="22"/>
  <c r="X31" i="22"/>
  <c r="R45" i="22"/>
  <c r="S43" i="22"/>
  <c r="Y29" i="22"/>
  <c r="Z35" i="22"/>
  <c r="T49" i="22"/>
  <c r="Q52" i="22"/>
  <c r="Q89" i="22" s="1"/>
  <c r="X34" i="22"/>
  <c r="R48" i="22"/>
  <c r="X33" i="22"/>
  <c r="R47" i="22"/>
  <c r="R50" i="22"/>
  <c r="X36" i="22"/>
  <c r="X37" i="22"/>
  <c r="R51" i="22"/>
  <c r="Y30" i="22"/>
  <c r="S44" i="22"/>
  <c r="R52" i="22" l="1"/>
  <c r="R89" i="22" s="1"/>
  <c r="Y37" i="22"/>
  <c r="S51" i="22"/>
  <c r="T46" i="22"/>
  <c r="Z32" i="22"/>
  <c r="T44" i="22"/>
  <c r="Z30" i="22"/>
  <c r="Y34" i="22"/>
  <c r="S48" i="22"/>
  <c r="AA35" i="22"/>
  <c r="U49" i="22"/>
  <c r="Y31" i="22"/>
  <c r="S45" i="22"/>
  <c r="Y36" i="22"/>
  <c r="S50" i="22"/>
  <c r="Y33" i="22"/>
  <c r="S47" i="22"/>
  <c r="Z29" i="22"/>
  <c r="T43" i="22"/>
  <c r="S52" i="22" l="1"/>
  <c r="S89" i="22" s="1"/>
  <c r="Z33" i="22"/>
  <c r="T47" i="22"/>
  <c r="T48" i="22"/>
  <c r="Z34" i="22"/>
  <c r="U44" i="22"/>
  <c r="AA30" i="22"/>
  <c r="Z37" i="22"/>
  <c r="T51" i="22"/>
  <c r="AB35" i="22"/>
  <c r="V49" i="22"/>
  <c r="U43" i="22"/>
  <c r="AA29" i="22"/>
  <c r="Z31" i="22"/>
  <c r="T45" i="22"/>
  <c r="AA32" i="22"/>
  <c r="U46" i="22"/>
  <c r="Z36" i="22"/>
  <c r="T50" i="22"/>
  <c r="AA36" i="22" l="1"/>
  <c r="U50" i="22"/>
  <c r="AB29" i="22"/>
  <c r="V43" i="22"/>
  <c r="AA33" i="22"/>
  <c r="U47" i="22"/>
  <c r="W49" i="22"/>
  <c r="AC35" i="22"/>
  <c r="U51" i="22"/>
  <c r="AA37" i="22"/>
  <c r="AA34" i="22"/>
  <c r="U48" i="22"/>
  <c r="AB32" i="22"/>
  <c r="V46" i="22"/>
  <c r="T52" i="22"/>
  <c r="T89" i="22" s="1"/>
  <c r="V44" i="22"/>
  <c r="AB30" i="22"/>
  <c r="AA31" i="22"/>
  <c r="U45" i="22"/>
  <c r="AB36" i="22" l="1"/>
  <c r="V50" i="22"/>
  <c r="U52" i="22"/>
  <c r="U89" i="22" s="1"/>
  <c r="AC29" i="22"/>
  <c r="X43" i="22" s="1"/>
  <c r="W43" i="22"/>
  <c r="AC30" i="22"/>
  <c r="X44" i="22" s="1"/>
  <c r="W44" i="22"/>
  <c r="AB34" i="22"/>
  <c r="V48" i="22"/>
  <c r="X49" i="22"/>
  <c r="AB31" i="22"/>
  <c r="V45" i="22"/>
  <c r="AC32" i="22"/>
  <c r="X46" i="22" s="1"/>
  <c r="W46" i="22"/>
  <c r="V51" i="22"/>
  <c r="AB37" i="22"/>
  <c r="V47" i="22"/>
  <c r="AB33" i="22"/>
  <c r="AC37" i="22" l="1"/>
  <c r="X51" i="22" s="1"/>
  <c r="W51" i="22"/>
  <c r="AC31" i="22"/>
  <c r="X45" i="22" s="1"/>
  <c r="W45" i="22"/>
  <c r="AC34" i="22"/>
  <c r="W48" i="22"/>
  <c r="AC36" i="22"/>
  <c r="W50" i="22"/>
  <c r="AC33" i="22"/>
  <c r="X47" i="22" s="1"/>
  <c r="W47" i="22"/>
  <c r="V52" i="22"/>
  <c r="V89" i="22" s="1"/>
  <c r="X50" i="22" l="1"/>
  <c r="W52" i="22"/>
  <c r="W89" i="22" s="1"/>
  <c r="X48" i="22"/>
  <c r="X52" i="22" l="1"/>
  <c r="Z43" i="22" s="1"/>
  <c r="Z48" i="22" s="1"/>
  <c r="X89" i="22" l="1"/>
  <c r="H19" i="1" l="1"/>
  <c r="E6" i="20" l="1"/>
  <c r="F6" i="20" s="1"/>
  <c r="G6" i="20" s="1"/>
  <c r="H6" i="20" s="1"/>
  <c r="I6" i="20" s="1"/>
  <c r="J6" i="20" s="1"/>
  <c r="K6" i="20" s="1"/>
  <c r="L6" i="20" s="1"/>
  <c r="M6" i="20" s="1"/>
  <c r="N6" i="20" s="1"/>
  <c r="O6" i="20" s="1"/>
  <c r="P6" i="20" s="1"/>
  <c r="Q6" i="20" s="1"/>
  <c r="R6" i="20" s="1"/>
  <c r="S6" i="20" s="1"/>
  <c r="T6" i="20" s="1"/>
  <c r="U6" i="20" s="1"/>
  <c r="V6" i="20" s="1"/>
  <c r="W6" i="20" s="1"/>
  <c r="X6" i="20" s="1"/>
  <c r="E7" i="20"/>
  <c r="F7" i="20" s="1"/>
  <c r="G7" i="20" s="1"/>
  <c r="H7" i="20" s="1"/>
  <c r="I7" i="20" s="1"/>
  <c r="J7" i="20" s="1"/>
  <c r="K7" i="20" s="1"/>
  <c r="L7" i="20" s="1"/>
  <c r="M7" i="20" s="1"/>
  <c r="N7" i="20" s="1"/>
  <c r="O7" i="20" s="1"/>
  <c r="P7" i="20" s="1"/>
  <c r="Q7" i="20" s="1"/>
  <c r="R7" i="20" s="1"/>
  <c r="S7" i="20" s="1"/>
  <c r="T7" i="20" s="1"/>
  <c r="U7" i="20" s="1"/>
  <c r="V7" i="20" s="1"/>
  <c r="W7" i="20" s="1"/>
  <c r="X7" i="20" s="1"/>
  <c r="C10" i="20" l="1"/>
  <c r="C14" i="20"/>
  <c r="C92" i="15" s="1"/>
  <c r="W9" i="20"/>
  <c r="W16" i="20" s="1"/>
  <c r="S9" i="20"/>
  <c r="S16" i="20" s="1"/>
  <c r="O9" i="20"/>
  <c r="O16" i="20" s="1"/>
  <c r="K9" i="20"/>
  <c r="K16" i="20" s="1"/>
  <c r="G9" i="20"/>
  <c r="G16" i="20" s="1"/>
  <c r="C13" i="20"/>
  <c r="U9" i="20"/>
  <c r="U16" i="20" s="1"/>
  <c r="Q9" i="20"/>
  <c r="Q16" i="20" s="1"/>
  <c r="M9" i="20"/>
  <c r="M16" i="20" s="1"/>
  <c r="E9" i="20"/>
  <c r="E16" i="20" s="1"/>
  <c r="V9" i="20"/>
  <c r="V16" i="20" s="1"/>
  <c r="R9" i="20"/>
  <c r="R16" i="20" s="1"/>
  <c r="N9" i="20"/>
  <c r="N16" i="20" s="1"/>
  <c r="J9" i="20"/>
  <c r="J16" i="20" s="1"/>
  <c r="F9" i="20"/>
  <c r="F16" i="20" s="1"/>
  <c r="X9" i="20"/>
  <c r="X16" i="20" s="1"/>
  <c r="T9" i="20"/>
  <c r="T16" i="20" s="1"/>
  <c r="P9" i="20"/>
  <c r="P16" i="20" s="1"/>
  <c r="L9" i="20"/>
  <c r="L16" i="20" s="1"/>
  <c r="H9" i="20"/>
  <c r="H16" i="20" s="1"/>
  <c r="C11" i="20"/>
  <c r="D9" i="20"/>
  <c r="D16" i="20" s="1"/>
  <c r="D17" i="20" l="1"/>
  <c r="C17" i="20" s="1"/>
  <c r="C89" i="15"/>
  <c r="D2" i="20"/>
  <c r="C16" i="20"/>
  <c r="B7" i="27" s="1"/>
  <c r="C9" i="20"/>
  <c r="C22" i="20" s="1"/>
  <c r="E5" i="19" l="1"/>
  <c r="F5" i="19" s="1"/>
  <c r="G5" i="19" s="1"/>
  <c r="H5" i="19" s="1"/>
  <c r="I5" i="19" s="1"/>
  <c r="J5" i="19" s="1"/>
  <c r="K5" i="19" s="1"/>
  <c r="L5" i="19" s="1"/>
  <c r="M5" i="19" s="1"/>
  <c r="N5" i="19" s="1"/>
  <c r="O5" i="19" s="1"/>
  <c r="P5" i="19" s="1"/>
  <c r="Q5" i="19" s="1"/>
  <c r="R5" i="19" s="1"/>
  <c r="S5" i="19" s="1"/>
  <c r="T5" i="19" s="1"/>
  <c r="U5" i="19" s="1"/>
  <c r="V5" i="19" s="1"/>
  <c r="W5" i="19" s="1"/>
  <c r="X5" i="19" s="1"/>
  <c r="F6" i="19"/>
  <c r="G6" i="19"/>
  <c r="H6" i="19" s="1"/>
  <c r="I6" i="19" s="1"/>
  <c r="J6" i="19" s="1"/>
  <c r="K6" i="19" s="1"/>
  <c r="L6" i="19" s="1"/>
  <c r="M6" i="19" s="1"/>
  <c r="N6" i="19" s="1"/>
  <c r="O6" i="19" s="1"/>
  <c r="P6" i="19" s="1"/>
  <c r="Q6" i="19" s="1"/>
  <c r="R6" i="19" s="1"/>
  <c r="S6" i="19" s="1"/>
  <c r="T6" i="19" s="1"/>
  <c r="U6" i="19" s="1"/>
  <c r="V6" i="19" s="1"/>
  <c r="W6" i="19" s="1"/>
  <c r="X6" i="19" s="1"/>
  <c r="E21" i="19"/>
  <c r="D20" i="19"/>
  <c r="E19" i="19"/>
  <c r="F20" i="19"/>
  <c r="G18" i="19"/>
  <c r="H18" i="19" s="1"/>
  <c r="I18" i="19" s="1"/>
  <c r="D19" i="19"/>
  <c r="I35" i="19"/>
  <c r="I40" i="19" s="1"/>
  <c r="I230" i="18" s="1"/>
  <c r="I231" i="18" s="1"/>
  <c r="D33" i="19"/>
  <c r="E33" i="19"/>
  <c r="D34" i="19"/>
  <c r="D37" i="19" s="1"/>
  <c r="E34" i="19"/>
  <c r="M47" i="19"/>
  <c r="D51" i="19"/>
  <c r="D53" i="19" s="1"/>
  <c r="D52" i="19"/>
  <c r="D54" i="19" s="1"/>
  <c r="H55" i="19"/>
  <c r="D55" i="19" l="1"/>
  <c r="I34" i="19"/>
  <c r="I37" i="19" s="1"/>
  <c r="I33" i="19"/>
  <c r="I36" i="19" s="1"/>
  <c r="I39" i="19" s="1"/>
  <c r="D21" i="19"/>
  <c r="D26" i="19" s="1"/>
  <c r="D23" i="19"/>
  <c r="E36" i="19"/>
  <c r="E39" i="19" s="1"/>
  <c r="G19" i="19"/>
  <c r="E35" i="19"/>
  <c r="E40" i="19" s="1"/>
  <c r="E230" i="18" s="1"/>
  <c r="E231" i="18" s="1"/>
  <c r="F19" i="19"/>
  <c r="F22" i="19" s="1"/>
  <c r="F25" i="19" s="1"/>
  <c r="E37" i="19"/>
  <c r="D22" i="19"/>
  <c r="D25" i="19" s="1"/>
  <c r="G20" i="19"/>
  <c r="E22" i="19"/>
  <c r="E25" i="19" s="1"/>
  <c r="E20" i="19"/>
  <c r="E23" i="19" s="1"/>
  <c r="M30" i="19"/>
  <c r="D35" i="19"/>
  <c r="D40" i="19" s="1"/>
  <c r="D36" i="19"/>
  <c r="D39" i="19" s="1"/>
  <c r="G16" i="19"/>
  <c r="F21" i="19"/>
  <c r="F26" i="19" s="1"/>
  <c r="F23" i="19"/>
  <c r="J18" i="19"/>
  <c r="I19" i="19"/>
  <c r="I20" i="19"/>
  <c r="E26" i="19"/>
  <c r="J32" i="19"/>
  <c r="H20" i="19"/>
  <c r="H19" i="19"/>
  <c r="J19" i="19" l="1"/>
  <c r="J20" i="19"/>
  <c r="K18" i="19"/>
  <c r="G21" i="19"/>
  <c r="G26" i="19" s="1"/>
  <c r="G22" i="19"/>
  <c r="G25" i="19" s="1"/>
  <c r="G23" i="19"/>
  <c r="H16" i="19"/>
  <c r="N30" i="19"/>
  <c r="K32" i="19"/>
  <c r="J33" i="19"/>
  <c r="J36" i="19" s="1"/>
  <c r="J39" i="19" s="1"/>
  <c r="J34" i="19"/>
  <c r="J37" i="19" s="1"/>
  <c r="J35" i="19"/>
  <c r="J40" i="19" s="1"/>
  <c r="G32" i="19"/>
  <c r="F33" i="19"/>
  <c r="F36" i="19" s="1"/>
  <c r="F39" i="19" s="1"/>
  <c r="F34" i="19"/>
  <c r="F37" i="19" s="1"/>
  <c r="F35" i="19"/>
  <c r="F40" i="19" s="1"/>
  <c r="F230" i="18" s="1"/>
  <c r="F231" i="18" s="1"/>
  <c r="O30" i="19" l="1"/>
  <c r="H25" i="19"/>
  <c r="I16" i="19"/>
  <c r="H21" i="19"/>
  <c r="H26" i="19" s="1"/>
  <c r="H22" i="19"/>
  <c r="H23" i="19"/>
  <c r="H32" i="19"/>
  <c r="G34" i="19"/>
  <c r="G37" i="19" s="1"/>
  <c r="G33" i="19"/>
  <c r="G36" i="19" s="1"/>
  <c r="G39" i="19" s="1"/>
  <c r="G35" i="19"/>
  <c r="G40" i="19" s="1"/>
  <c r="G230" i="18" s="1"/>
  <c r="G231" i="18" s="1"/>
  <c r="K33" i="19"/>
  <c r="K36" i="19" s="1"/>
  <c r="K39" i="19" s="1"/>
  <c r="L32" i="19"/>
  <c r="K34" i="19"/>
  <c r="K37" i="19" s="1"/>
  <c r="K35" i="19"/>
  <c r="K40" i="19" s="1"/>
  <c r="L18" i="19"/>
  <c r="K20" i="19"/>
  <c r="K19" i="19"/>
  <c r="L34" i="19" l="1"/>
  <c r="L37" i="19" s="1"/>
  <c r="M32" i="19"/>
  <c r="L33" i="19"/>
  <c r="L36" i="19" s="1"/>
  <c r="L39" i="19" s="1"/>
  <c r="L35" i="19"/>
  <c r="L40" i="19" s="1"/>
  <c r="L20" i="19"/>
  <c r="M18" i="19"/>
  <c r="L19" i="19"/>
  <c r="H33" i="19"/>
  <c r="H36" i="19" s="1"/>
  <c r="H39" i="19" s="1"/>
  <c r="H34" i="19"/>
  <c r="H37" i="19" s="1"/>
  <c r="H35" i="19"/>
  <c r="H40" i="19" s="1"/>
  <c r="H230" i="18" s="1"/>
  <c r="H231" i="18" s="1"/>
  <c r="P30" i="19"/>
  <c r="I23" i="19"/>
  <c r="I21" i="19"/>
  <c r="I26" i="19" s="1"/>
  <c r="I22" i="19"/>
  <c r="I25" i="19" s="1"/>
  <c r="J16" i="19"/>
  <c r="K16" i="19" l="1"/>
  <c r="J22" i="19"/>
  <c r="J25" i="19" s="1"/>
  <c r="J23" i="19"/>
  <c r="J21" i="19"/>
  <c r="J26" i="19" s="1"/>
  <c r="Q30" i="19"/>
  <c r="N18" i="19"/>
  <c r="M19" i="19"/>
  <c r="M20" i="19"/>
  <c r="M34" i="19"/>
  <c r="M37" i="19" s="1"/>
  <c r="N32" i="19"/>
  <c r="M33" i="19"/>
  <c r="M36" i="19" s="1"/>
  <c r="M39" i="19" s="1"/>
  <c r="M35" i="19"/>
  <c r="M40" i="19" s="1"/>
  <c r="O32" i="19" l="1"/>
  <c r="N33" i="19"/>
  <c r="N36" i="19" s="1"/>
  <c r="N39" i="19" s="1"/>
  <c r="N34" i="19"/>
  <c r="N37" i="19" s="1"/>
  <c r="N35" i="19"/>
  <c r="N40" i="19" s="1"/>
  <c r="N19" i="19"/>
  <c r="N20" i="19"/>
  <c r="O18" i="19"/>
  <c r="K21" i="19"/>
  <c r="K26" i="19" s="1"/>
  <c r="L16" i="19"/>
  <c r="K23" i="19"/>
  <c r="K22" i="19"/>
  <c r="K25" i="19" s="1"/>
  <c r="R30" i="19"/>
  <c r="O19" i="19" l="1"/>
  <c r="O20" i="19"/>
  <c r="P18" i="19"/>
  <c r="S30" i="19"/>
  <c r="L23" i="19"/>
  <c r="L21" i="19"/>
  <c r="L26" i="19" s="1"/>
  <c r="M16" i="19"/>
  <c r="L22" i="19"/>
  <c r="L25" i="19" s="1"/>
  <c r="P32" i="19"/>
  <c r="O34" i="19"/>
  <c r="O37" i="19" s="1"/>
  <c r="O33" i="19"/>
  <c r="O36" i="19" s="1"/>
  <c r="O39" i="19" s="1"/>
  <c r="O35" i="19"/>
  <c r="O40" i="19" s="1"/>
  <c r="P20" i="19" l="1"/>
  <c r="P19" i="19"/>
  <c r="Q18" i="19"/>
  <c r="M23" i="19"/>
  <c r="N16" i="19"/>
  <c r="M21" i="19"/>
  <c r="M26" i="19" s="1"/>
  <c r="M22" i="19"/>
  <c r="M25" i="19" s="1"/>
  <c r="P33" i="19"/>
  <c r="P36" i="19" s="1"/>
  <c r="P39" i="19" s="1"/>
  <c r="Q32" i="19"/>
  <c r="P34" i="19"/>
  <c r="P37" i="19" s="1"/>
  <c r="P35" i="19"/>
  <c r="P40" i="19" s="1"/>
  <c r="T30" i="19"/>
  <c r="U30" i="19" l="1"/>
  <c r="O16" i="19"/>
  <c r="N22" i="19"/>
  <c r="N25" i="19" s="1"/>
  <c r="N21" i="19"/>
  <c r="N26" i="19" s="1"/>
  <c r="N23" i="19"/>
  <c r="Q34" i="19"/>
  <c r="Q37" i="19" s="1"/>
  <c r="R32" i="19"/>
  <c r="Q33" i="19"/>
  <c r="Q36" i="19" s="1"/>
  <c r="Q39" i="19" s="1"/>
  <c r="Q35" i="19"/>
  <c r="Q40" i="19" s="1"/>
  <c r="R18" i="19"/>
  <c r="Q19" i="19"/>
  <c r="Q20" i="19"/>
  <c r="S32" i="19" l="1"/>
  <c r="R33" i="19"/>
  <c r="R36" i="19" s="1"/>
  <c r="R39" i="19" s="1"/>
  <c r="R34" i="19"/>
  <c r="R37" i="19" s="1"/>
  <c r="R35" i="19"/>
  <c r="R40" i="19" s="1"/>
  <c r="S18" i="19"/>
  <c r="R20" i="19"/>
  <c r="R19" i="19"/>
  <c r="O21" i="19"/>
  <c r="O26" i="19" s="1"/>
  <c r="O22" i="19"/>
  <c r="O25" i="19" s="1"/>
  <c r="O23" i="19"/>
  <c r="P16" i="19"/>
  <c r="V30" i="19"/>
  <c r="W30" i="19" l="1"/>
  <c r="Q16" i="19"/>
  <c r="P21" i="19"/>
  <c r="P26" i="19" s="1"/>
  <c r="P22" i="19"/>
  <c r="P25" i="19" s="1"/>
  <c r="P23" i="19"/>
  <c r="S19" i="19"/>
  <c r="S20" i="19"/>
  <c r="T18" i="19"/>
  <c r="S34" i="19"/>
  <c r="S37" i="19" s="1"/>
  <c r="S33" i="19"/>
  <c r="S36" i="19" s="1"/>
  <c r="S39" i="19" s="1"/>
  <c r="T32" i="19"/>
  <c r="S35" i="19"/>
  <c r="S40" i="19" s="1"/>
  <c r="U32" i="19" l="1"/>
  <c r="T34" i="19"/>
  <c r="T37" i="19" s="1"/>
  <c r="T33" i="19"/>
  <c r="T36" i="19" s="1"/>
  <c r="T39" i="19" s="1"/>
  <c r="T35" i="19"/>
  <c r="T40" i="19" s="1"/>
  <c r="Q23" i="19"/>
  <c r="R16" i="19"/>
  <c r="Q22" i="19"/>
  <c r="Q25" i="19" s="1"/>
  <c r="Q21" i="19"/>
  <c r="Q26" i="19" s="1"/>
  <c r="X30" i="19"/>
  <c r="T20" i="19"/>
  <c r="U18" i="19"/>
  <c r="T19" i="19"/>
  <c r="V18" i="19" l="1"/>
  <c r="U19" i="19"/>
  <c r="U20" i="19"/>
  <c r="S16" i="19"/>
  <c r="R22" i="19"/>
  <c r="R25" i="19"/>
  <c r="R21" i="19"/>
  <c r="R26" i="19" s="1"/>
  <c r="R23" i="19"/>
  <c r="U34" i="19"/>
  <c r="U37" i="19" s="1"/>
  <c r="U33" i="19"/>
  <c r="U36" i="19" s="1"/>
  <c r="U39" i="19" s="1"/>
  <c r="V32" i="19"/>
  <c r="U35" i="19"/>
  <c r="U40" i="19" s="1"/>
  <c r="W32" i="19" l="1"/>
  <c r="V33" i="19"/>
  <c r="V36" i="19" s="1"/>
  <c r="V39" i="19" s="1"/>
  <c r="V34" i="19"/>
  <c r="V37" i="19" s="1"/>
  <c r="V35" i="19"/>
  <c r="V40" i="19" s="1"/>
  <c r="V19" i="19"/>
  <c r="V20" i="19"/>
  <c r="W18" i="19"/>
  <c r="S21" i="19"/>
  <c r="S26" i="19" s="1"/>
  <c r="T16" i="19"/>
  <c r="S23" i="19"/>
  <c r="S22" i="19"/>
  <c r="S25" i="19" s="1"/>
  <c r="T21" i="19" l="1"/>
  <c r="T26" i="19" s="1"/>
  <c r="T22" i="19"/>
  <c r="T25" i="19" s="1"/>
  <c r="T23" i="19"/>
  <c r="U16" i="19"/>
  <c r="X18" i="19"/>
  <c r="W19" i="19"/>
  <c r="W20" i="19"/>
  <c r="X32" i="19"/>
  <c r="W33" i="19"/>
  <c r="W36" i="19" s="1"/>
  <c r="W39" i="19" s="1"/>
  <c r="W34" i="19"/>
  <c r="W37" i="19" s="1"/>
  <c r="W35" i="19"/>
  <c r="W40" i="19" s="1"/>
  <c r="X34" i="19" l="1"/>
  <c r="X37" i="19" s="1"/>
  <c r="X33" i="19"/>
  <c r="X36" i="19" s="1"/>
  <c r="X39" i="19" s="1"/>
  <c r="X35" i="19"/>
  <c r="X40" i="19" s="1"/>
  <c r="X20" i="19"/>
  <c r="X19" i="19"/>
  <c r="U23" i="19"/>
  <c r="U21" i="19"/>
  <c r="U26" i="19" s="1"/>
  <c r="U22" i="19"/>
  <c r="U25" i="19" s="1"/>
  <c r="V16" i="19"/>
  <c r="W16" i="19" l="1"/>
  <c r="V22" i="19"/>
  <c r="V25" i="19" s="1"/>
  <c r="V21" i="19"/>
  <c r="V26" i="19" s="1"/>
  <c r="V23" i="19"/>
  <c r="W21" i="19" l="1"/>
  <c r="W26" i="19"/>
  <c r="X16" i="19"/>
  <c r="W22" i="19"/>
  <c r="W25" i="19" s="1"/>
  <c r="W23" i="19"/>
  <c r="X21" i="19" l="1"/>
  <c r="X26" i="19" s="1"/>
  <c r="X23" i="19"/>
  <c r="X22" i="19"/>
  <c r="X25" i="19" s="1"/>
  <c r="D21" i="17" l="1"/>
  <c r="C72" i="15" s="1"/>
  <c r="E5" i="18"/>
  <c r="F5" i="18" s="1"/>
  <c r="E6" i="18"/>
  <c r="F6" i="18" s="1"/>
  <c r="G6" i="18" s="1"/>
  <c r="H6" i="18" s="1"/>
  <c r="I6" i="18" s="1"/>
  <c r="J6" i="18" s="1"/>
  <c r="K6" i="18" s="1"/>
  <c r="L6" i="18" s="1"/>
  <c r="M6" i="18" s="1"/>
  <c r="N6" i="18" s="1"/>
  <c r="O6" i="18" s="1"/>
  <c r="P6" i="18" s="1"/>
  <c r="Q6" i="18" s="1"/>
  <c r="R6" i="18" s="1"/>
  <c r="S6" i="18" s="1"/>
  <c r="T6" i="18" s="1"/>
  <c r="U6" i="18" s="1"/>
  <c r="V6" i="18" s="1"/>
  <c r="W6" i="18" s="1"/>
  <c r="X6" i="18" s="1"/>
  <c r="Y6" i="18" s="1"/>
  <c r="E17" i="18"/>
  <c r="F17" i="18" s="1"/>
  <c r="G17" i="18"/>
  <c r="H17" i="18"/>
  <c r="I17" i="18"/>
  <c r="J17" i="18"/>
  <c r="K17" i="18"/>
  <c r="D18" i="18"/>
  <c r="K70" i="18"/>
  <c r="D74" i="18"/>
  <c r="D77" i="18" s="1"/>
  <c r="E210" i="18" s="1"/>
  <c r="E211" i="18" s="1"/>
  <c r="D75" i="18"/>
  <c r="D78" i="18" s="1"/>
  <c r="K76" i="18"/>
  <c r="K99" i="18"/>
  <c r="K100" i="18"/>
  <c r="G110" i="18"/>
  <c r="D183" i="18"/>
  <c r="M178" i="18" s="1"/>
  <c r="M175" i="18" s="1"/>
  <c r="M176" i="18" s="1"/>
  <c r="D185" i="18"/>
  <c r="D186" i="18"/>
  <c r="E186" i="18" s="1"/>
  <c r="F186" i="18" s="1"/>
  <c r="G186" i="18" s="1"/>
  <c r="N186" i="18"/>
  <c r="O186" i="18" s="1"/>
  <c r="P186" i="18" s="1"/>
  <c r="Q186" i="18" s="1"/>
  <c r="R186" i="18" s="1"/>
  <c r="S186" i="18" s="1"/>
  <c r="T186" i="18" s="1"/>
  <c r="U186" i="18" s="1"/>
  <c r="V186" i="18" s="1"/>
  <c r="W186" i="18" s="1"/>
  <c r="X186" i="18" s="1"/>
  <c r="Y186" i="18" s="1"/>
  <c r="I18" i="1"/>
  <c r="G5" i="18" l="1"/>
  <c r="F185" i="18"/>
  <c r="F210" i="18"/>
  <c r="D80" i="18"/>
  <c r="E207" i="18" s="1"/>
  <c r="E212" i="18" s="1"/>
  <c r="F207" i="18"/>
  <c r="D81" i="18"/>
  <c r="E208" i="18" s="1"/>
  <c r="E18" i="18"/>
  <c r="D203" i="18"/>
  <c r="D68" i="18"/>
  <c r="I19" i="1"/>
  <c r="E185" i="18"/>
  <c r="E95" i="18"/>
  <c r="M179" i="18"/>
  <c r="M180" i="18" s="1"/>
  <c r="L174" i="18"/>
  <c r="G111" i="18"/>
  <c r="E92" i="18"/>
  <c r="G89" i="18" s="1"/>
  <c r="L177" i="18"/>
  <c r="G151" i="18"/>
  <c r="I159" i="18"/>
  <c r="J159" i="18"/>
  <c r="H186" i="18"/>
  <c r="J186" i="18" s="1"/>
  <c r="K186" i="18" s="1"/>
  <c r="L186" i="18" s="1"/>
  <c r="M186" i="18" s="1"/>
  <c r="I186" i="18"/>
  <c r="G153" i="18"/>
  <c r="G154" i="18"/>
  <c r="H159" i="18"/>
  <c r="G130" i="18"/>
  <c r="G131" i="18"/>
  <c r="G133" i="18" s="1"/>
  <c r="H71" i="18" l="1"/>
  <c r="D70" i="18" s="1"/>
  <c r="D188" i="18" s="1"/>
  <c r="F17" i="23"/>
  <c r="G185" i="18"/>
  <c r="H5" i="18"/>
  <c r="I118" i="18"/>
  <c r="J118" i="18"/>
  <c r="F18" i="18"/>
  <c r="E203" i="18"/>
  <c r="G132" i="18"/>
  <c r="G134" i="18" s="1"/>
  <c r="I138" i="18"/>
  <c r="H138" i="18"/>
  <c r="H118" i="18"/>
  <c r="I160" i="18"/>
  <c r="G113" i="18"/>
  <c r="J115" i="18" s="1"/>
  <c r="J110" i="18" s="1"/>
  <c r="F175" i="18" s="1"/>
  <c r="G112" i="18"/>
  <c r="K159" i="18"/>
  <c r="G91" i="18"/>
  <c r="H98" i="18" s="1"/>
  <c r="H140" i="18"/>
  <c r="I140" i="18"/>
  <c r="J140" i="18"/>
  <c r="J138" i="18"/>
  <c r="J113" i="18"/>
  <c r="F176" i="18" s="1"/>
  <c r="I161" i="18"/>
  <c r="J161" i="18"/>
  <c r="H161" i="18"/>
  <c r="J156" i="18"/>
  <c r="J135" i="18"/>
  <c r="J130" i="18" s="1"/>
  <c r="J160" i="18"/>
  <c r="G155" i="18"/>
  <c r="I154" i="18" s="1"/>
  <c r="H160" i="18"/>
  <c r="K156" i="18"/>
  <c r="G90" i="18"/>
  <c r="F21" i="23" l="1"/>
  <c r="D29" i="23"/>
  <c r="E188" i="18"/>
  <c r="D31" i="18"/>
  <c r="D52" i="18"/>
  <c r="I5" i="18"/>
  <c r="H185" i="18"/>
  <c r="F203" i="18"/>
  <c r="G18" i="18"/>
  <c r="K138" i="18"/>
  <c r="I139" i="18"/>
  <c r="I130" i="18"/>
  <c r="I133" i="18"/>
  <c r="I135" i="18"/>
  <c r="I131" i="18"/>
  <c r="I129" i="18"/>
  <c r="H139" i="18"/>
  <c r="I132" i="18"/>
  <c r="K135" i="18"/>
  <c r="K129" i="18" s="1"/>
  <c r="J139" i="18"/>
  <c r="G114" i="18"/>
  <c r="I115" i="18" s="1"/>
  <c r="J119" i="18"/>
  <c r="K118" i="18"/>
  <c r="I120" i="18"/>
  <c r="J120" i="18"/>
  <c r="I153" i="18"/>
  <c r="H120" i="18"/>
  <c r="I119" i="18"/>
  <c r="K115" i="18"/>
  <c r="K109" i="18" s="1"/>
  <c r="H119" i="18"/>
  <c r="K160" i="18"/>
  <c r="J133" i="18"/>
  <c r="H176" i="18" s="1"/>
  <c r="K140" i="18"/>
  <c r="H175" i="18"/>
  <c r="J151" i="18"/>
  <c r="J154" i="18"/>
  <c r="J176" i="18" s="1"/>
  <c r="K161" i="18"/>
  <c r="I111" i="18"/>
  <c r="K150" i="18"/>
  <c r="K152" i="18"/>
  <c r="J179" i="18" s="1"/>
  <c r="K153" i="18"/>
  <c r="J180" i="18" s="1"/>
  <c r="G93" i="18"/>
  <c r="J95" i="18" s="1"/>
  <c r="J98" i="18"/>
  <c r="G92" i="18"/>
  <c r="I98" i="18"/>
  <c r="I156" i="18"/>
  <c r="I150" i="18"/>
  <c r="I151" i="18"/>
  <c r="I152" i="18"/>
  <c r="J114" i="18"/>
  <c r="J90" i="18"/>
  <c r="D175" i="18" s="1"/>
  <c r="J5" i="18" l="1"/>
  <c r="I185" i="18"/>
  <c r="D36" i="23"/>
  <c r="D35" i="23"/>
  <c r="C29" i="23"/>
  <c r="H18" i="18"/>
  <c r="G203" i="18"/>
  <c r="E31" i="18"/>
  <c r="E52" i="18"/>
  <c r="F188" i="18"/>
  <c r="K139" i="18"/>
  <c r="I134" i="18"/>
  <c r="K131" i="18"/>
  <c r="H179" i="18" s="1"/>
  <c r="K120" i="18"/>
  <c r="I109" i="18"/>
  <c r="I110" i="18"/>
  <c r="I112" i="18"/>
  <c r="I113" i="18"/>
  <c r="K112" i="18"/>
  <c r="F180" i="18" s="1"/>
  <c r="K119" i="18"/>
  <c r="K98" i="18"/>
  <c r="K132" i="18"/>
  <c r="H180" i="18" s="1"/>
  <c r="K111" i="18"/>
  <c r="F179" i="18" s="1"/>
  <c r="J134" i="18"/>
  <c r="I155" i="18"/>
  <c r="F178" i="18"/>
  <c r="K155" i="18"/>
  <c r="J178" i="18"/>
  <c r="J93" i="18"/>
  <c r="D176" i="18" s="1"/>
  <c r="H178" i="18"/>
  <c r="G94" i="18"/>
  <c r="K95" i="18"/>
  <c r="K92" i="18" s="1"/>
  <c r="D180" i="18" s="1"/>
  <c r="J155" i="18"/>
  <c r="J175" i="18"/>
  <c r="D192" i="18" s="1"/>
  <c r="K5" i="18" l="1"/>
  <c r="J185" i="18"/>
  <c r="G35" i="23"/>
  <c r="D37" i="23"/>
  <c r="D38" i="23" s="1"/>
  <c r="D207" i="18"/>
  <c r="G36" i="23"/>
  <c r="F31" i="18"/>
  <c r="F52" i="18"/>
  <c r="G188" i="18"/>
  <c r="I18" i="18"/>
  <c r="H203" i="18"/>
  <c r="I114" i="18"/>
  <c r="K134" i="18"/>
  <c r="K114" i="18"/>
  <c r="L175" i="18"/>
  <c r="N175" i="18" s="1"/>
  <c r="D24" i="18"/>
  <c r="D45" i="18"/>
  <c r="E192" i="18"/>
  <c r="F192" i="18" s="1"/>
  <c r="I95" i="18"/>
  <c r="I89" i="18"/>
  <c r="I91" i="18"/>
  <c r="I90" i="18"/>
  <c r="I93" i="18"/>
  <c r="I92" i="18"/>
  <c r="K89" i="18"/>
  <c r="K91" i="18"/>
  <c r="D179" i="18" s="1"/>
  <c r="D196" i="18" s="1"/>
  <c r="D211" i="18" s="1"/>
  <c r="L180" i="18"/>
  <c r="N180" i="18" s="1"/>
  <c r="D197" i="18"/>
  <c r="D212" i="18" s="1"/>
  <c r="D193" i="18"/>
  <c r="D208" i="18" s="1"/>
  <c r="C224" i="18" s="1"/>
  <c r="L176" i="18"/>
  <c r="N176" i="18" s="1"/>
  <c r="H163" i="23" l="1"/>
  <c r="H164" i="23" s="1"/>
  <c r="G163" i="23"/>
  <c r="G164" i="23" s="1"/>
  <c r="C225" i="18"/>
  <c r="C226" i="18" s="1"/>
  <c r="E226" i="18" s="1"/>
  <c r="E228" i="18" s="1"/>
  <c r="J18" i="18"/>
  <c r="I203" i="18"/>
  <c r="L5" i="18"/>
  <c r="K185" i="18"/>
  <c r="G31" i="18"/>
  <c r="G52" i="18"/>
  <c r="H188" i="18"/>
  <c r="G226" i="18"/>
  <c r="G228" i="18" s="1"/>
  <c r="D191" i="18"/>
  <c r="D25" i="18"/>
  <c r="D36" i="18" s="1"/>
  <c r="D46" i="18"/>
  <c r="D57" i="18" s="1"/>
  <c r="E193" i="18"/>
  <c r="L179" i="18"/>
  <c r="D29" i="18"/>
  <c r="D40" i="18" s="1"/>
  <c r="D50" i="18"/>
  <c r="D61" i="18" s="1"/>
  <c r="E197" i="18"/>
  <c r="K94" i="18"/>
  <c r="D178" i="18"/>
  <c r="E24" i="18"/>
  <c r="E45" i="18"/>
  <c r="I94" i="18"/>
  <c r="D56" i="18"/>
  <c r="D35" i="18"/>
  <c r="H52" i="18" l="1"/>
  <c r="I188" i="18"/>
  <c r="H31" i="18"/>
  <c r="M5" i="18"/>
  <c r="L185" i="18"/>
  <c r="N179" i="18"/>
  <c r="L181" i="18"/>
  <c r="I226" i="18"/>
  <c r="I228" i="18" s="1"/>
  <c r="F226" i="18"/>
  <c r="F228" i="18" s="1"/>
  <c r="D226" i="18"/>
  <c r="D228" i="18" s="1"/>
  <c r="K18" i="18"/>
  <c r="J203" i="18"/>
  <c r="H226" i="18"/>
  <c r="H228" i="18" s="1"/>
  <c r="D23" i="18"/>
  <c r="D11" i="18"/>
  <c r="D34" i="18"/>
  <c r="E29" i="18"/>
  <c r="E40" i="18" s="1"/>
  <c r="E50" i="18"/>
  <c r="E61" i="18" s="1"/>
  <c r="F197" i="18"/>
  <c r="D44" i="18"/>
  <c r="F24" i="18"/>
  <c r="F45" i="18"/>
  <c r="G192" i="18"/>
  <c r="D15" i="18"/>
  <c r="D28" i="18"/>
  <c r="D39" i="18" s="1"/>
  <c r="D49" i="18"/>
  <c r="D60" i="18" s="1"/>
  <c r="E196" i="18"/>
  <c r="E35" i="18"/>
  <c r="E25" i="18"/>
  <c r="E36" i="18" s="1"/>
  <c r="E46" i="18"/>
  <c r="E57" i="18" s="1"/>
  <c r="F193" i="18"/>
  <c r="F191" i="18" s="1"/>
  <c r="E191" i="18"/>
  <c r="D55" i="18"/>
  <c r="D10" i="18"/>
  <c r="E56" i="18"/>
  <c r="L178" i="18"/>
  <c r="D195" i="18"/>
  <c r="I31" i="18" l="1"/>
  <c r="I52" i="18"/>
  <c r="J188" i="18"/>
  <c r="D210" i="18"/>
  <c r="D194" i="18"/>
  <c r="N5" i="18"/>
  <c r="M185" i="18"/>
  <c r="N178" i="18"/>
  <c r="N181" i="18" s="1"/>
  <c r="P42" i="19" s="1"/>
  <c r="P8" i="19" s="1"/>
  <c r="L182" i="18"/>
  <c r="M182" i="18" s="1"/>
  <c r="L18" i="18"/>
  <c r="M18" i="18" s="1"/>
  <c r="N18" i="18" s="1"/>
  <c r="O18" i="18" s="1"/>
  <c r="P18" i="18" s="1"/>
  <c r="Q18" i="18" s="1"/>
  <c r="R18" i="18" s="1"/>
  <c r="S18" i="18" s="1"/>
  <c r="T18" i="18" s="1"/>
  <c r="U18" i="18" s="1"/>
  <c r="V18" i="18" s="1"/>
  <c r="W18" i="18" s="1"/>
  <c r="X18" i="18" s="1"/>
  <c r="Y18" i="18" s="1"/>
  <c r="K203" i="18"/>
  <c r="T42" i="19"/>
  <c r="T8" i="19" s="1"/>
  <c r="H42" i="19"/>
  <c r="H8" i="19" s="1"/>
  <c r="D42" i="19"/>
  <c r="D8" i="19" s="1"/>
  <c r="O42" i="19"/>
  <c r="O8" i="19" s="1"/>
  <c r="K42" i="19"/>
  <c r="K8" i="19" s="1"/>
  <c r="R42" i="19"/>
  <c r="R8" i="19" s="1"/>
  <c r="N42" i="19"/>
  <c r="N8" i="19" s="1"/>
  <c r="U42" i="19"/>
  <c r="U8" i="19" s="1"/>
  <c r="Q42" i="19"/>
  <c r="Q8" i="19" s="1"/>
  <c r="E42" i="19"/>
  <c r="E8" i="19" s="1"/>
  <c r="X42" i="19"/>
  <c r="X8" i="19" s="1"/>
  <c r="D9" i="18"/>
  <c r="D14" i="18"/>
  <c r="E23" i="18"/>
  <c r="D190" i="18"/>
  <c r="D27" i="18"/>
  <c r="D48" i="18"/>
  <c r="E195" i="18"/>
  <c r="E10" i="18"/>
  <c r="E55" i="18"/>
  <c r="F35" i="18"/>
  <c r="E44" i="18"/>
  <c r="E34" i="18"/>
  <c r="E49" i="18"/>
  <c r="E60" i="18" s="1"/>
  <c r="E28" i="18"/>
  <c r="E39" i="18" s="1"/>
  <c r="F196" i="18"/>
  <c r="G24" i="18"/>
  <c r="G45" i="18"/>
  <c r="H192" i="18"/>
  <c r="F25" i="18"/>
  <c r="F36" i="18" s="1"/>
  <c r="F46" i="18"/>
  <c r="F57" i="18" s="1"/>
  <c r="G193" i="18"/>
  <c r="F56" i="18"/>
  <c r="F29" i="18"/>
  <c r="F40" i="18" s="1"/>
  <c r="F50" i="18"/>
  <c r="F61" i="18" s="1"/>
  <c r="G197" i="18"/>
  <c r="E11" i="18"/>
  <c r="E15" i="18"/>
  <c r="C219" i="18" l="1"/>
  <c r="D213" i="18"/>
  <c r="I42" i="19"/>
  <c r="I8" i="19" s="1"/>
  <c r="F42" i="19"/>
  <c r="F8" i="19" s="1"/>
  <c r="V42" i="19"/>
  <c r="V8" i="19" s="1"/>
  <c r="S42" i="19"/>
  <c r="S8" i="19" s="1"/>
  <c r="L42" i="19"/>
  <c r="L8" i="19" s="1"/>
  <c r="M42" i="19"/>
  <c r="M8" i="19" s="1"/>
  <c r="J42" i="19"/>
  <c r="J8" i="19" s="1"/>
  <c r="G42" i="19"/>
  <c r="G8" i="19" s="1"/>
  <c r="W42" i="19"/>
  <c r="W8" i="19" s="1"/>
  <c r="O5" i="18"/>
  <c r="N185" i="18"/>
  <c r="J52" i="18"/>
  <c r="K188" i="18"/>
  <c r="J31" i="18"/>
  <c r="F15" i="18"/>
  <c r="F11" i="18"/>
  <c r="E9" i="18"/>
  <c r="F34" i="18"/>
  <c r="F10" i="18"/>
  <c r="F55" i="18"/>
  <c r="G35" i="18"/>
  <c r="D47" i="18"/>
  <c r="D43" i="18" s="1"/>
  <c r="D59" i="18"/>
  <c r="G29" i="18"/>
  <c r="G40" i="18" s="1"/>
  <c r="G50" i="18"/>
  <c r="G61" i="18" s="1"/>
  <c r="H197" i="18"/>
  <c r="F44" i="18"/>
  <c r="G25" i="18"/>
  <c r="G36" i="18" s="1"/>
  <c r="G46" i="18"/>
  <c r="G57" i="18" s="1"/>
  <c r="H193" i="18"/>
  <c r="H191" i="18" s="1"/>
  <c r="G191" i="18"/>
  <c r="F49" i="18"/>
  <c r="F60" i="18" s="1"/>
  <c r="G196" i="18"/>
  <c r="F28" i="18"/>
  <c r="F39" i="18" s="1"/>
  <c r="D26" i="18"/>
  <c r="D22" i="18" s="1"/>
  <c r="D38" i="18"/>
  <c r="D37" i="18" s="1"/>
  <c r="D33" i="18" s="1"/>
  <c r="H24" i="18"/>
  <c r="H45" i="18"/>
  <c r="I192" i="18"/>
  <c r="G44" i="18"/>
  <c r="G56" i="18"/>
  <c r="E14" i="18"/>
  <c r="F23" i="18"/>
  <c r="E27" i="18"/>
  <c r="E48" i="18"/>
  <c r="E194" i="18"/>
  <c r="E190" i="18" s="1"/>
  <c r="F195" i="18"/>
  <c r="Z8" i="19" l="1"/>
  <c r="F213" i="18"/>
  <c r="C216" i="18" s="1"/>
  <c r="E213" i="18"/>
  <c r="C215" i="18" s="1"/>
  <c r="C220" i="18"/>
  <c r="D41" i="18"/>
  <c r="D42" i="18" s="1"/>
  <c r="O185" i="18"/>
  <c r="P5" i="18"/>
  <c r="K31" i="18"/>
  <c r="K52" i="18"/>
  <c r="L188" i="18"/>
  <c r="F9" i="18"/>
  <c r="G11" i="18"/>
  <c r="H29" i="18"/>
  <c r="H40" i="18" s="1"/>
  <c r="I197" i="18"/>
  <c r="H50" i="18"/>
  <c r="H61" i="18" s="1"/>
  <c r="E47" i="18"/>
  <c r="E43" i="18" s="1"/>
  <c r="E59" i="18"/>
  <c r="F14" i="18"/>
  <c r="G15" i="18"/>
  <c r="D13" i="18"/>
  <c r="D12" i="18" s="1"/>
  <c r="D8" i="18" s="1"/>
  <c r="D58" i="18"/>
  <c r="D54" i="18" s="1"/>
  <c r="G34" i="18"/>
  <c r="F27" i="18"/>
  <c r="F48" i="18"/>
  <c r="G195" i="18"/>
  <c r="F194" i="18"/>
  <c r="F190" i="18" s="1"/>
  <c r="H56" i="18"/>
  <c r="H25" i="18"/>
  <c r="H36" i="18" s="1"/>
  <c r="H46" i="18"/>
  <c r="H57" i="18" s="1"/>
  <c r="I193" i="18"/>
  <c r="H35" i="18"/>
  <c r="G28" i="18"/>
  <c r="G39" i="18" s="1"/>
  <c r="G49" i="18"/>
  <c r="G60" i="18" s="1"/>
  <c r="H196" i="18"/>
  <c r="H28" i="18" s="1"/>
  <c r="H39" i="18" s="1"/>
  <c r="E26" i="18"/>
  <c r="E22" i="18" s="1"/>
  <c r="E41" i="18" s="1"/>
  <c r="E42" i="18" s="1"/>
  <c r="E38" i="18"/>
  <c r="E37" i="18" s="1"/>
  <c r="E33" i="18" s="1"/>
  <c r="G55" i="18"/>
  <c r="G10" i="18"/>
  <c r="I24" i="18"/>
  <c r="I45" i="18"/>
  <c r="J192" i="18"/>
  <c r="G23" i="18"/>
  <c r="G9" i="18" l="1"/>
  <c r="Q5" i="18"/>
  <c r="P185" i="18"/>
  <c r="M188" i="18"/>
  <c r="L31" i="18"/>
  <c r="L52" i="18"/>
  <c r="H11" i="18"/>
  <c r="H15" i="18"/>
  <c r="H34" i="18"/>
  <c r="H23" i="18"/>
  <c r="F26" i="18"/>
  <c r="F22" i="18" s="1"/>
  <c r="F38" i="18"/>
  <c r="F37" i="18" s="1"/>
  <c r="F33" i="18" s="1"/>
  <c r="I35" i="18"/>
  <c r="H49" i="18"/>
  <c r="H60" i="18" s="1"/>
  <c r="H14" i="18" s="1"/>
  <c r="I196" i="18"/>
  <c r="H10" i="18"/>
  <c r="H55" i="18"/>
  <c r="J24" i="18"/>
  <c r="J45" i="18"/>
  <c r="K192" i="18"/>
  <c r="G14" i="18"/>
  <c r="H44" i="18"/>
  <c r="G27" i="18"/>
  <c r="G48" i="18"/>
  <c r="H195" i="18"/>
  <c r="G194" i="18"/>
  <c r="G190" i="18" s="1"/>
  <c r="I56" i="18"/>
  <c r="I46" i="18"/>
  <c r="I57" i="18" s="1"/>
  <c r="J193" i="18"/>
  <c r="J191" i="18" s="1"/>
  <c r="I25" i="18"/>
  <c r="I36" i="18" s="1"/>
  <c r="I29" i="18"/>
  <c r="I40" i="18" s="1"/>
  <c r="I50" i="18"/>
  <c r="I61" i="18" s="1"/>
  <c r="J197" i="18"/>
  <c r="I191" i="18"/>
  <c r="F47" i="18"/>
  <c r="F43" i="18" s="1"/>
  <c r="F59" i="18"/>
  <c r="E13" i="18"/>
  <c r="E12" i="18" s="1"/>
  <c r="E8" i="18" s="1"/>
  <c r="E58" i="18"/>
  <c r="E54" i="18" s="1"/>
  <c r="F41" i="18" l="1"/>
  <c r="F42" i="18" s="1"/>
  <c r="R5" i="18"/>
  <c r="Q185" i="18"/>
  <c r="N188" i="18"/>
  <c r="M31" i="18"/>
  <c r="M52" i="18"/>
  <c r="H9" i="18"/>
  <c r="I15" i="18"/>
  <c r="I34" i="18"/>
  <c r="I44" i="18"/>
  <c r="I10" i="18"/>
  <c r="I55" i="18"/>
  <c r="J56" i="18"/>
  <c r="I28" i="18"/>
  <c r="I39" i="18" s="1"/>
  <c r="I49" i="18"/>
  <c r="I60" i="18" s="1"/>
  <c r="J196" i="18"/>
  <c r="F13" i="18"/>
  <c r="F12" i="18" s="1"/>
  <c r="F8" i="18" s="1"/>
  <c r="F58" i="18"/>
  <c r="F54" i="18" s="1"/>
  <c r="J29" i="18"/>
  <c r="J40" i="18" s="1"/>
  <c r="J50" i="18"/>
  <c r="J61" i="18" s="1"/>
  <c r="K197" i="18"/>
  <c r="H27" i="18"/>
  <c r="H194" i="18"/>
  <c r="H190" i="18" s="1"/>
  <c r="H48" i="18"/>
  <c r="I195" i="18"/>
  <c r="J25" i="18"/>
  <c r="J36" i="18" s="1"/>
  <c r="J46" i="18"/>
  <c r="J57" i="18" s="1"/>
  <c r="K193" i="18"/>
  <c r="G47" i="18"/>
  <c r="G43" i="18" s="1"/>
  <c r="G59" i="18"/>
  <c r="J35" i="18"/>
  <c r="I11" i="18"/>
  <c r="G26" i="18"/>
  <c r="G22" i="18" s="1"/>
  <c r="G38" i="18"/>
  <c r="G37" i="18" s="1"/>
  <c r="G33" i="18" s="1"/>
  <c r="K45" i="18"/>
  <c r="K24" i="18"/>
  <c r="L192" i="18"/>
  <c r="I23" i="18"/>
  <c r="G41" i="18" l="1"/>
  <c r="G42" i="18" s="1"/>
  <c r="N31" i="18"/>
  <c r="N52" i="18"/>
  <c r="O188" i="18"/>
  <c r="R185" i="18"/>
  <c r="S5" i="18"/>
  <c r="J23" i="18"/>
  <c r="J11" i="18"/>
  <c r="J15" i="18"/>
  <c r="J44" i="18"/>
  <c r="J34" i="18"/>
  <c r="K25" i="18"/>
  <c r="K36" i="18" s="1"/>
  <c r="K46" i="18"/>
  <c r="K57" i="18" s="1"/>
  <c r="L193" i="18"/>
  <c r="L191" i="18" s="1"/>
  <c r="I27" i="18"/>
  <c r="I48" i="18"/>
  <c r="I194" i="18"/>
  <c r="I190" i="18" s="1"/>
  <c r="J195" i="18"/>
  <c r="J28" i="18"/>
  <c r="J39" i="18" s="1"/>
  <c r="J49" i="18"/>
  <c r="J60" i="18" s="1"/>
  <c r="K196" i="18"/>
  <c r="L24" i="18"/>
  <c r="L45" i="18"/>
  <c r="M192" i="18"/>
  <c r="G13" i="18"/>
  <c r="G12" i="18" s="1"/>
  <c r="G8" i="18" s="1"/>
  <c r="G58" i="18"/>
  <c r="G54" i="18" s="1"/>
  <c r="H47" i="18"/>
  <c r="H43" i="18" s="1"/>
  <c r="H59" i="18"/>
  <c r="I14" i="18"/>
  <c r="I9" i="18"/>
  <c r="K56" i="18"/>
  <c r="H26" i="18"/>
  <c r="H22" i="18" s="1"/>
  <c r="H38" i="18"/>
  <c r="H37" i="18" s="1"/>
  <c r="H33" i="18" s="1"/>
  <c r="K191" i="18"/>
  <c r="K23" i="18"/>
  <c r="K35" i="18"/>
  <c r="K29" i="18"/>
  <c r="K40" i="18" s="1"/>
  <c r="K50" i="18"/>
  <c r="K61" i="18" s="1"/>
  <c r="L197" i="18"/>
  <c r="J10" i="18"/>
  <c r="J55" i="18"/>
  <c r="H41" i="18" l="1"/>
  <c r="H42" i="18" s="1"/>
  <c r="T5" i="18"/>
  <c r="S185" i="18"/>
  <c r="O31" i="18"/>
  <c r="P188" i="18"/>
  <c r="O52" i="18"/>
  <c r="J9" i="18"/>
  <c r="K15" i="18"/>
  <c r="K34" i="18"/>
  <c r="K11" i="18"/>
  <c r="J14" i="18"/>
  <c r="H13" i="18"/>
  <c r="H12" i="18" s="1"/>
  <c r="H8" i="18" s="1"/>
  <c r="H58" i="18"/>
  <c r="H54" i="18" s="1"/>
  <c r="L35" i="18"/>
  <c r="I59" i="18"/>
  <c r="I47" i="18"/>
  <c r="I43" i="18" s="1"/>
  <c r="K44" i="18"/>
  <c r="I38" i="18"/>
  <c r="I37" i="18" s="1"/>
  <c r="I33" i="18" s="1"/>
  <c r="I26" i="18"/>
  <c r="I22" i="18" s="1"/>
  <c r="L56" i="18"/>
  <c r="K28" i="18"/>
  <c r="K39" i="18" s="1"/>
  <c r="K49" i="18"/>
  <c r="K60" i="18" s="1"/>
  <c r="L196" i="18"/>
  <c r="L25" i="18"/>
  <c r="L36" i="18" s="1"/>
  <c r="L46" i="18"/>
  <c r="L57" i="18" s="1"/>
  <c r="M193" i="18"/>
  <c r="M191" i="18" s="1"/>
  <c r="L29" i="18"/>
  <c r="L40" i="18" s="1"/>
  <c r="L50" i="18"/>
  <c r="L61" i="18" s="1"/>
  <c r="M197" i="18"/>
  <c r="K10" i="18"/>
  <c r="K55" i="18"/>
  <c r="M24" i="18"/>
  <c r="M45" i="18"/>
  <c r="N192" i="18"/>
  <c r="J27" i="18"/>
  <c r="J48" i="18"/>
  <c r="K195" i="18"/>
  <c r="J194" i="18"/>
  <c r="J190" i="18" s="1"/>
  <c r="U5" i="18" l="1"/>
  <c r="T185" i="18"/>
  <c r="P52" i="18"/>
  <c r="Q188" i="18"/>
  <c r="P31" i="18"/>
  <c r="I42" i="18"/>
  <c r="I41" i="18"/>
  <c r="K9" i="18"/>
  <c r="L15" i="18"/>
  <c r="L44" i="18"/>
  <c r="M35" i="18"/>
  <c r="M29" i="18"/>
  <c r="M40" i="18" s="1"/>
  <c r="M50" i="18"/>
  <c r="M61" i="18" s="1"/>
  <c r="N197" i="18"/>
  <c r="L10" i="18"/>
  <c r="L55" i="18"/>
  <c r="K27" i="18"/>
  <c r="K48" i="18"/>
  <c r="K194" i="18"/>
  <c r="K190" i="18" s="1"/>
  <c r="L195" i="18"/>
  <c r="N24" i="18"/>
  <c r="O192" i="18"/>
  <c r="N45" i="18"/>
  <c r="M25" i="18"/>
  <c r="M36" i="18" s="1"/>
  <c r="M46" i="18"/>
  <c r="M57" i="18" s="1"/>
  <c r="N193" i="18"/>
  <c r="N191" i="18" s="1"/>
  <c r="K14" i="18"/>
  <c r="I13" i="18"/>
  <c r="I12" i="18" s="1"/>
  <c r="I8" i="18" s="1"/>
  <c r="I58" i="18"/>
  <c r="I54" i="18" s="1"/>
  <c r="J26" i="18"/>
  <c r="J22" i="18" s="1"/>
  <c r="J38" i="18"/>
  <c r="J37" i="18" s="1"/>
  <c r="J33" i="18" s="1"/>
  <c r="L23" i="18"/>
  <c r="L28" i="18"/>
  <c r="L39" i="18" s="1"/>
  <c r="L49" i="18"/>
  <c r="L60" i="18" s="1"/>
  <c r="M196" i="18"/>
  <c r="J59" i="18"/>
  <c r="J47" i="18"/>
  <c r="J43" i="18" s="1"/>
  <c r="M56" i="18"/>
  <c r="L11" i="18"/>
  <c r="L34" i="18"/>
  <c r="Q52" i="18" l="1"/>
  <c r="R188" i="18"/>
  <c r="Q31" i="18"/>
  <c r="J42" i="18"/>
  <c r="J41" i="18"/>
  <c r="V5" i="18"/>
  <c r="U185" i="18"/>
  <c r="M11" i="18"/>
  <c r="M15" i="18"/>
  <c r="M44" i="18"/>
  <c r="O24" i="18"/>
  <c r="O45" i="18"/>
  <c r="P192" i="18"/>
  <c r="K47" i="18"/>
  <c r="K43" i="18" s="1"/>
  <c r="K59" i="18"/>
  <c r="J13" i="18"/>
  <c r="J12" i="18" s="1"/>
  <c r="J8" i="18" s="1"/>
  <c r="J58" i="18"/>
  <c r="J54" i="18" s="1"/>
  <c r="L14" i="18"/>
  <c r="N35" i="18"/>
  <c r="K26" i="18"/>
  <c r="K22" i="18" s="1"/>
  <c r="K38" i="18"/>
  <c r="K37" i="18" s="1"/>
  <c r="K33" i="18" s="1"/>
  <c r="M34" i="18"/>
  <c r="M28" i="18"/>
  <c r="M39" i="18" s="1"/>
  <c r="M49" i="18"/>
  <c r="M60" i="18" s="1"/>
  <c r="N196" i="18"/>
  <c r="M10" i="18"/>
  <c r="M55" i="18"/>
  <c r="N25" i="18"/>
  <c r="N36" i="18" s="1"/>
  <c r="N46" i="18"/>
  <c r="N57" i="18" s="1"/>
  <c r="O193" i="18"/>
  <c r="N56" i="18"/>
  <c r="L194" i="18"/>
  <c r="L190" i="18" s="1"/>
  <c r="L27" i="18"/>
  <c r="L48" i="18"/>
  <c r="M195" i="18"/>
  <c r="L9" i="18"/>
  <c r="N29" i="18"/>
  <c r="N40" i="18" s="1"/>
  <c r="N50" i="18"/>
  <c r="N61" i="18" s="1"/>
  <c r="O197" i="18"/>
  <c r="M23" i="18"/>
  <c r="K41" i="18" l="1"/>
  <c r="K42" i="18" s="1"/>
  <c r="V185" i="18"/>
  <c r="W5" i="18"/>
  <c r="R31" i="18"/>
  <c r="S188" i="18"/>
  <c r="R52" i="18"/>
  <c r="M9" i="18"/>
  <c r="N34" i="18"/>
  <c r="N11" i="18"/>
  <c r="O50" i="18"/>
  <c r="O61" i="18" s="1"/>
  <c r="O29" i="18"/>
  <c r="O40" i="18" s="1"/>
  <c r="P197" i="18"/>
  <c r="L47" i="18"/>
  <c r="L43" i="18" s="1"/>
  <c r="L59" i="18"/>
  <c r="N44" i="18"/>
  <c r="O35" i="18"/>
  <c r="L26" i="18"/>
  <c r="L22" i="18" s="1"/>
  <c r="L38" i="18"/>
  <c r="L37" i="18" s="1"/>
  <c r="L33" i="18" s="1"/>
  <c r="O25" i="18"/>
  <c r="O36" i="18" s="1"/>
  <c r="O46" i="18"/>
  <c r="O57" i="18" s="1"/>
  <c r="P193" i="18"/>
  <c r="P191" i="18" s="1"/>
  <c r="K13" i="18"/>
  <c r="K12" i="18" s="1"/>
  <c r="K8" i="18" s="1"/>
  <c r="K58" i="18"/>
  <c r="K54" i="18" s="1"/>
  <c r="O191" i="18"/>
  <c r="N28" i="18"/>
  <c r="N39" i="18" s="1"/>
  <c r="N49" i="18"/>
  <c r="N60" i="18" s="1"/>
  <c r="O196" i="18"/>
  <c r="P24" i="18"/>
  <c r="P45" i="18"/>
  <c r="Q192" i="18"/>
  <c r="N15" i="18"/>
  <c r="M27" i="18"/>
  <c r="M48" i="18"/>
  <c r="M194" i="18"/>
  <c r="M190" i="18" s="1"/>
  <c r="N195" i="18"/>
  <c r="N10" i="18"/>
  <c r="N55" i="18"/>
  <c r="M14" i="18"/>
  <c r="N23" i="18"/>
  <c r="O44" i="18"/>
  <c r="O56" i="18"/>
  <c r="X5" i="18" l="1"/>
  <c r="W185" i="18"/>
  <c r="S52" i="18"/>
  <c r="S31" i="18"/>
  <c r="T188" i="18"/>
  <c r="N9" i="18"/>
  <c r="O15" i="18"/>
  <c r="M26" i="18"/>
  <c r="M22" i="18" s="1"/>
  <c r="M38" i="18"/>
  <c r="M37" i="18" s="1"/>
  <c r="M33" i="18" s="1"/>
  <c r="P56" i="18"/>
  <c r="N27" i="18"/>
  <c r="N48" i="18"/>
  <c r="O195" i="18"/>
  <c r="N194" i="18"/>
  <c r="N190" i="18" s="1"/>
  <c r="P35" i="18"/>
  <c r="O34" i="18"/>
  <c r="P29" i="18"/>
  <c r="P40" i="18" s="1"/>
  <c r="P50" i="18"/>
  <c r="P61" i="18" s="1"/>
  <c r="Q197" i="18"/>
  <c r="O55" i="18"/>
  <c r="O10" i="18"/>
  <c r="O28" i="18"/>
  <c r="O39" i="18" s="1"/>
  <c r="O49" i="18"/>
  <c r="O60" i="18" s="1"/>
  <c r="P196" i="18"/>
  <c r="P25" i="18"/>
  <c r="P36" i="18" s="1"/>
  <c r="P46" i="18"/>
  <c r="P57" i="18" s="1"/>
  <c r="Q193" i="18"/>
  <c r="O23" i="18"/>
  <c r="L13" i="18"/>
  <c r="L12" i="18" s="1"/>
  <c r="L8" i="18" s="1"/>
  <c r="L58" i="18"/>
  <c r="L54" i="18" s="1"/>
  <c r="M47" i="18"/>
  <c r="M43" i="18" s="1"/>
  <c r="M59" i="18"/>
  <c r="Q24" i="18"/>
  <c r="Q45" i="18"/>
  <c r="Q191" i="18"/>
  <c r="R192" i="18"/>
  <c r="N14" i="18"/>
  <c r="O11" i="18"/>
  <c r="T52" i="18" l="1"/>
  <c r="U188" i="18"/>
  <c r="T31" i="18"/>
  <c r="Y5" i="18"/>
  <c r="Y185" i="18" s="1"/>
  <c r="X185" i="18"/>
  <c r="P34" i="18"/>
  <c r="P23" i="18"/>
  <c r="O9" i="18"/>
  <c r="P44" i="18"/>
  <c r="R45" i="18"/>
  <c r="R24" i="18"/>
  <c r="S192" i="18"/>
  <c r="M13" i="18"/>
  <c r="M12" i="18" s="1"/>
  <c r="M8" i="18" s="1"/>
  <c r="M58" i="18"/>
  <c r="M54" i="18" s="1"/>
  <c r="N47" i="18"/>
  <c r="N43" i="18" s="1"/>
  <c r="N59" i="18"/>
  <c r="P28" i="18"/>
  <c r="P39" i="18" s="1"/>
  <c r="P49" i="18"/>
  <c r="P60" i="18" s="1"/>
  <c r="Q196" i="18"/>
  <c r="N26" i="18"/>
  <c r="N22" i="18" s="1"/>
  <c r="N38" i="18"/>
  <c r="N37" i="18" s="1"/>
  <c r="N33" i="18" s="1"/>
  <c r="Q56" i="18"/>
  <c r="P11" i="18"/>
  <c r="O14" i="18"/>
  <c r="Q29" i="18"/>
  <c r="Q40" i="18" s="1"/>
  <c r="Q50" i="18"/>
  <c r="Q61" i="18" s="1"/>
  <c r="R197" i="18"/>
  <c r="Q25" i="18"/>
  <c r="Q36" i="18" s="1"/>
  <c r="Q46" i="18"/>
  <c r="Q57" i="18" s="1"/>
  <c r="R193" i="18"/>
  <c r="Q35" i="18"/>
  <c r="P15" i="18"/>
  <c r="O27" i="18"/>
  <c r="O48" i="18"/>
  <c r="O194" i="18"/>
  <c r="O190" i="18" s="1"/>
  <c r="P195" i="18"/>
  <c r="P10" i="18"/>
  <c r="P55" i="18"/>
  <c r="U52" i="18" l="1"/>
  <c r="V188" i="18"/>
  <c r="U31" i="18"/>
  <c r="P9" i="18"/>
  <c r="Q23" i="18"/>
  <c r="P14" i="18"/>
  <c r="Q28" i="18"/>
  <c r="Q39" i="18" s="1"/>
  <c r="Q49" i="18"/>
  <c r="Q60" i="18" s="1"/>
  <c r="R196" i="18"/>
  <c r="N13" i="18"/>
  <c r="N12" i="18" s="1"/>
  <c r="N8" i="18" s="1"/>
  <c r="N58" i="18"/>
  <c r="N54" i="18" s="1"/>
  <c r="S45" i="18"/>
  <c r="T192" i="18"/>
  <c r="S24" i="18"/>
  <c r="R29" i="18"/>
  <c r="R40" i="18" s="1"/>
  <c r="R50" i="18"/>
  <c r="R61" i="18" s="1"/>
  <c r="S197" i="18"/>
  <c r="R35" i="18"/>
  <c r="O26" i="18"/>
  <c r="O22" i="18" s="1"/>
  <c r="O38" i="18"/>
  <c r="O37" i="18" s="1"/>
  <c r="O33" i="18" s="1"/>
  <c r="R25" i="18"/>
  <c r="R36" i="18" s="1"/>
  <c r="R46" i="18"/>
  <c r="R57" i="18" s="1"/>
  <c r="S193" i="18"/>
  <c r="Q15" i="18"/>
  <c r="Q10" i="18"/>
  <c r="Q55" i="18"/>
  <c r="R56" i="18"/>
  <c r="O47" i="18"/>
  <c r="O43" i="18" s="1"/>
  <c r="O59" i="18"/>
  <c r="P27" i="18"/>
  <c r="P194" i="18"/>
  <c r="P190" i="18" s="1"/>
  <c r="P48" i="18"/>
  <c r="Q195" i="18"/>
  <c r="Q34" i="18"/>
  <c r="Q11" i="18"/>
  <c r="Q44" i="18"/>
  <c r="R191" i="18"/>
  <c r="V31" i="18" l="1"/>
  <c r="V52" i="18"/>
  <c r="W188" i="18"/>
  <c r="Q9" i="18"/>
  <c r="R15" i="18"/>
  <c r="Q14" i="18"/>
  <c r="Q27" i="18"/>
  <c r="Q48" i="18"/>
  <c r="Q194" i="18"/>
  <c r="Q190" i="18" s="1"/>
  <c r="R195" i="18"/>
  <c r="P47" i="18"/>
  <c r="P43" i="18" s="1"/>
  <c r="P59" i="18"/>
  <c r="R10" i="18"/>
  <c r="R55" i="18"/>
  <c r="S29" i="18"/>
  <c r="S40" i="18" s="1"/>
  <c r="S50" i="18"/>
  <c r="S61" i="18" s="1"/>
  <c r="T197" i="18"/>
  <c r="S35" i="18"/>
  <c r="O13" i="18"/>
  <c r="O12" i="18" s="1"/>
  <c r="O8" i="18" s="1"/>
  <c r="O58" i="18"/>
  <c r="O54" i="18" s="1"/>
  <c r="R44" i="18"/>
  <c r="S46" i="18"/>
  <c r="S57" i="18" s="1"/>
  <c r="S25" i="18"/>
  <c r="S36" i="18" s="1"/>
  <c r="T193" i="18"/>
  <c r="T191" i="18" s="1"/>
  <c r="R34" i="18"/>
  <c r="S191" i="18"/>
  <c r="S56" i="18"/>
  <c r="P26" i="18"/>
  <c r="P22" i="18" s="1"/>
  <c r="P38" i="18"/>
  <c r="P37" i="18" s="1"/>
  <c r="P33" i="18" s="1"/>
  <c r="R11" i="18"/>
  <c r="R23" i="18"/>
  <c r="T24" i="18"/>
  <c r="T45" i="18"/>
  <c r="U192" i="18"/>
  <c r="R28" i="18"/>
  <c r="R39" i="18" s="1"/>
  <c r="R49" i="18"/>
  <c r="R60" i="18" s="1"/>
  <c r="S196" i="18"/>
  <c r="W31" i="18" l="1"/>
  <c r="W52" i="18"/>
  <c r="X188" i="18"/>
  <c r="S23" i="18"/>
  <c r="S44" i="18"/>
  <c r="R27" i="18"/>
  <c r="R48" i="18"/>
  <c r="S195" i="18"/>
  <c r="R194" i="18"/>
  <c r="R190" i="18" s="1"/>
  <c r="S28" i="18"/>
  <c r="S39" i="18" s="1"/>
  <c r="S49" i="18"/>
  <c r="S60" i="18" s="1"/>
  <c r="T196" i="18"/>
  <c r="S10" i="18"/>
  <c r="S55" i="18"/>
  <c r="T29" i="18"/>
  <c r="T40" i="18" s="1"/>
  <c r="T50" i="18"/>
  <c r="T61" i="18" s="1"/>
  <c r="U197" i="18"/>
  <c r="R9" i="18"/>
  <c r="R14" i="18"/>
  <c r="T56" i="18"/>
  <c r="S11" i="18"/>
  <c r="S15" i="18"/>
  <c r="Q47" i="18"/>
  <c r="Q43" i="18" s="1"/>
  <c r="Q59" i="18"/>
  <c r="T46" i="18"/>
  <c r="T57" i="18" s="1"/>
  <c r="U193" i="18"/>
  <c r="U191" i="18" s="1"/>
  <c r="T25" i="18"/>
  <c r="T36" i="18" s="1"/>
  <c r="U24" i="18"/>
  <c r="U45" i="18"/>
  <c r="V192" i="18"/>
  <c r="T35" i="18"/>
  <c r="S34" i="18"/>
  <c r="P13" i="18"/>
  <c r="P12" i="18" s="1"/>
  <c r="P8" i="18" s="1"/>
  <c r="P58" i="18"/>
  <c r="P54" i="18" s="1"/>
  <c r="Q38" i="18"/>
  <c r="Q37" i="18" s="1"/>
  <c r="Q33" i="18" s="1"/>
  <c r="Q26" i="18"/>
  <c r="Q22" i="18" s="1"/>
  <c r="X31" i="18" l="1"/>
  <c r="X52" i="18"/>
  <c r="Y188" i="18"/>
  <c r="S14" i="18"/>
  <c r="T34" i="18"/>
  <c r="T23" i="18"/>
  <c r="T28" i="18"/>
  <c r="T39" i="18" s="1"/>
  <c r="T49" i="18"/>
  <c r="T60" i="18" s="1"/>
  <c r="U196" i="18"/>
  <c r="V24" i="18"/>
  <c r="W192" i="18"/>
  <c r="V45" i="18"/>
  <c r="Q13" i="18"/>
  <c r="Q12" i="18" s="1"/>
  <c r="Q8" i="18" s="1"/>
  <c r="Q58" i="18"/>
  <c r="Q54" i="18" s="1"/>
  <c r="R59" i="18"/>
  <c r="R47" i="18"/>
  <c r="R43" i="18" s="1"/>
  <c r="U56" i="18"/>
  <c r="U25" i="18"/>
  <c r="U36" i="18" s="1"/>
  <c r="U46" i="18"/>
  <c r="U57" i="18" s="1"/>
  <c r="V193" i="18"/>
  <c r="V191" i="18" s="1"/>
  <c r="T44" i="18"/>
  <c r="U29" i="18"/>
  <c r="U40" i="18" s="1"/>
  <c r="U50" i="18"/>
  <c r="U61" i="18" s="1"/>
  <c r="V197" i="18"/>
  <c r="S9" i="18"/>
  <c r="R38" i="18"/>
  <c r="R37" i="18" s="1"/>
  <c r="R33" i="18" s="1"/>
  <c r="R26" i="18"/>
  <c r="R22" i="18" s="1"/>
  <c r="S27" i="18"/>
  <c r="S48" i="18"/>
  <c r="T195" i="18"/>
  <c r="S194" i="18"/>
  <c r="S190" i="18" s="1"/>
  <c r="U35" i="18"/>
  <c r="T11" i="18"/>
  <c r="T55" i="18"/>
  <c r="T10" i="18"/>
  <c r="T15" i="18"/>
  <c r="Y31" i="18" l="1"/>
  <c r="Y52" i="18"/>
  <c r="V35" i="18"/>
  <c r="S47" i="18"/>
  <c r="S43" i="18" s="1"/>
  <c r="S59" i="18"/>
  <c r="U10" i="18"/>
  <c r="U55" i="18"/>
  <c r="V56" i="18"/>
  <c r="T9" i="18"/>
  <c r="U34" i="18"/>
  <c r="S26" i="18"/>
  <c r="S22" i="18" s="1"/>
  <c r="S38" i="18"/>
  <c r="S37" i="18" s="1"/>
  <c r="S33" i="18" s="1"/>
  <c r="V29" i="18"/>
  <c r="V40" i="18" s="1"/>
  <c r="V50" i="18"/>
  <c r="V61" i="18" s="1"/>
  <c r="W197" i="18"/>
  <c r="V25" i="18"/>
  <c r="V36" i="18" s="1"/>
  <c r="V46" i="18"/>
  <c r="V57" i="18" s="1"/>
  <c r="W193" i="18"/>
  <c r="W191" i="18" s="1"/>
  <c r="U44" i="18"/>
  <c r="R58" i="18"/>
  <c r="R54" i="18" s="1"/>
  <c r="R13" i="18"/>
  <c r="R12" i="18" s="1"/>
  <c r="R8" i="18" s="1"/>
  <c r="W24" i="18"/>
  <c r="W45" i="18"/>
  <c r="X192" i="18"/>
  <c r="U28" i="18"/>
  <c r="U39" i="18" s="1"/>
  <c r="U49" i="18"/>
  <c r="U60" i="18" s="1"/>
  <c r="V196" i="18"/>
  <c r="T194" i="18"/>
  <c r="T190" i="18" s="1"/>
  <c r="T27" i="18"/>
  <c r="U195" i="18"/>
  <c r="T48" i="18"/>
  <c r="U23" i="18"/>
  <c r="U15" i="18"/>
  <c r="U11" i="18"/>
  <c r="T14" i="18"/>
  <c r="U14" i="18" l="1"/>
  <c r="V15" i="18"/>
  <c r="V23" i="18"/>
  <c r="U9" i="18"/>
  <c r="U27" i="18"/>
  <c r="U48" i="18"/>
  <c r="U194" i="18"/>
  <c r="U190" i="18" s="1"/>
  <c r="V195" i="18"/>
  <c r="W56" i="18"/>
  <c r="W29" i="18"/>
  <c r="W40" i="18" s="1"/>
  <c r="W50" i="18"/>
  <c r="W61" i="18" s="1"/>
  <c r="X197" i="18"/>
  <c r="V11" i="18"/>
  <c r="V10" i="18"/>
  <c r="V55" i="18"/>
  <c r="S13" i="18"/>
  <c r="S12" i="18" s="1"/>
  <c r="S8" i="18" s="1"/>
  <c r="S58" i="18"/>
  <c r="S54" i="18" s="1"/>
  <c r="T26" i="18"/>
  <c r="T22" i="18" s="1"/>
  <c r="T38" i="18"/>
  <c r="T37" i="18" s="1"/>
  <c r="T33" i="18" s="1"/>
  <c r="W35" i="18"/>
  <c r="W25" i="18"/>
  <c r="W36" i="18" s="1"/>
  <c r="W46" i="18"/>
  <c r="W57" i="18" s="1"/>
  <c r="X193" i="18"/>
  <c r="X191" i="18" s="1"/>
  <c r="T47" i="18"/>
  <c r="T43" i="18" s="1"/>
  <c r="T59" i="18"/>
  <c r="V28" i="18"/>
  <c r="V39" i="18" s="1"/>
  <c r="V49" i="18"/>
  <c r="V60" i="18" s="1"/>
  <c r="W196" i="18"/>
  <c r="X24" i="18"/>
  <c r="X45" i="18"/>
  <c r="Y192" i="18"/>
  <c r="V44" i="18"/>
  <c r="V34" i="18"/>
  <c r="W44" i="18" l="1"/>
  <c r="V9" i="18"/>
  <c r="X56" i="18"/>
  <c r="X25" i="18"/>
  <c r="X36" i="18" s="1"/>
  <c r="X46" i="18"/>
  <c r="X57" i="18" s="1"/>
  <c r="Y193" i="18"/>
  <c r="W23" i="18"/>
  <c r="X35" i="18"/>
  <c r="T13" i="18"/>
  <c r="T12" i="18" s="1"/>
  <c r="T8" i="18" s="1"/>
  <c r="T58" i="18"/>
  <c r="T54" i="18" s="1"/>
  <c r="W11" i="18"/>
  <c r="W55" i="18"/>
  <c r="W10" i="18"/>
  <c r="U47" i="18"/>
  <c r="U43" i="18" s="1"/>
  <c r="U59" i="18"/>
  <c r="W28" i="18"/>
  <c r="W39" i="18" s="1"/>
  <c r="W49" i="18"/>
  <c r="W60" i="18" s="1"/>
  <c r="X196" i="18"/>
  <c r="X29" i="18"/>
  <c r="X40" i="18" s="1"/>
  <c r="X50" i="18"/>
  <c r="X61" i="18" s="1"/>
  <c r="Y197" i="18"/>
  <c r="U26" i="18"/>
  <c r="U22" i="18" s="1"/>
  <c r="U38" i="18"/>
  <c r="U37" i="18" s="1"/>
  <c r="U33" i="18" s="1"/>
  <c r="Y24" i="18"/>
  <c r="Y45" i="18"/>
  <c r="Y191" i="18"/>
  <c r="V14" i="18"/>
  <c r="W34" i="18"/>
  <c r="W15" i="18"/>
  <c r="V27" i="18"/>
  <c r="V48" i="18"/>
  <c r="W195" i="18"/>
  <c r="V194" i="18"/>
  <c r="V190" i="18" s="1"/>
  <c r="X34" i="18" l="1"/>
  <c r="W14" i="18"/>
  <c r="X11" i="18"/>
  <c r="W9" i="18"/>
  <c r="X15" i="18"/>
  <c r="Y56" i="18"/>
  <c r="W27" i="18"/>
  <c r="W48" i="18"/>
  <c r="W194" i="18"/>
  <c r="W190" i="18" s="1"/>
  <c r="X195" i="18"/>
  <c r="Y35" i="18"/>
  <c r="X23" i="18"/>
  <c r="X10" i="18"/>
  <c r="X55" i="18"/>
  <c r="V26" i="18"/>
  <c r="V22" i="18" s="1"/>
  <c r="V38" i="18"/>
  <c r="V37" i="18" s="1"/>
  <c r="V33" i="18" s="1"/>
  <c r="U13" i="18"/>
  <c r="U12" i="18" s="1"/>
  <c r="U8" i="18" s="1"/>
  <c r="U58" i="18"/>
  <c r="U54" i="18" s="1"/>
  <c r="V47" i="18"/>
  <c r="V43" i="18" s="1"/>
  <c r="V59" i="18"/>
  <c r="Y29" i="18"/>
  <c r="Y40" i="18" s="1"/>
  <c r="Y50" i="18"/>
  <c r="Y61" i="18" s="1"/>
  <c r="X28" i="18"/>
  <c r="X39" i="18" s="1"/>
  <c r="X49" i="18"/>
  <c r="X60" i="18" s="1"/>
  <c r="Y196" i="18"/>
  <c r="Y46" i="18"/>
  <c r="Y57" i="18" s="1"/>
  <c r="Y25" i="18"/>
  <c r="Y36" i="18" s="1"/>
  <c r="X44" i="18"/>
  <c r="X9" i="18" l="1"/>
  <c r="Y28" i="18"/>
  <c r="Y39" i="18" s="1"/>
  <c r="Y49" i="18"/>
  <c r="Y60" i="18" s="1"/>
  <c r="Y34" i="18"/>
  <c r="Y10" i="18"/>
  <c r="Y55" i="18"/>
  <c r="Y11" i="18"/>
  <c r="X14" i="18"/>
  <c r="D16" i="18" s="1"/>
  <c r="V13" i="18"/>
  <c r="V12" i="18" s="1"/>
  <c r="V8" i="18" s="1"/>
  <c r="V58" i="18"/>
  <c r="V54" i="18" s="1"/>
  <c r="Y23" i="18"/>
  <c r="W47" i="18"/>
  <c r="W43" i="18" s="1"/>
  <c r="W59" i="18"/>
  <c r="Y44" i="18"/>
  <c r="W26" i="18"/>
  <c r="W22" i="18" s="1"/>
  <c r="W38" i="18"/>
  <c r="W37" i="18" s="1"/>
  <c r="W33" i="18" s="1"/>
  <c r="Y15" i="18"/>
  <c r="X27" i="18"/>
  <c r="X194" i="18"/>
  <c r="X190" i="18" s="1"/>
  <c r="X48" i="18"/>
  <c r="Y195" i="18"/>
  <c r="Y9" i="18" l="1"/>
  <c r="Y14" i="18"/>
  <c r="Y27" i="18"/>
  <c r="Y48" i="18"/>
  <c r="Y194" i="18"/>
  <c r="Y190" i="18" s="1"/>
  <c r="X47" i="18"/>
  <c r="X43" i="18" s="1"/>
  <c r="X59" i="18"/>
  <c r="X26" i="18"/>
  <c r="X22" i="18" s="1"/>
  <c r="X38" i="18"/>
  <c r="X37" i="18" s="1"/>
  <c r="X33" i="18" s="1"/>
  <c r="W13" i="18"/>
  <c r="W12" i="18" s="1"/>
  <c r="W8" i="18" s="1"/>
  <c r="W58" i="18"/>
  <c r="W54" i="18" s="1"/>
  <c r="Y59" i="18" l="1"/>
  <c r="Y47" i="18"/>
  <c r="Y43" i="18" s="1"/>
  <c r="X13" i="18"/>
  <c r="X12" i="18" s="1"/>
  <c r="X8" i="18" s="1"/>
  <c r="W20" i="17" s="1"/>
  <c r="V65" i="15" s="1"/>
  <c r="X58" i="18"/>
  <c r="X54" i="18" s="1"/>
  <c r="Y38" i="18"/>
  <c r="Y37" i="18" s="1"/>
  <c r="Y33" i="18" s="1"/>
  <c r="Y26" i="18"/>
  <c r="Y22" i="18" s="1"/>
  <c r="E6" i="17"/>
  <c r="F6" i="17" s="1"/>
  <c r="G6" i="17" s="1"/>
  <c r="H6" i="17" s="1"/>
  <c r="I6" i="17" s="1"/>
  <c r="J6" i="17" s="1"/>
  <c r="K6" i="17" s="1"/>
  <c r="L6" i="17" s="1"/>
  <c r="M6" i="17" s="1"/>
  <c r="N6" i="17" s="1"/>
  <c r="O6" i="17" s="1"/>
  <c r="P6" i="17" s="1"/>
  <c r="Q6" i="17" s="1"/>
  <c r="R6" i="17" s="1"/>
  <c r="S6" i="17" s="1"/>
  <c r="T6" i="17" s="1"/>
  <c r="U6" i="17" s="1"/>
  <c r="V6" i="17" s="1"/>
  <c r="W6" i="17" s="1"/>
  <c r="X6" i="17" s="1"/>
  <c r="E7" i="17"/>
  <c r="F7" i="17" s="1"/>
  <c r="G7" i="17" s="1"/>
  <c r="H7" i="17" s="1"/>
  <c r="I7" i="17" s="1"/>
  <c r="J7" i="17" s="1"/>
  <c r="K7" i="17" s="1"/>
  <c r="L7" i="17" s="1"/>
  <c r="M7" i="17" s="1"/>
  <c r="N7" i="17" s="1"/>
  <c r="O7" i="17" s="1"/>
  <c r="P7" i="17" s="1"/>
  <c r="Q7" i="17" s="1"/>
  <c r="R7" i="17" s="1"/>
  <c r="S7" i="17" s="1"/>
  <c r="T7" i="17" s="1"/>
  <c r="U7" i="17" s="1"/>
  <c r="V7" i="17" s="1"/>
  <c r="W7" i="17" s="1"/>
  <c r="X7" i="17" s="1"/>
  <c r="D20" i="17"/>
  <c r="C65" i="15" s="1"/>
  <c r="E20" i="17"/>
  <c r="D65" i="15" s="1"/>
  <c r="F20" i="17"/>
  <c r="E65" i="15" s="1"/>
  <c r="G20" i="17"/>
  <c r="F65" i="15" s="1"/>
  <c r="H20" i="17"/>
  <c r="G65" i="15" s="1"/>
  <c r="I20" i="17"/>
  <c r="H65" i="15" s="1"/>
  <c r="J20" i="17"/>
  <c r="I65" i="15" s="1"/>
  <c r="K20" i="17"/>
  <c r="J65" i="15" s="1"/>
  <c r="L20" i="17"/>
  <c r="K65" i="15" s="1"/>
  <c r="M20" i="17"/>
  <c r="L65" i="15" s="1"/>
  <c r="N20" i="17"/>
  <c r="M65" i="15" s="1"/>
  <c r="O20" i="17"/>
  <c r="N65" i="15" s="1"/>
  <c r="P20" i="17"/>
  <c r="O65" i="15" s="1"/>
  <c r="Q20" i="17"/>
  <c r="P65" i="15" s="1"/>
  <c r="R20" i="17"/>
  <c r="Q65" i="15" s="1"/>
  <c r="S20" i="17"/>
  <c r="R65" i="15" s="1"/>
  <c r="T20" i="17"/>
  <c r="S65" i="15" s="1"/>
  <c r="U20" i="17"/>
  <c r="T65" i="15" s="1"/>
  <c r="V20" i="17"/>
  <c r="U65" i="15" s="1"/>
  <c r="D25" i="17"/>
  <c r="C61" i="15" s="1"/>
  <c r="C60" i="15" s="1"/>
  <c r="E25" i="17"/>
  <c r="D61" i="15" s="1"/>
  <c r="D60" i="15" s="1"/>
  <c r="F25" i="17"/>
  <c r="E61" i="15" s="1"/>
  <c r="E60" i="15" s="1"/>
  <c r="G25" i="17"/>
  <c r="F61" i="15" s="1"/>
  <c r="F60" i="15" s="1"/>
  <c r="H25" i="17"/>
  <c r="G61" i="15" s="1"/>
  <c r="G60" i="15" s="1"/>
  <c r="I25" i="17"/>
  <c r="H61" i="15" s="1"/>
  <c r="H60" i="15" s="1"/>
  <c r="J25" i="17"/>
  <c r="I61" i="15" s="1"/>
  <c r="I60" i="15" s="1"/>
  <c r="K25" i="17"/>
  <c r="J61" i="15" s="1"/>
  <c r="J60" i="15" s="1"/>
  <c r="L25" i="17"/>
  <c r="K61" i="15" s="1"/>
  <c r="K60" i="15" s="1"/>
  <c r="M25" i="17"/>
  <c r="L61" i="15" s="1"/>
  <c r="L60" i="15" s="1"/>
  <c r="N25" i="17"/>
  <c r="M61" i="15" s="1"/>
  <c r="M60" i="15" s="1"/>
  <c r="O25" i="17"/>
  <c r="N61" i="15" s="1"/>
  <c r="N60" i="15" s="1"/>
  <c r="P25" i="17"/>
  <c r="O61" i="15" s="1"/>
  <c r="O60" i="15" s="1"/>
  <c r="Q25" i="17"/>
  <c r="P61" i="15" s="1"/>
  <c r="P60" i="15" s="1"/>
  <c r="R25" i="17"/>
  <c r="Q61" i="15" s="1"/>
  <c r="Q60" i="15" s="1"/>
  <c r="S25" i="17"/>
  <c r="R61" i="15" s="1"/>
  <c r="R60" i="15" s="1"/>
  <c r="T25" i="17"/>
  <c r="S61" i="15" s="1"/>
  <c r="S60" i="15" s="1"/>
  <c r="U25" i="17"/>
  <c r="T61" i="15" s="1"/>
  <c r="T60" i="15" s="1"/>
  <c r="V25" i="17"/>
  <c r="U61" i="15" s="1"/>
  <c r="U60" i="15" s="1"/>
  <c r="W25" i="17"/>
  <c r="V61" i="15" s="1"/>
  <c r="V60" i="15" s="1"/>
  <c r="X25" i="17"/>
  <c r="W61" i="15" s="1"/>
  <c r="W60" i="15" s="1"/>
  <c r="G172" i="13"/>
  <c r="B138" i="13"/>
  <c r="B139" i="13" s="1"/>
  <c r="B140" i="13" s="1"/>
  <c r="B141" i="13" s="1"/>
  <c r="B142" i="13" s="1"/>
  <c r="B143" i="13" s="1"/>
  <c r="C151" i="13"/>
  <c r="M43" i="13"/>
  <c r="M44" i="13" s="1"/>
  <c r="M45" i="13" s="1"/>
  <c r="K43" i="13"/>
  <c r="K44" i="13" s="1"/>
  <c r="K45" i="13" s="1"/>
  <c r="P46" i="13"/>
  <c r="P42" i="13"/>
  <c r="L42" i="13"/>
  <c r="P41" i="13"/>
  <c r="L41" i="13"/>
  <c r="P40" i="13"/>
  <c r="L40" i="13"/>
  <c r="P39" i="13"/>
  <c r="N39" i="13"/>
  <c r="N40" i="13" s="1"/>
  <c r="N41" i="13" s="1"/>
  <c r="N42" i="13" s="1"/>
  <c r="L39" i="13"/>
  <c r="P38" i="13"/>
  <c r="L38" i="13"/>
  <c r="N33" i="13"/>
  <c r="X60" i="15" l="1"/>
  <c r="C76" i="15" s="1"/>
  <c r="N43" i="13"/>
  <c r="N44" i="13" s="1"/>
  <c r="N45" i="13" s="1"/>
  <c r="Y13" i="18"/>
  <c r="Y12" i="18" s="1"/>
  <c r="Y8" i="18" s="1"/>
  <c r="Y58" i="18"/>
  <c r="Y54" i="18" s="1"/>
  <c r="C25" i="17"/>
  <c r="H65" i="23" s="1"/>
  <c r="D19" i="17"/>
  <c r="F113" i="23" l="1"/>
  <c r="E113" i="23"/>
  <c r="C2" i="27" s="1"/>
  <c r="C10" i="27" s="1"/>
  <c r="B20" i="27" s="1"/>
  <c r="B32" i="27" s="1"/>
  <c r="AA8" i="18"/>
  <c r="X20" i="17"/>
  <c r="W65" i="15" s="1"/>
  <c r="F114" i="23" l="1"/>
  <c r="D2" i="27"/>
  <c r="D10" i="27" s="1"/>
  <c r="B21" i="27" s="1"/>
  <c r="B33" i="27" s="1"/>
  <c r="C20" i="17"/>
  <c r="B19" i="1" l="1"/>
  <c r="C104" i="13"/>
  <c r="C105" i="13" s="1"/>
  <c r="D155" i="14" s="1"/>
  <c r="D159" i="14" s="1"/>
  <c r="H102" i="13"/>
  <c r="I102" i="13"/>
  <c r="J102" i="13"/>
  <c r="K102" i="13"/>
  <c r="E102" i="13"/>
  <c r="F102" i="13"/>
  <c r="G102" i="13"/>
  <c r="E99" i="13"/>
  <c r="F4" i="15"/>
  <c r="G4" i="15" s="1"/>
  <c r="H4" i="15" s="1"/>
  <c r="I4" i="15" s="1"/>
  <c r="J4" i="15" s="1"/>
  <c r="K4" i="15" s="1"/>
  <c r="L4" i="15" s="1"/>
  <c r="M4" i="15" s="1"/>
  <c r="N4" i="15" s="1"/>
  <c r="O4" i="15" s="1"/>
  <c r="P4" i="15" s="1"/>
  <c r="Q4" i="15" s="1"/>
  <c r="R4" i="15" s="1"/>
  <c r="S4" i="15" s="1"/>
  <c r="T4" i="15" s="1"/>
  <c r="U4" i="15" s="1"/>
  <c r="V4" i="15" s="1"/>
  <c r="W4" i="15" s="1"/>
  <c r="X4" i="15" s="1"/>
  <c r="Y4" i="15" s="1"/>
  <c r="F6" i="15"/>
  <c r="G6" i="15"/>
  <c r="H6" i="15" s="1"/>
  <c r="I6" i="15" s="1"/>
  <c r="J6" i="15" s="1"/>
  <c r="K6" i="15" s="1"/>
  <c r="L6" i="15" s="1"/>
  <c r="M6" i="15" s="1"/>
  <c r="N6" i="15" s="1"/>
  <c r="O6" i="15" s="1"/>
  <c r="P6" i="15" s="1"/>
  <c r="Q6" i="15" s="1"/>
  <c r="R6" i="15" s="1"/>
  <c r="S6" i="15" s="1"/>
  <c r="T6" i="15" s="1"/>
  <c r="U6" i="15" s="1"/>
  <c r="V6" i="15" s="1"/>
  <c r="W6" i="15" s="1"/>
  <c r="X6" i="15" s="1"/>
  <c r="N16" i="15"/>
  <c r="O17" i="15" s="1"/>
  <c r="P17" i="15" s="1"/>
  <c r="H24" i="15"/>
  <c r="I24" i="15" s="1"/>
  <c r="M26" i="15"/>
  <c r="M27" i="15"/>
  <c r="M28" i="15"/>
  <c r="X357" i="1" l="1"/>
  <c r="X351" i="1"/>
  <c r="X362" i="1"/>
  <c r="X355" i="1"/>
  <c r="X360" i="1"/>
  <c r="X350" i="1"/>
  <c r="X334" i="1"/>
  <c r="X328" i="1"/>
  <c r="X356" i="1"/>
  <c r="X339" i="1"/>
  <c r="X333" i="1"/>
  <c r="X327" i="1"/>
  <c r="X338" i="1"/>
  <c r="X332" i="1"/>
  <c r="X352" i="1"/>
  <c r="X337" i="1"/>
  <c r="X329" i="1"/>
  <c r="X361" i="1"/>
  <c r="X271" i="1"/>
  <c r="M29" i="15"/>
  <c r="K2" i="15" s="1"/>
  <c r="X9" i="15" l="1"/>
  <c r="S9" i="15"/>
  <c r="N9" i="15"/>
  <c r="M9" i="15"/>
  <c r="W9" i="15"/>
  <c r="V9" i="15"/>
  <c r="P9" i="15"/>
  <c r="Q9" i="15"/>
  <c r="L9" i="15"/>
  <c r="O9" i="15"/>
  <c r="U9" i="15"/>
  <c r="R9" i="15"/>
  <c r="Y9" i="15"/>
  <c r="T9" i="15"/>
  <c r="K9" i="15"/>
  <c r="I9" i="15"/>
  <c r="J9" i="15"/>
  <c r="H9" i="15"/>
  <c r="F9" i="15"/>
  <c r="G9" i="15"/>
  <c r="E9" i="15" l="1"/>
  <c r="D9" i="15" l="1"/>
  <c r="C9" i="15" s="1"/>
  <c r="D3" i="14"/>
  <c r="D4" i="14"/>
  <c r="G7" i="14"/>
  <c r="H7" i="14"/>
  <c r="I7" i="14" s="1"/>
  <c r="J7" i="14" s="1"/>
  <c r="K7" i="14" s="1"/>
  <c r="L7" i="14" s="1"/>
  <c r="M7" i="14" s="1"/>
  <c r="N7" i="14" s="1"/>
  <c r="O7" i="14" s="1"/>
  <c r="P7" i="14" s="1"/>
  <c r="Q7" i="14" s="1"/>
  <c r="R7" i="14" s="1"/>
  <c r="S7" i="14" s="1"/>
  <c r="T7" i="14" s="1"/>
  <c r="U7" i="14" s="1"/>
  <c r="V7" i="14" s="1"/>
  <c r="W7" i="14" s="1"/>
  <c r="X7" i="14" s="1"/>
  <c r="Y7" i="14" s="1"/>
  <c r="Z7" i="14" s="1"/>
  <c r="G8" i="14"/>
  <c r="H8" i="14" s="1"/>
  <c r="I8" i="14" s="1"/>
  <c r="J8" i="14" s="1"/>
  <c r="K8" i="14" s="1"/>
  <c r="L8" i="14" s="1"/>
  <c r="M8" i="14" s="1"/>
  <c r="N8" i="14" s="1"/>
  <c r="O8" i="14" s="1"/>
  <c r="P8" i="14" s="1"/>
  <c r="Q8" i="14" s="1"/>
  <c r="R8" i="14" s="1"/>
  <c r="S8" i="14" s="1"/>
  <c r="T8" i="14" s="1"/>
  <c r="U8" i="14" s="1"/>
  <c r="V8" i="14" s="1"/>
  <c r="W8" i="14" s="1"/>
  <c r="X8" i="14" s="1"/>
  <c r="Y8" i="14" s="1"/>
  <c r="Z8" i="14" s="1"/>
  <c r="G19" i="14"/>
  <c r="H19" i="14"/>
  <c r="I19" i="14"/>
  <c r="J19" i="14"/>
  <c r="K19" i="14"/>
  <c r="L19" i="14"/>
  <c r="M19" i="14"/>
  <c r="N19" i="14"/>
  <c r="O19" i="14"/>
  <c r="P19" i="14"/>
  <c r="Q19" i="14"/>
  <c r="R19" i="14"/>
  <c r="S19" i="14"/>
  <c r="T19" i="14"/>
  <c r="U19" i="14"/>
  <c r="V19" i="14"/>
  <c r="W19" i="14"/>
  <c r="X19" i="14"/>
  <c r="Y19" i="14"/>
  <c r="Z19" i="14"/>
  <c r="E26" i="14"/>
  <c r="F27" i="14"/>
  <c r="H27" i="14"/>
  <c r="H37" i="14" s="1"/>
  <c r="J27" i="14"/>
  <c r="J37" i="14" s="1"/>
  <c r="F36" i="14"/>
  <c r="H36" i="14"/>
  <c r="J36" i="14"/>
  <c r="E42" i="14"/>
  <c r="L43" i="14" s="1"/>
  <c r="B65" i="22" s="1"/>
  <c r="F43" i="14"/>
  <c r="G43" i="14"/>
  <c r="H43" i="14"/>
  <c r="O44" i="14"/>
  <c r="F52" i="14"/>
  <c r="H52" i="14"/>
  <c r="J52" i="14"/>
  <c r="D59" i="14"/>
  <c r="D189" i="14" s="1"/>
  <c r="J59" i="14"/>
  <c r="O59" i="14"/>
  <c r="I59" i="14" s="1"/>
  <c r="D190" i="14" s="1"/>
  <c r="E68" i="14"/>
  <c r="F68" i="14"/>
  <c r="G68" i="14"/>
  <c r="H68" i="14"/>
  <c r="K68" i="14"/>
  <c r="L68" i="14"/>
  <c r="L125" i="14" s="1"/>
  <c r="J49" i="14" s="1"/>
  <c r="M68" i="14"/>
  <c r="N68" i="14"/>
  <c r="O68" i="14"/>
  <c r="E69" i="14"/>
  <c r="F69" i="14"/>
  <c r="G69" i="14"/>
  <c r="H69" i="14"/>
  <c r="H72" i="14" s="1"/>
  <c r="D216" i="14" s="1"/>
  <c r="K69" i="14"/>
  <c r="L69" i="14"/>
  <c r="M69" i="14"/>
  <c r="N69" i="14"/>
  <c r="O69" i="14"/>
  <c r="K89" i="14"/>
  <c r="M89" i="14"/>
  <c r="K90" i="14"/>
  <c r="M90" i="14"/>
  <c r="G96" i="14"/>
  <c r="K96" i="14"/>
  <c r="K121" i="14" s="1"/>
  <c r="L96" i="14"/>
  <c r="M96" i="14"/>
  <c r="N96" i="14"/>
  <c r="O96" i="14"/>
  <c r="K120" i="14"/>
  <c r="O120" i="14"/>
  <c r="G106" i="14"/>
  <c r="F125" i="14"/>
  <c r="E125" i="14" s="1"/>
  <c r="G125" i="14"/>
  <c r="F35" i="14" s="1"/>
  <c r="F126" i="14"/>
  <c r="K126" i="14"/>
  <c r="N126" i="14"/>
  <c r="E129" i="14"/>
  <c r="K129" i="14"/>
  <c r="N129" i="14"/>
  <c r="I132" i="14"/>
  <c r="D142" i="14"/>
  <c r="D144" i="14"/>
  <c r="D160" i="14"/>
  <c r="D192" i="14"/>
  <c r="J195" i="14"/>
  <c r="L195" i="14" s="1"/>
  <c r="D196" i="14"/>
  <c r="K197" i="14"/>
  <c r="L197" i="14"/>
  <c r="D202" i="14"/>
  <c r="D203" i="14"/>
  <c r="D207" i="14"/>
  <c r="E207" i="14"/>
  <c r="F207" i="14" s="1"/>
  <c r="G207" i="14" s="1"/>
  <c r="H207" i="14" s="1"/>
  <c r="I207" i="14" s="1"/>
  <c r="J207" i="14" s="1"/>
  <c r="K207" i="14" s="1"/>
  <c r="L207" i="14" s="1"/>
  <c r="M207" i="14" s="1"/>
  <c r="N207" i="14" s="1"/>
  <c r="O207" i="14" s="1"/>
  <c r="P207" i="14" s="1"/>
  <c r="Q207" i="14" s="1"/>
  <c r="R207" i="14" s="1"/>
  <c r="S207" i="14" s="1"/>
  <c r="T207" i="14" s="1"/>
  <c r="U207" i="14" s="1"/>
  <c r="V207" i="14" s="1"/>
  <c r="W207" i="14" s="1"/>
  <c r="X207" i="14" s="1"/>
  <c r="E208" i="14"/>
  <c r="F208" i="14" s="1"/>
  <c r="G208" i="14" s="1"/>
  <c r="H208" i="14" s="1"/>
  <c r="I208" i="14" s="1"/>
  <c r="J208" i="14" s="1"/>
  <c r="K208" i="14" s="1"/>
  <c r="L208" i="14" s="1"/>
  <c r="M208" i="14" s="1"/>
  <c r="N208" i="14" s="1"/>
  <c r="O208" i="14" s="1"/>
  <c r="P208" i="14" s="1"/>
  <c r="Q208" i="14" s="1"/>
  <c r="R208" i="14" s="1"/>
  <c r="S208" i="14" s="1"/>
  <c r="T208" i="14" s="1"/>
  <c r="U208" i="14" s="1"/>
  <c r="V208" i="14" s="1"/>
  <c r="W208" i="14" s="1"/>
  <c r="X208" i="14" s="1"/>
  <c r="G15" i="14" l="1"/>
  <c r="B68" i="22"/>
  <c r="B116" i="22"/>
  <c r="Z49" i="22"/>
  <c r="E70" i="14"/>
  <c r="G118" i="14"/>
  <c r="G121" i="14"/>
  <c r="G117" i="14"/>
  <c r="G119" i="14"/>
  <c r="G120" i="14"/>
  <c r="D13" i="26"/>
  <c r="N120" i="14"/>
  <c r="M120" i="14"/>
  <c r="D68" i="14"/>
  <c r="L120" i="14"/>
  <c r="J34" i="14"/>
  <c r="L121" i="14"/>
  <c r="L117" i="14"/>
  <c r="K72" i="14"/>
  <c r="D218" i="14" s="1"/>
  <c r="L27" i="14"/>
  <c r="D199" i="14" s="1"/>
  <c r="D250" i="14" s="1"/>
  <c r="E250" i="14" s="1"/>
  <c r="F250" i="14" s="1"/>
  <c r="G250" i="14" s="1"/>
  <c r="H250" i="14" s="1"/>
  <c r="I250" i="14" s="1"/>
  <c r="J250" i="14" s="1"/>
  <c r="K250" i="14" s="1"/>
  <c r="L250" i="14" s="1"/>
  <c r="M250" i="14" s="1"/>
  <c r="N250" i="14" s="1"/>
  <c r="O250" i="14" s="1"/>
  <c r="P250" i="14" s="1"/>
  <c r="Q250" i="14" s="1"/>
  <c r="R250" i="14" s="1"/>
  <c r="S250" i="14" s="1"/>
  <c r="T250" i="14" s="1"/>
  <c r="U250" i="14" s="1"/>
  <c r="V250" i="14" s="1"/>
  <c r="W250" i="14" s="1"/>
  <c r="X250" i="14" s="1"/>
  <c r="F37" i="14"/>
  <c r="J35" i="14"/>
  <c r="N121" i="14"/>
  <c r="N117" i="14"/>
  <c r="O72" i="14"/>
  <c r="D222" i="14" s="1"/>
  <c r="D234" i="14" s="1"/>
  <c r="E234" i="14" s="1"/>
  <c r="F234" i="14" s="1"/>
  <c r="G234" i="14" s="1"/>
  <c r="H234" i="14" s="1"/>
  <c r="I234" i="14" s="1"/>
  <c r="J234" i="14" s="1"/>
  <c r="K234" i="14" s="1"/>
  <c r="L234" i="14" s="1"/>
  <c r="M234" i="14" s="1"/>
  <c r="N234" i="14" s="1"/>
  <c r="O234" i="14" s="1"/>
  <c r="P234" i="14" s="1"/>
  <c r="Q234" i="14" s="1"/>
  <c r="R234" i="14" s="1"/>
  <c r="S234" i="14" s="1"/>
  <c r="T234" i="14" s="1"/>
  <c r="U234" i="14" s="1"/>
  <c r="V234" i="14" s="1"/>
  <c r="W234" i="14" s="1"/>
  <c r="X234" i="14" s="1"/>
  <c r="G71" i="14"/>
  <c r="G60" i="14" s="1"/>
  <c r="O117" i="14"/>
  <c r="O119" i="14"/>
  <c r="K119" i="14"/>
  <c r="D228" i="14"/>
  <c r="E228" i="14" s="1"/>
  <c r="F228" i="14" s="1"/>
  <c r="G228" i="14" s="1"/>
  <c r="H228" i="14" s="1"/>
  <c r="I228" i="14" s="1"/>
  <c r="J228" i="14" s="1"/>
  <c r="K228" i="14" s="1"/>
  <c r="L228" i="14" s="1"/>
  <c r="M228" i="14" s="1"/>
  <c r="N228" i="14" s="1"/>
  <c r="O228" i="14" s="1"/>
  <c r="P228" i="14" s="1"/>
  <c r="Q228" i="14" s="1"/>
  <c r="R228" i="14" s="1"/>
  <c r="S228" i="14" s="1"/>
  <c r="T228" i="14" s="1"/>
  <c r="U228" i="14" s="1"/>
  <c r="V228" i="14" s="1"/>
  <c r="W228" i="14" s="1"/>
  <c r="X228" i="14" s="1"/>
  <c r="D195" i="14"/>
  <c r="N119" i="14"/>
  <c r="O118" i="14"/>
  <c r="K118" i="14"/>
  <c r="F72" i="14"/>
  <c r="D214" i="14" s="1"/>
  <c r="O121" i="14"/>
  <c r="N118" i="14"/>
  <c r="K117" i="14"/>
  <c r="K70" i="14"/>
  <c r="F71" i="14"/>
  <c r="F60" i="14" s="1"/>
  <c r="M117" i="14"/>
  <c r="M121" i="14"/>
  <c r="M118" i="14"/>
  <c r="M119" i="14"/>
  <c r="E216" i="14"/>
  <c r="M125" i="14"/>
  <c r="M70" i="14"/>
  <c r="M126" i="14"/>
  <c r="M72" i="14"/>
  <c r="D220" i="14" s="1"/>
  <c r="G70" i="14"/>
  <c r="G72" i="14"/>
  <c r="D215" i="14" s="1"/>
  <c r="L52" i="14"/>
  <c r="L36" i="14"/>
  <c r="N72" i="14"/>
  <c r="D221" i="14" s="1"/>
  <c r="N71" i="14"/>
  <c r="N60" i="14" s="1"/>
  <c r="I69" i="14"/>
  <c r="E72" i="14"/>
  <c r="D213" i="14" s="1"/>
  <c r="E71" i="14"/>
  <c r="D69" i="14"/>
  <c r="F34" i="14"/>
  <c r="K91" i="14"/>
  <c r="M91" i="14"/>
  <c r="N70" i="14"/>
  <c r="K71" i="14"/>
  <c r="F70" i="14"/>
  <c r="O70" i="14"/>
  <c r="L71" i="14"/>
  <c r="L60" i="14" s="1"/>
  <c r="E126" i="14"/>
  <c r="F33" i="14" s="1"/>
  <c r="O71" i="14"/>
  <c r="H70" i="14"/>
  <c r="D157" i="14"/>
  <c r="F49" i="14"/>
  <c r="N125" i="14"/>
  <c r="L118" i="14"/>
  <c r="L119" i="14"/>
  <c r="M71" i="14"/>
  <c r="M60" i="14" s="1"/>
  <c r="H71" i="14"/>
  <c r="H60" i="14" s="1"/>
  <c r="L70" i="14"/>
  <c r="H49" i="14"/>
  <c r="D209" i="14"/>
  <c r="E209" i="14" s="1"/>
  <c r="F209" i="14" s="1"/>
  <c r="G209" i="14" s="1"/>
  <c r="H209" i="14" s="1"/>
  <c r="I209" i="14" s="1"/>
  <c r="J209" i="14" s="1"/>
  <c r="K209" i="14" s="1"/>
  <c r="L209" i="14" s="1"/>
  <c r="M209" i="14" s="1"/>
  <c r="N209" i="14" s="1"/>
  <c r="O209" i="14" s="1"/>
  <c r="P209" i="14" s="1"/>
  <c r="Q209" i="14" s="1"/>
  <c r="R209" i="14" s="1"/>
  <c r="S209" i="14" s="1"/>
  <c r="T209" i="14" s="1"/>
  <c r="U209" i="14" s="1"/>
  <c r="V209" i="14" s="1"/>
  <c r="W209" i="14" s="1"/>
  <c r="X209" i="14" s="1"/>
  <c r="K125" i="14"/>
  <c r="F48" i="14" s="1"/>
  <c r="L72" i="14"/>
  <c r="D219" i="14" s="1"/>
  <c r="I68" i="14"/>
  <c r="H35" i="14"/>
  <c r="H34" i="14"/>
  <c r="E218" i="14" l="1"/>
  <c r="D70" i="14"/>
  <c r="F136" i="22"/>
  <c r="F148" i="22" s="1"/>
  <c r="F135" i="22"/>
  <c r="F147" i="22" s="1"/>
  <c r="E135" i="22"/>
  <c r="E147" i="22" s="1"/>
  <c r="E128" i="22"/>
  <c r="F128" i="22" s="1"/>
  <c r="G128" i="22" s="1"/>
  <c r="H128" i="22" s="1"/>
  <c r="I128" i="22" s="1"/>
  <c r="J128" i="22" s="1"/>
  <c r="K128" i="22" s="1"/>
  <c r="L128" i="22" s="1"/>
  <c r="M128" i="22" s="1"/>
  <c r="N128" i="22" s="1"/>
  <c r="O128" i="22" s="1"/>
  <c r="P128" i="22" s="1"/>
  <c r="Q128" i="22" s="1"/>
  <c r="R128" i="22" s="1"/>
  <c r="S128" i="22" s="1"/>
  <c r="T128" i="22" s="1"/>
  <c r="U128" i="22" s="1"/>
  <c r="V128" i="22" s="1"/>
  <c r="W128" i="22" s="1"/>
  <c r="X128" i="22" s="1"/>
  <c r="E136" i="22"/>
  <c r="E148" i="22" s="1"/>
  <c r="E134" i="22"/>
  <c r="E129" i="22"/>
  <c r="F129" i="22" s="1"/>
  <c r="G129" i="22" s="1"/>
  <c r="H129" i="22" s="1"/>
  <c r="I129" i="22" s="1"/>
  <c r="J129" i="22" s="1"/>
  <c r="K129" i="22" s="1"/>
  <c r="L129" i="22" s="1"/>
  <c r="M129" i="22" s="1"/>
  <c r="N129" i="22" s="1"/>
  <c r="O129" i="22" s="1"/>
  <c r="P129" i="22" s="1"/>
  <c r="Q129" i="22" s="1"/>
  <c r="R129" i="22" s="1"/>
  <c r="S129" i="22" s="1"/>
  <c r="T129" i="22" s="1"/>
  <c r="U129" i="22" s="1"/>
  <c r="V129" i="22" s="1"/>
  <c r="W129" i="22" s="1"/>
  <c r="X129" i="22" s="1"/>
  <c r="G135" i="22"/>
  <c r="G147" i="22" s="1"/>
  <c r="E127" i="22"/>
  <c r="F134" i="22"/>
  <c r="H135" i="22"/>
  <c r="H147" i="22" s="1"/>
  <c r="G136" i="22"/>
  <c r="G148" i="22" s="1"/>
  <c r="G134" i="22"/>
  <c r="I135" i="22"/>
  <c r="I147" i="22" s="1"/>
  <c r="J135" i="22"/>
  <c r="J147" i="22" s="1"/>
  <c r="H136" i="22"/>
  <c r="H148" i="22" s="1"/>
  <c r="H134" i="22"/>
  <c r="K135" i="22"/>
  <c r="K147" i="22" s="1"/>
  <c r="I134" i="22"/>
  <c r="I136" i="22"/>
  <c r="I148" i="22" s="1"/>
  <c r="J136" i="22"/>
  <c r="J148" i="22" s="1"/>
  <c r="J134" i="22"/>
  <c r="L135" i="22"/>
  <c r="L147" i="22" s="1"/>
  <c r="K134" i="22"/>
  <c r="K136" i="22"/>
  <c r="K148" i="22" s="1"/>
  <c r="M135" i="22"/>
  <c r="M147" i="22" s="1"/>
  <c r="L134" i="22"/>
  <c r="L146" i="22" s="1"/>
  <c r="N135" i="22"/>
  <c r="N147" i="22" s="1"/>
  <c r="L136" i="22"/>
  <c r="L148" i="22" s="1"/>
  <c r="O135" i="22"/>
  <c r="O147" i="22" s="1"/>
  <c r="M136" i="22"/>
  <c r="M148" i="22" s="1"/>
  <c r="M134" i="22"/>
  <c r="M146" i="22" s="1"/>
  <c r="P135" i="22"/>
  <c r="P147" i="22" s="1"/>
  <c r="N134" i="22"/>
  <c r="N146" i="22" s="1"/>
  <c r="N136" i="22"/>
  <c r="N148" i="22" s="1"/>
  <c r="O136" i="22"/>
  <c r="O148" i="22" s="1"/>
  <c r="O134" i="22"/>
  <c r="O146" i="22" s="1"/>
  <c r="O149" i="22" s="1"/>
  <c r="O9" i="22" s="1"/>
  <c r="Q135" i="22"/>
  <c r="Q147" i="22" s="1"/>
  <c r="R135" i="22"/>
  <c r="R147" i="22" s="1"/>
  <c r="P136" i="22"/>
  <c r="P148" i="22" s="1"/>
  <c r="P134" i="22"/>
  <c r="P146" i="22" s="1"/>
  <c r="P149" i="22" s="1"/>
  <c r="P9" i="22" s="1"/>
  <c r="S135" i="22"/>
  <c r="S147" i="22" s="1"/>
  <c r="Q136" i="22"/>
  <c r="Q148" i="22" s="1"/>
  <c r="Q134" i="22"/>
  <c r="Q146" i="22" s="1"/>
  <c r="T135" i="22"/>
  <c r="T147" i="22" s="1"/>
  <c r="R134" i="22"/>
  <c r="R146" i="22" s="1"/>
  <c r="R136" i="22"/>
  <c r="R148" i="22" s="1"/>
  <c r="U135" i="22"/>
  <c r="U147" i="22" s="1"/>
  <c r="S134" i="22"/>
  <c r="S146" i="22" s="1"/>
  <c r="S149" i="22" s="1"/>
  <c r="S9" i="22" s="1"/>
  <c r="S136" i="22"/>
  <c r="S148" i="22" s="1"/>
  <c r="V135" i="22"/>
  <c r="V147" i="22" s="1"/>
  <c r="T134" i="22"/>
  <c r="T146" i="22" s="1"/>
  <c r="T136" i="22"/>
  <c r="T148" i="22" s="1"/>
  <c r="U136" i="22"/>
  <c r="U148" i="22" s="1"/>
  <c r="W135" i="22"/>
  <c r="W147" i="22" s="1"/>
  <c r="U134" i="22"/>
  <c r="U146" i="22" s="1"/>
  <c r="U149" i="22" s="1"/>
  <c r="U9" i="22" s="1"/>
  <c r="V136" i="22"/>
  <c r="V148" i="22" s="1"/>
  <c r="V134" i="22"/>
  <c r="V146" i="22" s="1"/>
  <c r="X135" i="22"/>
  <c r="X147" i="22" s="1"/>
  <c r="W134" i="22"/>
  <c r="W146" i="22" s="1"/>
  <c r="W136" i="22"/>
  <c r="W148" i="22" s="1"/>
  <c r="X134" i="22"/>
  <c r="X136" i="22"/>
  <c r="X148" i="22" s="1"/>
  <c r="F79" i="22"/>
  <c r="E79" i="22"/>
  <c r="E80" i="22"/>
  <c r="G79" i="22"/>
  <c r="E78" i="22"/>
  <c r="F80" i="22"/>
  <c r="H79" i="22"/>
  <c r="F78" i="22"/>
  <c r="I79" i="22"/>
  <c r="G80" i="22"/>
  <c r="G78" i="22"/>
  <c r="H78" i="22"/>
  <c r="H80" i="22"/>
  <c r="J79" i="22"/>
  <c r="K79" i="22"/>
  <c r="I78" i="22"/>
  <c r="I80" i="22"/>
  <c r="J80" i="22"/>
  <c r="J78" i="22"/>
  <c r="L79" i="22"/>
  <c r="K78" i="22"/>
  <c r="K80" i="22"/>
  <c r="M79" i="22"/>
  <c r="L78" i="22"/>
  <c r="L80" i="22"/>
  <c r="N79" i="22"/>
  <c r="M80" i="22"/>
  <c r="O79" i="22"/>
  <c r="M78" i="22"/>
  <c r="N78" i="22"/>
  <c r="N80" i="22"/>
  <c r="P79" i="22"/>
  <c r="O78" i="22"/>
  <c r="O80" i="22"/>
  <c r="Q79" i="22"/>
  <c r="P80" i="22"/>
  <c r="P78" i="22"/>
  <c r="R79" i="22"/>
  <c r="S79" i="22"/>
  <c r="Q80" i="22"/>
  <c r="Q78" i="22"/>
  <c r="T79" i="22"/>
  <c r="R80" i="22"/>
  <c r="R78" i="22"/>
  <c r="S78" i="22"/>
  <c r="S80" i="22"/>
  <c r="U79" i="22"/>
  <c r="T80" i="22"/>
  <c r="V79" i="22"/>
  <c r="T78" i="22"/>
  <c r="U80" i="22"/>
  <c r="W79" i="22"/>
  <c r="U78" i="22"/>
  <c r="V80" i="22"/>
  <c r="X79" i="22"/>
  <c r="V78" i="22"/>
  <c r="W78" i="22"/>
  <c r="W80" i="22"/>
  <c r="X80" i="22"/>
  <c r="X78" i="22"/>
  <c r="E222" i="14"/>
  <c r="F222" i="14" s="1"/>
  <c r="G222" i="14" s="1"/>
  <c r="H222" i="14" s="1"/>
  <c r="I222" i="14" s="1"/>
  <c r="J222" i="14" s="1"/>
  <c r="K222" i="14" s="1"/>
  <c r="L222" i="14" s="1"/>
  <c r="M222" i="14" s="1"/>
  <c r="N222" i="14" s="1"/>
  <c r="O222" i="14" s="1"/>
  <c r="P222" i="14" s="1"/>
  <c r="Q222" i="14" s="1"/>
  <c r="R222" i="14" s="1"/>
  <c r="S222" i="14" s="1"/>
  <c r="T222" i="14" s="1"/>
  <c r="U222" i="14" s="1"/>
  <c r="V222" i="14" s="1"/>
  <c r="W222" i="14" s="1"/>
  <c r="W247" i="14" s="1"/>
  <c r="D200" i="14"/>
  <c r="D230" i="14"/>
  <c r="E230" i="14" s="1"/>
  <c r="L34" i="14"/>
  <c r="D239" i="14" s="1"/>
  <c r="D217" i="14"/>
  <c r="I72" i="14"/>
  <c r="L49" i="14"/>
  <c r="D244" i="14" s="1"/>
  <c r="L35" i="14"/>
  <c r="D240" i="14" s="1"/>
  <c r="J33" i="14"/>
  <c r="H33" i="14"/>
  <c r="D241" i="14"/>
  <c r="E214" i="14"/>
  <c r="F214" i="14" s="1"/>
  <c r="D226" i="14"/>
  <c r="E226" i="14" s="1"/>
  <c r="F226" i="14" s="1"/>
  <c r="G226" i="14" s="1"/>
  <c r="H226" i="14" s="1"/>
  <c r="I226" i="14" s="1"/>
  <c r="J226" i="14" s="1"/>
  <c r="K226" i="14" s="1"/>
  <c r="L226" i="14" s="1"/>
  <c r="M226" i="14" s="1"/>
  <c r="N226" i="14" s="1"/>
  <c r="O226" i="14" s="1"/>
  <c r="P226" i="14" s="1"/>
  <c r="Q226" i="14" s="1"/>
  <c r="R226" i="14" s="1"/>
  <c r="S226" i="14" s="1"/>
  <c r="T226" i="14" s="1"/>
  <c r="U226" i="14" s="1"/>
  <c r="V226" i="14" s="1"/>
  <c r="W226" i="14" s="1"/>
  <c r="X226" i="14" s="1"/>
  <c r="U247" i="14"/>
  <c r="I70" i="14"/>
  <c r="D151" i="14" s="1"/>
  <c r="D227" i="14"/>
  <c r="E227" i="14" s="1"/>
  <c r="F227" i="14" s="1"/>
  <c r="G227" i="14" s="1"/>
  <c r="H227" i="14" s="1"/>
  <c r="I227" i="14" s="1"/>
  <c r="J227" i="14" s="1"/>
  <c r="K227" i="14" s="1"/>
  <c r="L227" i="14" s="1"/>
  <c r="M227" i="14" s="1"/>
  <c r="N227" i="14" s="1"/>
  <c r="O227" i="14" s="1"/>
  <c r="P227" i="14" s="1"/>
  <c r="Q227" i="14" s="1"/>
  <c r="R227" i="14" s="1"/>
  <c r="S227" i="14" s="1"/>
  <c r="T227" i="14" s="1"/>
  <c r="U227" i="14" s="1"/>
  <c r="V227" i="14" s="1"/>
  <c r="W227" i="14" s="1"/>
  <c r="X227" i="14" s="1"/>
  <c r="E215" i="14"/>
  <c r="D231" i="14"/>
  <c r="E231" i="14" s="1"/>
  <c r="F231" i="14" s="1"/>
  <c r="G231" i="14" s="1"/>
  <c r="H231" i="14" s="1"/>
  <c r="I231" i="14" s="1"/>
  <c r="J231" i="14" s="1"/>
  <c r="K231" i="14" s="1"/>
  <c r="L231" i="14" s="1"/>
  <c r="M231" i="14" s="1"/>
  <c r="N231" i="14" s="1"/>
  <c r="O231" i="14" s="1"/>
  <c r="P231" i="14" s="1"/>
  <c r="Q231" i="14" s="1"/>
  <c r="R231" i="14" s="1"/>
  <c r="S231" i="14" s="1"/>
  <c r="T231" i="14" s="1"/>
  <c r="U231" i="14" s="1"/>
  <c r="V231" i="14" s="1"/>
  <c r="W231" i="14" s="1"/>
  <c r="X231" i="14" s="1"/>
  <c r="E219" i="14"/>
  <c r="I71" i="14"/>
  <c r="K60" i="14"/>
  <c r="D71" i="14"/>
  <c r="D60" i="14" s="1"/>
  <c r="E60" i="14"/>
  <c r="D233" i="14"/>
  <c r="E233" i="14" s="1"/>
  <c r="F233" i="14" s="1"/>
  <c r="G233" i="14" s="1"/>
  <c r="H233" i="14" s="1"/>
  <c r="I233" i="14" s="1"/>
  <c r="J233" i="14" s="1"/>
  <c r="K233" i="14" s="1"/>
  <c r="L233" i="14" s="1"/>
  <c r="M233" i="14" s="1"/>
  <c r="N233" i="14" s="1"/>
  <c r="O233" i="14" s="1"/>
  <c r="P233" i="14" s="1"/>
  <c r="Q233" i="14" s="1"/>
  <c r="R233" i="14" s="1"/>
  <c r="S233" i="14" s="1"/>
  <c r="T233" i="14" s="1"/>
  <c r="U233" i="14" s="1"/>
  <c r="V233" i="14" s="1"/>
  <c r="W233" i="14" s="1"/>
  <c r="X233" i="14" s="1"/>
  <c r="E221" i="14"/>
  <c r="F218" i="14"/>
  <c r="F216" i="14"/>
  <c r="E241" i="14"/>
  <c r="J48" i="14"/>
  <c r="H48" i="14"/>
  <c r="L48" i="14" s="1"/>
  <c r="D243" i="14" s="1"/>
  <c r="F51" i="14"/>
  <c r="H51" i="14"/>
  <c r="J51" i="14"/>
  <c r="D212" i="14"/>
  <c r="E213" i="14"/>
  <c r="D225" i="14"/>
  <c r="D247" i="14"/>
  <c r="L247" i="14"/>
  <c r="G247" i="14"/>
  <c r="N247" i="14"/>
  <c r="V247" i="14"/>
  <c r="D150" i="14"/>
  <c r="D232" i="14"/>
  <c r="E232" i="14" s="1"/>
  <c r="F232" i="14" s="1"/>
  <c r="G232" i="14" s="1"/>
  <c r="H232" i="14" s="1"/>
  <c r="I232" i="14" s="1"/>
  <c r="J232" i="14" s="1"/>
  <c r="K232" i="14" s="1"/>
  <c r="L232" i="14" s="1"/>
  <c r="M232" i="14" s="1"/>
  <c r="N232" i="14" s="1"/>
  <c r="O232" i="14" s="1"/>
  <c r="P232" i="14" s="1"/>
  <c r="Q232" i="14" s="1"/>
  <c r="R232" i="14" s="1"/>
  <c r="S232" i="14" s="1"/>
  <c r="T232" i="14" s="1"/>
  <c r="U232" i="14" s="1"/>
  <c r="V232" i="14" s="1"/>
  <c r="W232" i="14" s="1"/>
  <c r="X232" i="14" s="1"/>
  <c r="E220" i="14"/>
  <c r="F50" i="14"/>
  <c r="J50" i="14"/>
  <c r="H50" i="14"/>
  <c r="D72" i="14"/>
  <c r="F243" i="14" l="1"/>
  <c r="L149" i="22"/>
  <c r="L9" i="22" s="1"/>
  <c r="I137" i="22"/>
  <c r="I146" i="22"/>
  <c r="I149" i="22" s="1"/>
  <c r="I9" i="22" s="1"/>
  <c r="K247" i="14"/>
  <c r="I247" i="14"/>
  <c r="X222" i="14"/>
  <c r="X247" i="14" s="1"/>
  <c r="T247" i="14"/>
  <c r="Q247" i="14"/>
  <c r="X146" i="22"/>
  <c r="X149" i="22" s="1"/>
  <c r="X9" i="22" s="1"/>
  <c r="Z133" i="22"/>
  <c r="Z138" i="22" s="1"/>
  <c r="Z139" i="22" s="1"/>
  <c r="M77" i="14" s="1"/>
  <c r="G59" i="23" s="1"/>
  <c r="V149" i="22"/>
  <c r="V9" i="22" s="1"/>
  <c r="R149" i="22"/>
  <c r="R9" i="22" s="1"/>
  <c r="N149" i="22"/>
  <c r="N9" i="22" s="1"/>
  <c r="J137" i="22"/>
  <c r="J146" i="22"/>
  <c r="J149" i="22" s="1"/>
  <c r="J9" i="22" s="1"/>
  <c r="F137" i="22"/>
  <c r="F146" i="22"/>
  <c r="F149" i="22" s="1"/>
  <c r="F9" i="22" s="1"/>
  <c r="E137" i="22"/>
  <c r="E146" i="22"/>
  <c r="E149" i="22" s="1"/>
  <c r="E9" i="22" s="1"/>
  <c r="H137" i="22"/>
  <c r="H146" i="22"/>
  <c r="H149" i="22" s="1"/>
  <c r="H9" i="22" s="1"/>
  <c r="G137" i="22"/>
  <c r="G146" i="22"/>
  <c r="G149" i="22" s="1"/>
  <c r="G9" i="22" s="1"/>
  <c r="F127" i="22"/>
  <c r="E130" i="22"/>
  <c r="E8" i="22" s="1"/>
  <c r="S247" i="14"/>
  <c r="E251" i="14"/>
  <c r="D251" i="14"/>
  <c r="W149" i="22"/>
  <c r="W9" i="22" s="1"/>
  <c r="T149" i="22"/>
  <c r="T9" i="22" s="1"/>
  <c r="Q149" i="22"/>
  <c r="Q9" i="22" s="1"/>
  <c r="M149" i="22"/>
  <c r="M9" i="22" s="1"/>
  <c r="K146" i="22"/>
  <c r="K149" i="22" s="1"/>
  <c r="K9" i="22" s="1"/>
  <c r="K137" i="22"/>
  <c r="F15" i="14"/>
  <c r="D29" i="17" s="1"/>
  <c r="P247" i="14"/>
  <c r="F247" i="14"/>
  <c r="J247" i="14"/>
  <c r="H247" i="14"/>
  <c r="R247" i="14"/>
  <c r="O247" i="14"/>
  <c r="E247" i="14"/>
  <c r="M247" i="14"/>
  <c r="L33" i="14"/>
  <c r="D238" i="14" s="1"/>
  <c r="E217" i="14"/>
  <c r="E239" i="14"/>
  <c r="D237" i="14"/>
  <c r="D229" i="14"/>
  <c r="G216" i="14"/>
  <c r="F241" i="14"/>
  <c r="F215" i="14"/>
  <c r="E240" i="14"/>
  <c r="F220" i="14"/>
  <c r="D224" i="14"/>
  <c r="E225" i="14"/>
  <c r="G214" i="14"/>
  <c r="F239" i="14"/>
  <c r="F221" i="14"/>
  <c r="E229" i="14"/>
  <c r="F230" i="14"/>
  <c r="F213" i="14"/>
  <c r="E212" i="14"/>
  <c r="E238" i="14"/>
  <c r="L51" i="14"/>
  <c r="D246" i="14" s="1"/>
  <c r="G218" i="14"/>
  <c r="G243" i="14" s="1"/>
  <c r="F219" i="14"/>
  <c r="E244" i="14"/>
  <c r="L50" i="14"/>
  <c r="D245" i="14" s="1"/>
  <c r="I60" i="14"/>
  <c r="M81" i="14"/>
  <c r="J84" i="14" s="1"/>
  <c r="F251" i="14" l="1"/>
  <c r="E29" i="17"/>
  <c r="L93" i="14"/>
  <c r="J59" i="23"/>
  <c r="F130" i="22"/>
  <c r="F8" i="22" s="1"/>
  <c r="G127" i="22"/>
  <c r="E243" i="14"/>
  <c r="E245" i="14"/>
  <c r="F229" i="14"/>
  <c r="G230" i="14"/>
  <c r="E237" i="14"/>
  <c r="H214" i="14"/>
  <c r="G239" i="14"/>
  <c r="F240" i="14"/>
  <c r="G215" i="14"/>
  <c r="H218" i="14"/>
  <c r="E246" i="14"/>
  <c r="D242" i="14"/>
  <c r="G220" i="14"/>
  <c r="F245" i="14"/>
  <c r="F244" i="14"/>
  <c r="G219" i="14"/>
  <c r="F217" i="14"/>
  <c r="G213" i="14"/>
  <c r="F238" i="14"/>
  <c r="F212" i="14"/>
  <c r="G221" i="14"/>
  <c r="F246" i="14"/>
  <c r="F225" i="14"/>
  <c r="E224" i="14"/>
  <c r="H216" i="14"/>
  <c r="G241" i="14"/>
  <c r="G130" i="22" l="1"/>
  <c r="G8" i="22" s="1"/>
  <c r="H127" i="22"/>
  <c r="G251" i="14"/>
  <c r="H15" i="14"/>
  <c r="F29" i="17" s="1"/>
  <c r="F14" i="14"/>
  <c r="D27" i="17" s="1"/>
  <c r="E242" i="14"/>
  <c r="F242" i="14"/>
  <c r="H14" i="14" s="1"/>
  <c r="H215" i="14"/>
  <c r="G240" i="14"/>
  <c r="H219" i="14"/>
  <c r="G244" i="14"/>
  <c r="I218" i="14"/>
  <c r="H243" i="14"/>
  <c r="H230" i="14"/>
  <c r="G229" i="14"/>
  <c r="G212" i="14"/>
  <c r="H213" i="14"/>
  <c r="G238" i="14"/>
  <c r="I216" i="14"/>
  <c r="H241" i="14"/>
  <c r="G246" i="14"/>
  <c r="H221" i="14"/>
  <c r="H220" i="14"/>
  <c r="G245" i="14"/>
  <c r="F224" i="14"/>
  <c r="G225" i="14"/>
  <c r="F237" i="14"/>
  <c r="G217" i="14"/>
  <c r="I214" i="14"/>
  <c r="H239" i="14"/>
  <c r="H251" i="14" l="1"/>
  <c r="I15" i="14"/>
  <c r="G29" i="17" s="1"/>
  <c r="I127" i="22"/>
  <c r="H130" i="22"/>
  <c r="H8" i="22" s="1"/>
  <c r="G14" i="14"/>
  <c r="E27" i="17" s="1"/>
  <c r="G237" i="14"/>
  <c r="G242" i="14"/>
  <c r="I14" i="14" s="1"/>
  <c r="F27" i="17"/>
  <c r="I241" i="14"/>
  <c r="J216" i="14"/>
  <c r="J218" i="14"/>
  <c r="I243" i="14"/>
  <c r="H212" i="14"/>
  <c r="H238" i="14"/>
  <c r="I213" i="14"/>
  <c r="J214" i="14"/>
  <c r="I239" i="14"/>
  <c r="H225" i="14"/>
  <c r="G224" i="14"/>
  <c r="I220" i="14"/>
  <c r="H245" i="14"/>
  <c r="I221" i="14"/>
  <c r="H246" i="14"/>
  <c r="I230" i="14"/>
  <c r="H229" i="14"/>
  <c r="H217" i="14"/>
  <c r="I219" i="14"/>
  <c r="H244" i="14"/>
  <c r="I215" i="14"/>
  <c r="H240" i="14"/>
  <c r="J127" i="22" l="1"/>
  <c r="I130" i="22"/>
  <c r="I8" i="22" s="1"/>
  <c r="I251" i="14"/>
  <c r="J15" i="14"/>
  <c r="H29" i="17" s="1"/>
  <c r="G27" i="17"/>
  <c r="H242" i="14"/>
  <c r="J14" i="14" s="1"/>
  <c r="J219" i="14"/>
  <c r="I244" i="14"/>
  <c r="J215" i="14"/>
  <c r="I240" i="14"/>
  <c r="H237" i="14"/>
  <c r="I217" i="14"/>
  <c r="I229" i="14"/>
  <c r="J230" i="14"/>
  <c r="J220" i="14"/>
  <c r="I245" i="14"/>
  <c r="K214" i="14"/>
  <c r="J239" i="14"/>
  <c r="K216" i="14"/>
  <c r="J241" i="14"/>
  <c r="J221" i="14"/>
  <c r="I246" i="14"/>
  <c r="H224" i="14"/>
  <c r="I225" i="14"/>
  <c r="J213" i="14"/>
  <c r="I212" i="14"/>
  <c r="I238" i="14"/>
  <c r="K218" i="14"/>
  <c r="J243" i="14"/>
  <c r="J251" i="14" l="1"/>
  <c r="K15" i="14"/>
  <c r="I29" i="17" s="1"/>
  <c r="C30" i="17" s="1"/>
  <c r="K127" i="22"/>
  <c r="J130" i="22"/>
  <c r="J8" i="22" s="1"/>
  <c r="J217" i="14"/>
  <c r="H27" i="17"/>
  <c r="I242" i="14"/>
  <c r="K14" i="14" s="1"/>
  <c r="K213" i="14"/>
  <c r="J212" i="14"/>
  <c r="J238" i="14"/>
  <c r="J225" i="14"/>
  <c r="I224" i="14"/>
  <c r="K239" i="14"/>
  <c r="L214" i="14"/>
  <c r="K215" i="14"/>
  <c r="J240" i="14"/>
  <c r="L216" i="14"/>
  <c r="K241" i="14"/>
  <c r="K220" i="14"/>
  <c r="J245" i="14"/>
  <c r="J244" i="14"/>
  <c r="K219" i="14"/>
  <c r="L218" i="14"/>
  <c r="K243" i="14"/>
  <c r="K221" i="14"/>
  <c r="J246" i="14"/>
  <c r="J229" i="14"/>
  <c r="K230" i="14"/>
  <c r="I237" i="14"/>
  <c r="K130" i="22" l="1"/>
  <c r="K8" i="22" s="1"/>
  <c r="L127" i="22"/>
  <c r="K251" i="14"/>
  <c r="L251" i="14" s="1"/>
  <c r="M251" i="14" s="1"/>
  <c r="N251" i="14" s="1"/>
  <c r="O251" i="14" s="1"/>
  <c r="P251" i="14" s="1"/>
  <c r="Q251" i="14" s="1"/>
  <c r="R251" i="14" s="1"/>
  <c r="S251" i="14" s="1"/>
  <c r="T251" i="14" s="1"/>
  <c r="U251" i="14" s="1"/>
  <c r="V251" i="14" s="1"/>
  <c r="W251" i="14" s="1"/>
  <c r="X251" i="14" s="1"/>
  <c r="L15" i="14"/>
  <c r="J29" i="17" s="1"/>
  <c r="I27" i="17"/>
  <c r="C28" i="17" s="1"/>
  <c r="C33" i="17" s="1"/>
  <c r="J242" i="14"/>
  <c r="L14" i="14" s="1"/>
  <c r="J237" i="14"/>
  <c r="L221" i="14"/>
  <c r="K246" i="14"/>
  <c r="L215" i="14"/>
  <c r="K240" i="14"/>
  <c r="J224" i="14"/>
  <c r="K225" i="14"/>
  <c r="L230" i="14"/>
  <c r="K229" i="14"/>
  <c r="M216" i="14"/>
  <c r="L241" i="14"/>
  <c r="M214" i="14"/>
  <c r="L239" i="14"/>
  <c r="L219" i="14"/>
  <c r="K244" i="14"/>
  <c r="K217" i="14"/>
  <c r="M218" i="14"/>
  <c r="L243" i="14"/>
  <c r="L220" i="14"/>
  <c r="K245" i="14"/>
  <c r="K212" i="14"/>
  <c r="L213" i="14"/>
  <c r="K238" i="14"/>
  <c r="M127" i="22" l="1"/>
  <c r="L130" i="22"/>
  <c r="L8" i="22" s="1"/>
  <c r="J27" i="17"/>
  <c r="K242" i="14"/>
  <c r="L217" i="14"/>
  <c r="K237" i="14"/>
  <c r="L212" i="14"/>
  <c r="M213" i="14"/>
  <c r="L238" i="14"/>
  <c r="N214" i="14"/>
  <c r="M239" i="14"/>
  <c r="L229" i="14"/>
  <c r="M230" i="14"/>
  <c r="M215" i="14"/>
  <c r="L240" i="14"/>
  <c r="M220" i="14"/>
  <c r="L245" i="14"/>
  <c r="N216" i="14"/>
  <c r="M241" i="14"/>
  <c r="M221" i="14"/>
  <c r="L246" i="14"/>
  <c r="N218" i="14"/>
  <c r="M243" i="14"/>
  <c r="M219" i="14"/>
  <c r="M217" i="14" s="1"/>
  <c r="L244" i="14"/>
  <c r="L225" i="14"/>
  <c r="K224" i="14"/>
  <c r="N127" i="22" l="1"/>
  <c r="M130" i="22"/>
  <c r="M8" i="22" s="1"/>
  <c r="L242" i="14"/>
  <c r="N215" i="14"/>
  <c r="M240" i="14"/>
  <c r="N230" i="14"/>
  <c r="M229" i="14"/>
  <c r="L237" i="14"/>
  <c r="N219" i="14"/>
  <c r="M244" i="14"/>
  <c r="O216" i="14"/>
  <c r="N241" i="14"/>
  <c r="O214" i="14"/>
  <c r="N239" i="14"/>
  <c r="L224" i="14"/>
  <c r="M225" i="14"/>
  <c r="N243" i="14"/>
  <c r="O218" i="14"/>
  <c r="N221" i="14"/>
  <c r="M246" i="14"/>
  <c r="N220" i="14"/>
  <c r="M245" i="14"/>
  <c r="N213" i="14"/>
  <c r="M212" i="14"/>
  <c r="M238" i="14"/>
  <c r="O127" i="22" l="1"/>
  <c r="N130" i="22"/>
  <c r="N8" i="22" s="1"/>
  <c r="M242" i="14"/>
  <c r="M237" i="14"/>
  <c r="O220" i="14"/>
  <c r="N245" i="14"/>
  <c r="N229" i="14"/>
  <c r="O230" i="14"/>
  <c r="N217" i="14"/>
  <c r="P214" i="14"/>
  <c r="O239" i="14"/>
  <c r="N244" i="14"/>
  <c r="O219" i="14"/>
  <c r="O213" i="14"/>
  <c r="N212" i="14"/>
  <c r="N238" i="14"/>
  <c r="O221" i="14"/>
  <c r="N246" i="14"/>
  <c r="N225" i="14"/>
  <c r="M224" i="14"/>
  <c r="P218" i="14"/>
  <c r="O243" i="14"/>
  <c r="P216" i="14"/>
  <c r="O241" i="14"/>
  <c r="N240" i="14"/>
  <c r="O215" i="14"/>
  <c r="O130" i="22" l="1"/>
  <c r="O8" i="22" s="1"/>
  <c r="P127" i="22"/>
  <c r="O217" i="14"/>
  <c r="N242" i="14"/>
  <c r="P215" i="14"/>
  <c r="O240" i="14"/>
  <c r="O225" i="14"/>
  <c r="N224" i="14"/>
  <c r="Q218" i="14"/>
  <c r="P243" i="14"/>
  <c r="O246" i="14"/>
  <c r="P221" i="14"/>
  <c r="P219" i="14"/>
  <c r="O244" i="14"/>
  <c r="O212" i="14"/>
  <c r="P213" i="14"/>
  <c r="O238" i="14"/>
  <c r="Q214" i="14"/>
  <c r="P239" i="14"/>
  <c r="Q216" i="14"/>
  <c r="P241" i="14"/>
  <c r="N237" i="14"/>
  <c r="P230" i="14"/>
  <c r="O229" i="14"/>
  <c r="P220" i="14"/>
  <c r="O245" i="14"/>
  <c r="Q127" i="22" l="1"/>
  <c r="P130" i="22"/>
  <c r="P8" i="22" s="1"/>
  <c r="O242" i="14"/>
  <c r="O237" i="14"/>
  <c r="Q221" i="14"/>
  <c r="P246" i="14"/>
  <c r="R214" i="14"/>
  <c r="Q239" i="14"/>
  <c r="Q220" i="14"/>
  <c r="P245" i="14"/>
  <c r="O224" i="14"/>
  <c r="P225" i="14"/>
  <c r="Q230" i="14"/>
  <c r="P229" i="14"/>
  <c r="Q243" i="14"/>
  <c r="R218" i="14"/>
  <c r="Q215" i="14"/>
  <c r="P240" i="14"/>
  <c r="R216" i="14"/>
  <c r="Q241" i="14"/>
  <c r="P212" i="14"/>
  <c r="P238" i="14"/>
  <c r="P237" i="14" s="1"/>
  <c r="Q213" i="14"/>
  <c r="Q219" i="14"/>
  <c r="P244" i="14"/>
  <c r="P217" i="14"/>
  <c r="R127" i="22" l="1"/>
  <c r="Q130" i="22"/>
  <c r="Q8" i="22" s="1"/>
  <c r="P242" i="14"/>
  <c r="R215" i="14"/>
  <c r="Q240" i="14"/>
  <c r="R219" i="14"/>
  <c r="Q244" i="14"/>
  <c r="S218" i="14"/>
  <c r="R243" i="14"/>
  <c r="Q229" i="14"/>
  <c r="R230" i="14"/>
  <c r="S214" i="14"/>
  <c r="R239" i="14"/>
  <c r="R213" i="14"/>
  <c r="Q212" i="14"/>
  <c r="Q238" i="14"/>
  <c r="S216" i="14"/>
  <c r="R241" i="14"/>
  <c r="P224" i="14"/>
  <c r="Q225" i="14"/>
  <c r="Q217" i="14"/>
  <c r="Q245" i="14"/>
  <c r="R220" i="14"/>
  <c r="R221" i="14"/>
  <c r="Q246" i="14"/>
  <c r="S127" i="22" l="1"/>
  <c r="R130" i="22"/>
  <c r="R8" i="22" s="1"/>
  <c r="Q237" i="14"/>
  <c r="Q242" i="14"/>
  <c r="T218" i="14"/>
  <c r="S243" i="14"/>
  <c r="S221" i="14"/>
  <c r="R246" i="14"/>
  <c r="S213" i="14"/>
  <c r="R212" i="14"/>
  <c r="R238" i="14"/>
  <c r="S220" i="14"/>
  <c r="R245" i="14"/>
  <c r="R225" i="14"/>
  <c r="Q224" i="14"/>
  <c r="T216" i="14"/>
  <c r="S241" i="14"/>
  <c r="S219" i="14"/>
  <c r="R244" i="14"/>
  <c r="S239" i="14"/>
  <c r="T214" i="14"/>
  <c r="R229" i="14"/>
  <c r="S230" i="14"/>
  <c r="R217" i="14"/>
  <c r="S215" i="14"/>
  <c r="R240" i="14"/>
  <c r="S130" i="22" l="1"/>
  <c r="S8" i="22" s="1"/>
  <c r="T127" i="22"/>
  <c r="R242" i="14"/>
  <c r="T215" i="14"/>
  <c r="S240" i="14"/>
  <c r="U214" i="14"/>
  <c r="T239" i="14"/>
  <c r="T219" i="14"/>
  <c r="S244" i="14"/>
  <c r="T221" i="14"/>
  <c r="S246" i="14"/>
  <c r="S225" i="14"/>
  <c r="R224" i="14"/>
  <c r="U216" i="14"/>
  <c r="T241" i="14"/>
  <c r="T220" i="14"/>
  <c r="S245" i="14"/>
  <c r="S217" i="14"/>
  <c r="R237" i="14"/>
  <c r="T230" i="14"/>
  <c r="S229" i="14"/>
  <c r="S212" i="14"/>
  <c r="T213" i="14"/>
  <c r="S238" i="14"/>
  <c r="U218" i="14"/>
  <c r="T243" i="14"/>
  <c r="U127" i="22" l="1"/>
  <c r="T130" i="22"/>
  <c r="T8" i="22" s="1"/>
  <c r="S242" i="14"/>
  <c r="S237" i="14"/>
  <c r="T212" i="14"/>
  <c r="U213" i="14"/>
  <c r="T238" i="14"/>
  <c r="U219" i="14"/>
  <c r="T244" i="14"/>
  <c r="U215" i="14"/>
  <c r="T240" i="14"/>
  <c r="V216" i="14"/>
  <c r="U241" i="14"/>
  <c r="U243" i="14"/>
  <c r="V218" i="14"/>
  <c r="U221" i="14"/>
  <c r="T246" i="14"/>
  <c r="V214" i="14"/>
  <c r="U239" i="14"/>
  <c r="T225" i="14"/>
  <c r="S224" i="14"/>
  <c r="T217" i="14"/>
  <c r="T229" i="14"/>
  <c r="U230" i="14"/>
  <c r="U220" i="14"/>
  <c r="T245" i="14"/>
  <c r="V127" i="22" l="1"/>
  <c r="U130" i="22"/>
  <c r="U8" i="22" s="1"/>
  <c r="T242" i="14"/>
  <c r="U245" i="14"/>
  <c r="V220" i="14"/>
  <c r="W216" i="14"/>
  <c r="V241" i="14"/>
  <c r="V230" i="14"/>
  <c r="U229" i="14"/>
  <c r="W214" i="14"/>
  <c r="V239" i="14"/>
  <c r="W218" i="14"/>
  <c r="V243" i="14"/>
  <c r="T237" i="14"/>
  <c r="V221" i="14"/>
  <c r="U246" i="14"/>
  <c r="U217" i="14"/>
  <c r="V219" i="14"/>
  <c r="U244" i="14"/>
  <c r="T224" i="14"/>
  <c r="U225" i="14"/>
  <c r="V215" i="14"/>
  <c r="U240" i="14"/>
  <c r="V213" i="14"/>
  <c r="U212" i="14"/>
  <c r="U238" i="14"/>
  <c r="V130" i="22" l="1"/>
  <c r="V8" i="22" s="1"/>
  <c r="W127" i="22"/>
  <c r="U242" i="14"/>
  <c r="U237" i="14"/>
  <c r="V246" i="14"/>
  <c r="W221" i="14"/>
  <c r="W219" i="14"/>
  <c r="V244" i="14"/>
  <c r="W213" i="14"/>
  <c r="V238" i="14"/>
  <c r="V212" i="14"/>
  <c r="V225" i="14"/>
  <c r="U224" i="14"/>
  <c r="X214" i="14"/>
  <c r="X239" i="14" s="1"/>
  <c r="W239" i="14"/>
  <c r="X216" i="14"/>
  <c r="X241" i="14" s="1"/>
  <c r="W241" i="14"/>
  <c r="W215" i="14"/>
  <c r="V240" i="14"/>
  <c r="V217" i="14"/>
  <c r="V229" i="14"/>
  <c r="W230" i="14"/>
  <c r="X218" i="14"/>
  <c r="W243" i="14"/>
  <c r="W220" i="14"/>
  <c r="V245" i="14"/>
  <c r="W130" i="22" l="1"/>
  <c r="W8" i="22" s="1"/>
  <c r="X127" i="22"/>
  <c r="X130" i="22" s="1"/>
  <c r="X8" i="22" s="1"/>
  <c r="W217" i="14"/>
  <c r="V242" i="14"/>
  <c r="V237" i="14"/>
  <c r="X220" i="14"/>
  <c r="X245" i="14" s="1"/>
  <c r="W245" i="14"/>
  <c r="X230" i="14"/>
  <c r="X229" i="14" s="1"/>
  <c r="W229" i="14"/>
  <c r="X215" i="14"/>
  <c r="X240" i="14" s="1"/>
  <c r="W240" i="14"/>
  <c r="W225" i="14"/>
  <c r="V224" i="14"/>
  <c r="X219" i="14"/>
  <c r="X244" i="14" s="1"/>
  <c r="W244" i="14"/>
  <c r="X243" i="14"/>
  <c r="W212" i="14"/>
  <c r="X213" i="14"/>
  <c r="W238" i="14"/>
  <c r="W237" i="14" s="1"/>
  <c r="X221" i="14"/>
  <c r="X246" i="14" s="1"/>
  <c r="W246" i="14"/>
  <c r="AA229" i="14" l="1"/>
  <c r="E59" i="23"/>
  <c r="I59" i="23"/>
  <c r="X242" i="14"/>
  <c r="W242" i="14"/>
  <c r="X212" i="14"/>
  <c r="X238" i="14"/>
  <c r="X237" i="14" s="1"/>
  <c r="X217" i="14"/>
  <c r="W224" i="14"/>
  <c r="X225" i="14"/>
  <c r="X224" i="14" s="1"/>
  <c r="AA224" i="14" s="1"/>
  <c r="L202" i="23" l="1"/>
  <c r="D179" i="23"/>
  <c r="D119" i="23"/>
  <c r="T31" i="13"/>
  <c r="E119" i="23" l="1"/>
  <c r="E122" i="23" s="1"/>
  <c r="F119" i="23"/>
  <c r="F122" i="23" s="1"/>
  <c r="G119" i="23"/>
  <c r="G122" i="23" s="1"/>
  <c r="H119" i="23"/>
  <c r="H122" i="23" s="1"/>
  <c r="D18" i="26"/>
  <c r="E95" i="23" l="1"/>
  <c r="D17" i="26"/>
  <c r="J95" i="23"/>
  <c r="F180" i="23" s="1"/>
  <c r="F181" i="23" s="1"/>
  <c r="L95" i="23"/>
  <c r="H180" i="23" s="1"/>
  <c r="H181" i="23" s="1"/>
  <c r="G95" i="23"/>
  <c r="K95" i="23"/>
  <c r="G180" i="23" s="1"/>
  <c r="G181" i="23" s="1"/>
  <c r="I95" i="23"/>
  <c r="E180" i="23" s="1"/>
  <c r="H95" i="23"/>
  <c r="F95" i="23"/>
  <c r="F179" i="23" s="1"/>
  <c r="D122" i="23"/>
  <c r="E9" i="13"/>
  <c r="D12" i="13"/>
  <c r="E20" i="13"/>
  <c r="K20" i="13"/>
  <c r="L25" i="13" s="1"/>
  <c r="L23" i="13"/>
  <c r="O23" i="13"/>
  <c r="L24" i="13"/>
  <c r="O24" i="13"/>
  <c r="O26" i="13"/>
  <c r="L27" i="13"/>
  <c r="L28" i="13"/>
  <c r="O28" i="13"/>
  <c r="C35" i="13"/>
  <c r="C43" i="13"/>
  <c r="F47" i="13"/>
  <c r="G47" i="13" s="1"/>
  <c r="H47" i="13" s="1"/>
  <c r="I47" i="13" s="1"/>
  <c r="J47" i="13" s="1"/>
  <c r="E48" i="13"/>
  <c r="F96" i="13"/>
  <c r="G96" i="13" s="1"/>
  <c r="H96" i="13" s="1"/>
  <c r="F97" i="13"/>
  <c r="G97" i="13" s="1"/>
  <c r="H97" i="13" s="1"/>
  <c r="I97" i="13" s="1"/>
  <c r="J97" i="13" s="1"/>
  <c r="K97" i="13" s="1"/>
  <c r="L97" i="13" s="1"/>
  <c r="M97" i="13" s="1"/>
  <c r="N97" i="13" s="1"/>
  <c r="O97" i="13" s="1"/>
  <c r="P97" i="13" s="1"/>
  <c r="Q97" i="13" s="1"/>
  <c r="R97" i="13" s="1"/>
  <c r="S97" i="13" s="1"/>
  <c r="T97" i="13" s="1"/>
  <c r="U97" i="13" s="1"/>
  <c r="V97" i="13" s="1"/>
  <c r="W97" i="13" s="1"/>
  <c r="X97" i="13" s="1"/>
  <c r="Y97" i="13" s="1"/>
  <c r="Z97" i="13" s="1"/>
  <c r="AA97" i="13" s="1"/>
  <c r="AB97" i="13" s="1"/>
  <c r="AC97" i="13" s="1"/>
  <c r="AD97" i="13" s="1"/>
  <c r="AE97" i="13" s="1"/>
  <c r="AF97" i="13" s="1"/>
  <c r="AG97" i="13" s="1"/>
  <c r="AH97" i="13" s="1"/>
  <c r="AI97" i="13" s="1"/>
  <c r="AJ97" i="13" s="1"/>
  <c r="AK97" i="13" s="1"/>
  <c r="AL97" i="13" s="1"/>
  <c r="AM97" i="13" s="1"/>
  <c r="AN97" i="13" s="1"/>
  <c r="AO97" i="13" s="1"/>
  <c r="AP97" i="13" s="1"/>
  <c r="AQ97" i="13" s="1"/>
  <c r="AR97" i="13" s="1"/>
  <c r="AS97" i="13" s="1"/>
  <c r="AT97" i="13" s="1"/>
  <c r="AU97" i="13" s="1"/>
  <c r="AV97" i="13" s="1"/>
  <c r="AW97" i="13" s="1"/>
  <c r="AX97" i="13" s="1"/>
  <c r="AY97" i="13" s="1"/>
  <c r="AZ97" i="13" s="1"/>
  <c r="BA97" i="13" s="1"/>
  <c r="BB97" i="13" s="1"/>
  <c r="BC97" i="13" s="1"/>
  <c r="BD97" i="13" s="1"/>
  <c r="BE97" i="13" s="1"/>
  <c r="BF97" i="13" s="1"/>
  <c r="BG97" i="13" s="1"/>
  <c r="BH97" i="13" s="1"/>
  <c r="BI97" i="13" s="1"/>
  <c r="BJ97" i="13" s="1"/>
  <c r="BK97" i="13" s="1"/>
  <c r="BL97" i="13" s="1"/>
  <c r="BM97" i="13" s="1"/>
  <c r="BN97" i="13" s="1"/>
  <c r="BO97" i="13" s="1"/>
  <c r="BP97" i="13" s="1"/>
  <c r="BQ97" i="13" s="1"/>
  <c r="BR97" i="13" s="1"/>
  <c r="BS97" i="13" s="1"/>
  <c r="BT97" i="13" s="1"/>
  <c r="BU97" i="13" s="1"/>
  <c r="BV97" i="13" s="1"/>
  <c r="BW97" i="13" s="1"/>
  <c r="BX97" i="13" s="1"/>
  <c r="BY97" i="13" s="1"/>
  <c r="BZ97" i="13" s="1"/>
  <c r="CA97" i="13" s="1"/>
  <c r="CB97" i="13" s="1"/>
  <c r="F99" i="13"/>
  <c r="G99" i="13" s="1"/>
  <c r="H99" i="13" s="1"/>
  <c r="I99" i="13" s="1"/>
  <c r="J99" i="13" s="1"/>
  <c r="K99" i="13" s="1"/>
  <c r="L99" i="13" s="1"/>
  <c r="M99" i="13" s="1"/>
  <c r="N99" i="13" s="1"/>
  <c r="O99" i="13" s="1"/>
  <c r="P99" i="13" s="1"/>
  <c r="Q99" i="13" s="1"/>
  <c r="R99" i="13" s="1"/>
  <c r="S99" i="13" s="1"/>
  <c r="T99" i="13" s="1"/>
  <c r="U99" i="13" s="1"/>
  <c r="V99" i="13" s="1"/>
  <c r="W99" i="13" s="1"/>
  <c r="X99" i="13" s="1"/>
  <c r="Y99" i="13" s="1"/>
  <c r="Z99" i="13" s="1"/>
  <c r="AA99" i="13" s="1"/>
  <c r="AB99" i="13" s="1"/>
  <c r="AC99" i="13" s="1"/>
  <c r="AD99" i="13" s="1"/>
  <c r="AE99" i="13" s="1"/>
  <c r="AF99" i="13" s="1"/>
  <c r="AG99" i="13" s="1"/>
  <c r="AH99" i="13" s="1"/>
  <c r="AI99" i="13" s="1"/>
  <c r="AJ99" i="13" s="1"/>
  <c r="AK99" i="13" s="1"/>
  <c r="AL99" i="13" s="1"/>
  <c r="AM99" i="13" s="1"/>
  <c r="AN99" i="13" s="1"/>
  <c r="AO99" i="13" s="1"/>
  <c r="AP99" i="13" s="1"/>
  <c r="AQ99" i="13" s="1"/>
  <c r="AR99" i="13" s="1"/>
  <c r="AS99" i="13" s="1"/>
  <c r="AT99" i="13" s="1"/>
  <c r="AU99" i="13" s="1"/>
  <c r="AV99" i="13" s="1"/>
  <c r="AW99" i="13" s="1"/>
  <c r="AX99" i="13" s="1"/>
  <c r="AY99" i="13" s="1"/>
  <c r="AZ99" i="13" s="1"/>
  <c r="BA99" i="13" s="1"/>
  <c r="BB99" i="13" s="1"/>
  <c r="BC99" i="13" s="1"/>
  <c r="BD99" i="13" s="1"/>
  <c r="BE99" i="13" s="1"/>
  <c r="BF99" i="13" s="1"/>
  <c r="BG99" i="13" s="1"/>
  <c r="BH99" i="13" s="1"/>
  <c r="BI99" i="13" s="1"/>
  <c r="BJ99" i="13" s="1"/>
  <c r="BK99" i="13" s="1"/>
  <c r="BL99" i="13" s="1"/>
  <c r="BM99" i="13" s="1"/>
  <c r="BN99" i="13" s="1"/>
  <c r="BO99" i="13" s="1"/>
  <c r="BP99" i="13" s="1"/>
  <c r="BQ99" i="13" s="1"/>
  <c r="BR99" i="13" s="1"/>
  <c r="BS99" i="13" s="1"/>
  <c r="BT99" i="13" s="1"/>
  <c r="BU99" i="13" s="1"/>
  <c r="BV99" i="13" s="1"/>
  <c r="BW99" i="13" s="1"/>
  <c r="BX99" i="13" s="1"/>
  <c r="BY99" i="13" s="1"/>
  <c r="BZ99" i="13" s="1"/>
  <c r="CA99" i="13" s="1"/>
  <c r="CB99" i="13" s="1"/>
  <c r="E100" i="13"/>
  <c r="E106" i="13"/>
  <c r="F106" i="13" s="1"/>
  <c r="D150" i="13"/>
  <c r="D175" i="13" s="1"/>
  <c r="D200" i="13" s="1"/>
  <c r="E150" i="13"/>
  <c r="E151" i="13" s="1"/>
  <c r="C152" i="13"/>
  <c r="C153" i="13"/>
  <c r="C154" i="13"/>
  <c r="C155" i="13"/>
  <c r="C156" i="13"/>
  <c r="C157" i="13"/>
  <c r="C158" i="13"/>
  <c r="C159" i="13"/>
  <c r="C160" i="13"/>
  <c r="C161" i="13"/>
  <c r="C162" i="13"/>
  <c r="C163" i="13"/>
  <c r="C164" i="13"/>
  <c r="C165" i="13"/>
  <c r="C166" i="13"/>
  <c r="C167" i="13"/>
  <c r="C168" i="13"/>
  <c r="C169" i="13"/>
  <c r="C170" i="13"/>
  <c r="C176" i="13"/>
  <c r="C177" i="13"/>
  <c r="C178" i="13"/>
  <c r="C179" i="13"/>
  <c r="C180" i="13"/>
  <c r="C181" i="13"/>
  <c r="C182" i="13"/>
  <c r="C183" i="13"/>
  <c r="C184" i="13"/>
  <c r="C185" i="13"/>
  <c r="C186" i="13"/>
  <c r="C187" i="13"/>
  <c r="C188" i="13"/>
  <c r="C189" i="13"/>
  <c r="C190" i="13"/>
  <c r="C191" i="13"/>
  <c r="C192" i="13"/>
  <c r="C193" i="13"/>
  <c r="C194" i="13"/>
  <c r="C195" i="13"/>
  <c r="C201" i="13"/>
  <c r="C202" i="13"/>
  <c r="C203" i="13"/>
  <c r="C204" i="13"/>
  <c r="C205" i="13"/>
  <c r="C206" i="13"/>
  <c r="C207" i="13"/>
  <c r="C208" i="13"/>
  <c r="C209" i="13"/>
  <c r="C210" i="13"/>
  <c r="C211" i="13"/>
  <c r="C212" i="13"/>
  <c r="C213" i="13"/>
  <c r="C214" i="13"/>
  <c r="C215" i="13"/>
  <c r="C216" i="13"/>
  <c r="C217" i="13"/>
  <c r="C218" i="13"/>
  <c r="C219" i="13"/>
  <c r="C220" i="13"/>
  <c r="E49" i="13" l="1"/>
  <c r="F48" i="13"/>
  <c r="G48" i="13" s="1"/>
  <c r="F182" i="23"/>
  <c r="J96" i="23"/>
  <c r="D180" i="23"/>
  <c r="E181" i="23"/>
  <c r="L96" i="23"/>
  <c r="I21" i="26"/>
  <c r="H179" i="23"/>
  <c r="H182" i="23" s="1"/>
  <c r="K96" i="23"/>
  <c r="H21" i="26"/>
  <c r="G179" i="23"/>
  <c r="G182" i="23" s="1"/>
  <c r="F21" i="26"/>
  <c r="G21" i="26" s="1"/>
  <c r="E179" i="23"/>
  <c r="I96" i="23"/>
  <c r="H150" i="13"/>
  <c r="H156" i="13" s="1"/>
  <c r="I96" i="13"/>
  <c r="J96" i="13" s="1"/>
  <c r="J150" i="13" s="1"/>
  <c r="O25" i="13"/>
  <c r="E155" i="13"/>
  <c r="G150" i="13"/>
  <c r="G161" i="13" s="1"/>
  <c r="K47" i="13"/>
  <c r="L47" i="13" s="1"/>
  <c r="M47" i="13" s="1"/>
  <c r="N47" i="13" s="1"/>
  <c r="O47" i="13" s="1"/>
  <c r="P47" i="13" s="1"/>
  <c r="Q47" i="13" s="1"/>
  <c r="R47" i="13" s="1"/>
  <c r="S47" i="13" s="1"/>
  <c r="T47" i="13" s="1"/>
  <c r="U47" i="13" s="1"/>
  <c r="V47" i="13" s="1"/>
  <c r="W47" i="13" s="1"/>
  <c r="X47" i="13" s="1"/>
  <c r="Y47" i="13" s="1"/>
  <c r="Z47" i="13" s="1"/>
  <c r="AA47" i="13" s="1"/>
  <c r="AB47" i="13" s="1"/>
  <c r="AC47" i="13" s="1"/>
  <c r="AD47" i="13" s="1"/>
  <c r="AE47" i="13" s="1"/>
  <c r="AF47" i="13" s="1"/>
  <c r="AG47" i="13" s="1"/>
  <c r="AH47" i="13" s="1"/>
  <c r="AI47" i="13" s="1"/>
  <c r="AJ47" i="13" s="1"/>
  <c r="AK47" i="13" s="1"/>
  <c r="AL47" i="13" s="1"/>
  <c r="AM47" i="13" s="1"/>
  <c r="AN47" i="13" s="1"/>
  <c r="AO47" i="13" s="1"/>
  <c r="AP47" i="13" s="1"/>
  <c r="AQ47" i="13" s="1"/>
  <c r="AR47" i="13" s="1"/>
  <c r="AS47" i="13" s="1"/>
  <c r="AT47" i="13" s="1"/>
  <c r="AU47" i="13" s="1"/>
  <c r="AV47" i="13" s="1"/>
  <c r="AW47" i="13" s="1"/>
  <c r="AX47" i="13" s="1"/>
  <c r="AY47" i="13" s="1"/>
  <c r="AZ47" i="13" s="1"/>
  <c r="BA47" i="13" s="1"/>
  <c r="BB47" i="13" s="1"/>
  <c r="BC47" i="13" s="1"/>
  <c r="BD47" i="13" s="1"/>
  <c r="BE47" i="13" s="1"/>
  <c r="BF47" i="13" s="1"/>
  <c r="BG47" i="13" s="1"/>
  <c r="BH47" i="13" s="1"/>
  <c r="BI47" i="13" s="1"/>
  <c r="BJ47" i="13" s="1"/>
  <c r="BK47" i="13" s="1"/>
  <c r="BL47" i="13" s="1"/>
  <c r="BM47" i="13" s="1"/>
  <c r="BN47" i="13" s="1"/>
  <c r="BO47" i="13" s="1"/>
  <c r="BP47" i="13" s="1"/>
  <c r="BQ47" i="13" s="1"/>
  <c r="BR47" i="13" s="1"/>
  <c r="BS47" i="13" s="1"/>
  <c r="BT47" i="13" s="1"/>
  <c r="BU47" i="13" s="1"/>
  <c r="BV47" i="13" s="1"/>
  <c r="BW47" i="13" s="1"/>
  <c r="BX47" i="13" s="1"/>
  <c r="BY47" i="13" s="1"/>
  <c r="BZ47" i="13" s="1"/>
  <c r="CA47" i="13" s="1"/>
  <c r="CB47" i="13" s="1"/>
  <c r="E169" i="13"/>
  <c r="F150" i="13"/>
  <c r="F175" i="13" s="1"/>
  <c r="G153" i="13"/>
  <c r="E164" i="13"/>
  <c r="G106" i="13"/>
  <c r="H106" i="13" s="1"/>
  <c r="I106" i="13" s="1"/>
  <c r="J106" i="13" s="1"/>
  <c r="K106" i="13" s="1"/>
  <c r="L106" i="13" s="1"/>
  <c r="M106" i="13" s="1"/>
  <c r="N106" i="13" s="1"/>
  <c r="O106" i="13" s="1"/>
  <c r="P106" i="13" s="1"/>
  <c r="Q106" i="13" s="1"/>
  <c r="R106" i="13" s="1"/>
  <c r="S106" i="13" s="1"/>
  <c r="T106" i="13" s="1"/>
  <c r="U106" i="13" s="1"/>
  <c r="V106" i="13" s="1"/>
  <c r="W106" i="13" s="1"/>
  <c r="X106" i="13" s="1"/>
  <c r="Y106" i="13" s="1"/>
  <c r="Z106" i="13" s="1"/>
  <c r="AA106" i="13" s="1"/>
  <c r="AB106" i="13" s="1"/>
  <c r="AC106" i="13" s="1"/>
  <c r="AD106" i="13" s="1"/>
  <c r="AE106" i="13" s="1"/>
  <c r="AF106" i="13" s="1"/>
  <c r="AG106" i="13" s="1"/>
  <c r="AH106" i="13" s="1"/>
  <c r="AI106" i="13" s="1"/>
  <c r="AJ106" i="13" s="1"/>
  <c r="AK106" i="13" s="1"/>
  <c r="AL106" i="13" s="1"/>
  <c r="AM106" i="13" s="1"/>
  <c r="AN106" i="13" s="1"/>
  <c r="AO106" i="13" s="1"/>
  <c r="AP106" i="13" s="1"/>
  <c r="AQ106" i="13" s="1"/>
  <c r="AR106" i="13" s="1"/>
  <c r="AS106" i="13" s="1"/>
  <c r="AT106" i="13" s="1"/>
  <c r="AU106" i="13" s="1"/>
  <c r="AV106" i="13" s="1"/>
  <c r="AW106" i="13" s="1"/>
  <c r="AX106" i="13" s="1"/>
  <c r="AY106" i="13" s="1"/>
  <c r="AZ106" i="13" s="1"/>
  <c r="BA106" i="13" s="1"/>
  <c r="BB106" i="13" s="1"/>
  <c r="BC106" i="13" s="1"/>
  <c r="BD106" i="13" s="1"/>
  <c r="BE106" i="13" s="1"/>
  <c r="BF106" i="13" s="1"/>
  <c r="BG106" i="13" s="1"/>
  <c r="BH106" i="13" s="1"/>
  <c r="BI106" i="13" s="1"/>
  <c r="BJ106" i="13" s="1"/>
  <c r="BK106" i="13" s="1"/>
  <c r="BL106" i="13" s="1"/>
  <c r="BM106" i="13" s="1"/>
  <c r="BN106" i="13" s="1"/>
  <c r="BO106" i="13" s="1"/>
  <c r="BP106" i="13" s="1"/>
  <c r="BQ106" i="13" s="1"/>
  <c r="BR106" i="13" s="1"/>
  <c r="BS106" i="13" s="1"/>
  <c r="BT106" i="13" s="1"/>
  <c r="BU106" i="13" s="1"/>
  <c r="BV106" i="13" s="1"/>
  <c r="BW106" i="13" s="1"/>
  <c r="BX106" i="13" s="1"/>
  <c r="BY106" i="13" s="1"/>
  <c r="BZ106" i="13" s="1"/>
  <c r="CA106" i="13" s="1"/>
  <c r="CB106" i="13" s="1"/>
  <c r="E170" i="13"/>
  <c r="G168" i="13"/>
  <c r="E167" i="13"/>
  <c r="F100" i="13"/>
  <c r="G100" i="13" s="1"/>
  <c r="H100" i="13" s="1"/>
  <c r="I100" i="13" s="1"/>
  <c r="J100" i="13" s="1"/>
  <c r="K100" i="13" s="1"/>
  <c r="L100" i="13" s="1"/>
  <c r="M100" i="13" s="1"/>
  <c r="N100" i="13" s="1"/>
  <c r="O100" i="13" s="1"/>
  <c r="P100" i="13" s="1"/>
  <c r="Q100" i="13" s="1"/>
  <c r="R100" i="13" s="1"/>
  <c r="S100" i="13" s="1"/>
  <c r="T100" i="13" s="1"/>
  <c r="U100" i="13" s="1"/>
  <c r="V100" i="13" s="1"/>
  <c r="W100" i="13" s="1"/>
  <c r="X100" i="13" s="1"/>
  <c r="Y100" i="13" s="1"/>
  <c r="Z100" i="13" s="1"/>
  <c r="AA100" i="13" s="1"/>
  <c r="AB100" i="13" s="1"/>
  <c r="AC100" i="13" s="1"/>
  <c r="AD100" i="13" s="1"/>
  <c r="AE100" i="13" s="1"/>
  <c r="AF100" i="13" s="1"/>
  <c r="AG100" i="13" s="1"/>
  <c r="AH100" i="13" s="1"/>
  <c r="AI100" i="13" s="1"/>
  <c r="AJ100" i="13" s="1"/>
  <c r="AK100" i="13" s="1"/>
  <c r="AL100" i="13" s="1"/>
  <c r="AM100" i="13" s="1"/>
  <c r="AN100" i="13" s="1"/>
  <c r="AO100" i="13" s="1"/>
  <c r="AP100" i="13" s="1"/>
  <c r="AQ100" i="13" s="1"/>
  <c r="AR100" i="13" s="1"/>
  <c r="AS100" i="13" s="1"/>
  <c r="AT100" i="13" s="1"/>
  <c r="AU100" i="13" s="1"/>
  <c r="AV100" i="13" s="1"/>
  <c r="AW100" i="13" s="1"/>
  <c r="AX100" i="13" s="1"/>
  <c r="AY100" i="13" s="1"/>
  <c r="AZ100" i="13" s="1"/>
  <c r="BA100" i="13" s="1"/>
  <c r="BB100" i="13" s="1"/>
  <c r="BC100" i="13" s="1"/>
  <c r="BD100" i="13" s="1"/>
  <c r="BE100" i="13" s="1"/>
  <c r="BF100" i="13" s="1"/>
  <c r="BG100" i="13" s="1"/>
  <c r="BH100" i="13" s="1"/>
  <c r="BI100" i="13" s="1"/>
  <c r="BJ100" i="13" s="1"/>
  <c r="BK100" i="13" s="1"/>
  <c r="BL100" i="13" s="1"/>
  <c r="BM100" i="13" s="1"/>
  <c r="BN100" i="13" s="1"/>
  <c r="BO100" i="13" s="1"/>
  <c r="BP100" i="13" s="1"/>
  <c r="BQ100" i="13" s="1"/>
  <c r="BR100" i="13" s="1"/>
  <c r="BS100" i="13" s="1"/>
  <c r="BT100" i="13" s="1"/>
  <c r="BU100" i="13" s="1"/>
  <c r="BV100" i="13" s="1"/>
  <c r="BW100" i="13" s="1"/>
  <c r="BX100" i="13" s="1"/>
  <c r="BY100" i="13" s="1"/>
  <c r="BZ100" i="13" s="1"/>
  <c r="CA100" i="13" s="1"/>
  <c r="CB100" i="13" s="1"/>
  <c r="F161" i="13"/>
  <c r="F160" i="13"/>
  <c r="K96" i="13"/>
  <c r="L26" i="13"/>
  <c r="E46" i="13"/>
  <c r="O27" i="13"/>
  <c r="E153" i="13"/>
  <c r="E157" i="13"/>
  <c r="E159" i="13"/>
  <c r="E161" i="13"/>
  <c r="E163" i="13"/>
  <c r="E168" i="13"/>
  <c r="E175" i="13"/>
  <c r="E186" i="13" s="1"/>
  <c r="G164" i="13"/>
  <c r="E165" i="13"/>
  <c r="E162" i="13"/>
  <c r="E178" i="13"/>
  <c r="E166" i="13"/>
  <c r="E160" i="13"/>
  <c r="E158" i="13"/>
  <c r="E154" i="13"/>
  <c r="F159" i="13"/>
  <c r="E152" i="13"/>
  <c r="E156" i="13"/>
  <c r="G160" i="13" l="1"/>
  <c r="G165" i="13"/>
  <c r="F162" i="13"/>
  <c r="F165" i="13"/>
  <c r="G154" i="13"/>
  <c r="G162" i="13"/>
  <c r="F152" i="13"/>
  <c r="F158" i="13"/>
  <c r="H175" i="13"/>
  <c r="H187" i="13" s="1"/>
  <c r="H168" i="13"/>
  <c r="G167" i="13"/>
  <c r="F177" i="13"/>
  <c r="F179" i="13"/>
  <c r="F186" i="13"/>
  <c r="F185" i="13"/>
  <c r="G155" i="13"/>
  <c r="G158" i="13"/>
  <c r="H170" i="13"/>
  <c r="F155" i="13"/>
  <c r="F156" i="13"/>
  <c r="F166" i="13"/>
  <c r="E194" i="13"/>
  <c r="G169" i="13"/>
  <c r="G159" i="13"/>
  <c r="H159" i="13"/>
  <c r="G157" i="13"/>
  <c r="F157" i="13"/>
  <c r="G163" i="13"/>
  <c r="F153" i="13"/>
  <c r="G152" i="13"/>
  <c r="F170" i="13"/>
  <c r="F169" i="13"/>
  <c r="H162" i="13"/>
  <c r="H153" i="13"/>
  <c r="G156" i="13"/>
  <c r="I150" i="13"/>
  <c r="I153" i="13" s="1"/>
  <c r="F182" i="13"/>
  <c r="H164" i="13"/>
  <c r="H155" i="13"/>
  <c r="H151" i="13"/>
  <c r="H154" i="13"/>
  <c r="E182" i="23"/>
  <c r="D182" i="23" s="1"/>
  <c r="D181" i="23"/>
  <c r="F181" i="13"/>
  <c r="H167" i="13"/>
  <c r="F178" i="13"/>
  <c r="H169" i="13"/>
  <c r="H160" i="13"/>
  <c r="H163" i="13"/>
  <c r="H161" i="13"/>
  <c r="F194" i="13"/>
  <c r="F189" i="13"/>
  <c r="H165" i="13"/>
  <c r="H166" i="13"/>
  <c r="H158" i="13"/>
  <c r="H152" i="13"/>
  <c r="H157" i="13"/>
  <c r="G170" i="13"/>
  <c r="J165" i="13"/>
  <c r="J170" i="13"/>
  <c r="J159" i="13"/>
  <c r="J154" i="13"/>
  <c r="J169" i="13"/>
  <c r="J162" i="13"/>
  <c r="J153" i="13"/>
  <c r="J166" i="13"/>
  <c r="J160" i="13"/>
  <c r="J151" i="13"/>
  <c r="J158" i="13"/>
  <c r="J155" i="13"/>
  <c r="F190" i="13"/>
  <c r="F193" i="13"/>
  <c r="F151" i="13"/>
  <c r="F163" i="13"/>
  <c r="F167" i="13"/>
  <c r="F168" i="13"/>
  <c r="F154" i="13"/>
  <c r="F164" i="13"/>
  <c r="G151" i="13"/>
  <c r="G175" i="13"/>
  <c r="G166" i="13"/>
  <c r="O29" i="13"/>
  <c r="E22" i="13" s="1"/>
  <c r="E188" i="13"/>
  <c r="E176" i="13"/>
  <c r="E189" i="13"/>
  <c r="E195" i="13"/>
  <c r="E192" i="13"/>
  <c r="E183" i="13"/>
  <c r="E187" i="13"/>
  <c r="E200" i="13"/>
  <c r="E191" i="13"/>
  <c r="E180" i="13"/>
  <c r="E193" i="13"/>
  <c r="E177" i="13"/>
  <c r="E179" i="13"/>
  <c r="E184" i="13"/>
  <c r="E190" i="13"/>
  <c r="E185" i="13"/>
  <c r="E181" i="13"/>
  <c r="E182" i="13"/>
  <c r="F49" i="13"/>
  <c r="F46" i="13"/>
  <c r="L96" i="13"/>
  <c r="K150" i="13"/>
  <c r="J157" i="13"/>
  <c r="J161" i="13"/>
  <c r="J163" i="13"/>
  <c r="J164" i="13"/>
  <c r="J175" i="13"/>
  <c r="J152" i="13"/>
  <c r="J156" i="13"/>
  <c r="J167" i="13"/>
  <c r="J168" i="13"/>
  <c r="F180" i="13"/>
  <c r="F184" i="13"/>
  <c r="F187" i="13"/>
  <c r="F192" i="13"/>
  <c r="F195" i="13"/>
  <c r="F176" i="13"/>
  <c r="F188" i="13"/>
  <c r="F183" i="13"/>
  <c r="F191" i="13"/>
  <c r="F200" i="13"/>
  <c r="E171" i="13"/>
  <c r="E173" i="13" s="1"/>
  <c r="H179" i="13"/>
  <c r="H183" i="13"/>
  <c r="H188" i="13"/>
  <c r="H192" i="13"/>
  <c r="H200" i="13"/>
  <c r="H177" i="13"/>
  <c r="G46" i="13"/>
  <c r="G49" i="13"/>
  <c r="H48" i="13"/>
  <c r="H49" i="13" s="1"/>
  <c r="H181" i="13" l="1"/>
  <c r="H176" i="13"/>
  <c r="H193" i="13"/>
  <c r="H178" i="13"/>
  <c r="H195" i="13"/>
  <c r="H194" i="13"/>
  <c r="H190" i="13"/>
  <c r="H186" i="13"/>
  <c r="H184" i="13"/>
  <c r="H191" i="13"/>
  <c r="H189" i="13"/>
  <c r="H185" i="13"/>
  <c r="H182" i="13"/>
  <c r="H180" i="13"/>
  <c r="I169" i="13"/>
  <c r="I155" i="13"/>
  <c r="I166" i="13"/>
  <c r="I159" i="13"/>
  <c r="I163" i="13"/>
  <c r="I168" i="13"/>
  <c r="I162" i="13"/>
  <c r="I152" i="13"/>
  <c r="I161" i="13"/>
  <c r="I167" i="13"/>
  <c r="I158" i="13"/>
  <c r="I154" i="13"/>
  <c r="I175" i="13"/>
  <c r="I183" i="13" s="1"/>
  <c r="I165" i="13"/>
  <c r="I160" i="13"/>
  <c r="I156" i="13"/>
  <c r="I170" i="13"/>
  <c r="I157" i="13"/>
  <c r="I164" i="13"/>
  <c r="I151" i="13"/>
  <c r="H171" i="13"/>
  <c r="H173" i="13" s="1"/>
  <c r="G171" i="13"/>
  <c r="G173" i="13" s="1"/>
  <c r="F171" i="13"/>
  <c r="F173" i="13" s="1"/>
  <c r="E24" i="13"/>
  <c r="G186" i="13"/>
  <c r="G182" i="13"/>
  <c r="G180" i="13"/>
  <c r="G200" i="13"/>
  <c r="G189" i="13"/>
  <c r="G191" i="13"/>
  <c r="G184" i="13"/>
  <c r="G177" i="13"/>
  <c r="G193" i="13"/>
  <c r="G178" i="13"/>
  <c r="G195" i="13"/>
  <c r="G188" i="13"/>
  <c r="G181" i="13"/>
  <c r="G187" i="13"/>
  <c r="G176" i="13"/>
  <c r="G192" i="13"/>
  <c r="G185" i="13"/>
  <c r="G194" i="13"/>
  <c r="G183" i="13"/>
  <c r="G179" i="13"/>
  <c r="G190" i="13"/>
  <c r="E196" i="13"/>
  <c r="E198" i="13" s="1"/>
  <c r="F196" i="13"/>
  <c r="F198" i="13" s="1"/>
  <c r="J171" i="13"/>
  <c r="J173" i="13" s="1"/>
  <c r="K151" i="13"/>
  <c r="K153" i="13"/>
  <c r="K155" i="13"/>
  <c r="K163" i="13"/>
  <c r="K167" i="13"/>
  <c r="K175" i="13"/>
  <c r="K157" i="13"/>
  <c r="K161" i="13"/>
  <c r="K162" i="13"/>
  <c r="K160" i="13"/>
  <c r="K164" i="13"/>
  <c r="K159" i="13"/>
  <c r="K165" i="13"/>
  <c r="K168" i="13"/>
  <c r="K154" i="13"/>
  <c r="K152" i="13"/>
  <c r="K169" i="13"/>
  <c r="K166" i="13"/>
  <c r="K170" i="13"/>
  <c r="K156" i="13"/>
  <c r="K158" i="13"/>
  <c r="F204" i="13"/>
  <c r="F205" i="13"/>
  <c r="F210" i="13"/>
  <c r="F213" i="13"/>
  <c r="F206" i="13"/>
  <c r="F209" i="13"/>
  <c r="F217" i="13"/>
  <c r="F203" i="13"/>
  <c r="F202" i="13"/>
  <c r="F214" i="13"/>
  <c r="F218" i="13"/>
  <c r="F211" i="13"/>
  <c r="F220" i="13"/>
  <c r="F207" i="13"/>
  <c r="F215" i="13"/>
  <c r="F216" i="13"/>
  <c r="F208" i="13"/>
  <c r="F201" i="13"/>
  <c r="F212" i="13"/>
  <c r="F219" i="13"/>
  <c r="M96" i="13"/>
  <c r="L150" i="13"/>
  <c r="E201" i="13"/>
  <c r="E203" i="13"/>
  <c r="E207" i="13"/>
  <c r="E215" i="13"/>
  <c r="E206" i="13"/>
  <c r="E214" i="13"/>
  <c r="E218" i="13"/>
  <c r="E219" i="13"/>
  <c r="E210" i="13"/>
  <c r="E211" i="13"/>
  <c r="E216" i="13"/>
  <c r="E205" i="13"/>
  <c r="E208" i="13"/>
  <c r="E204" i="13"/>
  <c r="E212" i="13"/>
  <c r="E209" i="13"/>
  <c r="E220" i="13"/>
  <c r="E213" i="13"/>
  <c r="E202" i="13"/>
  <c r="E217" i="13"/>
  <c r="J179" i="13"/>
  <c r="J183" i="13"/>
  <c r="J180" i="13"/>
  <c r="J188" i="13"/>
  <c r="J191" i="13"/>
  <c r="J195" i="13"/>
  <c r="J200" i="13"/>
  <c r="J184" i="13"/>
  <c r="J176" i="13"/>
  <c r="J187" i="13"/>
  <c r="J192" i="13"/>
  <c r="J185" i="13"/>
  <c r="J181" i="13"/>
  <c r="J193" i="13"/>
  <c r="J190" i="13"/>
  <c r="J186" i="13"/>
  <c r="J182" i="13"/>
  <c r="J194" i="13"/>
  <c r="J178" i="13"/>
  <c r="J189" i="13"/>
  <c r="J177" i="13"/>
  <c r="F22" i="13"/>
  <c r="I48" i="13"/>
  <c r="H46" i="13"/>
  <c r="H203" i="13"/>
  <c r="H205" i="13"/>
  <c r="H209" i="13"/>
  <c r="H213" i="13"/>
  <c r="H217" i="13"/>
  <c r="H201" i="13"/>
  <c r="H206" i="13"/>
  <c r="H210" i="13"/>
  <c r="H214" i="13"/>
  <c r="H218" i="13"/>
  <c r="H204" i="13"/>
  <c r="H212" i="13"/>
  <c r="H215" i="13"/>
  <c r="H220" i="13"/>
  <c r="H202" i="13"/>
  <c r="H219" i="13"/>
  <c r="H208" i="13"/>
  <c r="H211" i="13"/>
  <c r="H207" i="13"/>
  <c r="H216" i="13"/>
  <c r="H196" i="13" l="1"/>
  <c r="H198" i="13" s="1"/>
  <c r="I184" i="13"/>
  <c r="I176" i="13"/>
  <c r="I171" i="13"/>
  <c r="I173" i="13" s="1"/>
  <c r="I193" i="13"/>
  <c r="I190" i="13"/>
  <c r="I191" i="13"/>
  <c r="I194" i="13"/>
  <c r="I200" i="13"/>
  <c r="I210" i="13" s="1"/>
  <c r="I188" i="13"/>
  <c r="I178" i="13"/>
  <c r="I187" i="13"/>
  <c r="I179" i="13"/>
  <c r="I182" i="13"/>
  <c r="I181" i="13"/>
  <c r="I195" i="13"/>
  <c r="I177" i="13"/>
  <c r="I180" i="13"/>
  <c r="I186" i="13"/>
  <c r="I185" i="13"/>
  <c r="I189" i="13"/>
  <c r="I192" i="13"/>
  <c r="G201" i="13"/>
  <c r="G218" i="13"/>
  <c r="G207" i="13"/>
  <c r="G205" i="13"/>
  <c r="G220" i="13"/>
  <c r="G206" i="13"/>
  <c r="G215" i="13"/>
  <c r="G211" i="13"/>
  <c r="G217" i="13"/>
  <c r="G202" i="13"/>
  <c r="G214" i="13"/>
  <c r="G213" i="13"/>
  <c r="G210" i="13"/>
  <c r="G219" i="13"/>
  <c r="G208" i="13"/>
  <c r="G212" i="13"/>
  <c r="G216" i="13"/>
  <c r="G204" i="13"/>
  <c r="G203" i="13"/>
  <c r="G209" i="13"/>
  <c r="G196" i="13"/>
  <c r="G198" i="13" s="1"/>
  <c r="N96" i="13"/>
  <c r="M150" i="13"/>
  <c r="K187" i="13"/>
  <c r="K191" i="13"/>
  <c r="K194" i="13"/>
  <c r="K195" i="13"/>
  <c r="K183" i="13"/>
  <c r="K190" i="13"/>
  <c r="K188" i="13"/>
  <c r="K181" i="13"/>
  <c r="K179" i="13"/>
  <c r="K182" i="13"/>
  <c r="K192" i="13"/>
  <c r="K189" i="13"/>
  <c r="K178" i="13"/>
  <c r="K176" i="13"/>
  <c r="K200" i="13"/>
  <c r="K193" i="13"/>
  <c r="K186" i="13"/>
  <c r="K180" i="13"/>
  <c r="K177" i="13"/>
  <c r="K184" i="13"/>
  <c r="K185" i="13"/>
  <c r="J196" i="13"/>
  <c r="J198" i="13" s="1"/>
  <c r="K171" i="13"/>
  <c r="K173" i="13" s="1"/>
  <c r="I203" i="13"/>
  <c r="I219" i="13"/>
  <c r="E221" i="13"/>
  <c r="E223" i="13" s="1"/>
  <c r="D54" i="17" s="1"/>
  <c r="F24" i="13"/>
  <c r="J206" i="13"/>
  <c r="J214" i="13"/>
  <c r="J203" i="13"/>
  <c r="J205" i="13"/>
  <c r="J217" i="13"/>
  <c r="J211" i="13"/>
  <c r="J204" i="13"/>
  <c r="J201" i="13"/>
  <c r="J215" i="13"/>
  <c r="J208" i="13"/>
  <c r="J202" i="13"/>
  <c r="J212" i="13"/>
  <c r="J209" i="13"/>
  <c r="J207" i="13"/>
  <c r="J216" i="13"/>
  <c r="J210" i="13"/>
  <c r="J219" i="13"/>
  <c r="J213" i="13"/>
  <c r="J220" i="13"/>
  <c r="J218" i="13"/>
  <c r="L162" i="13"/>
  <c r="L169" i="13"/>
  <c r="L165" i="13"/>
  <c r="L161" i="13"/>
  <c r="L160" i="13"/>
  <c r="L155" i="13"/>
  <c r="L170" i="13"/>
  <c r="L154" i="13"/>
  <c r="L167" i="13"/>
  <c r="L159" i="13"/>
  <c r="L151" i="13"/>
  <c r="L152" i="13"/>
  <c r="L175" i="13"/>
  <c r="L158" i="13"/>
  <c r="L153" i="13"/>
  <c r="L156" i="13"/>
  <c r="L164" i="13"/>
  <c r="L166" i="13"/>
  <c r="L157" i="13"/>
  <c r="L163" i="13"/>
  <c r="L168" i="13"/>
  <c r="F221" i="13"/>
  <c r="F223" i="13" s="1"/>
  <c r="E54" i="17" s="1"/>
  <c r="H221" i="13"/>
  <c r="H223" i="13" s="1"/>
  <c r="I46" i="13"/>
  <c r="I49" i="13"/>
  <c r="J48" i="13"/>
  <c r="G54" i="17" l="1"/>
  <c r="I220" i="13"/>
  <c r="I217" i="13"/>
  <c r="I212" i="13"/>
  <c r="I202" i="13"/>
  <c r="I216" i="13"/>
  <c r="I218" i="13"/>
  <c r="I204" i="13"/>
  <c r="I207" i="13"/>
  <c r="I201" i="13"/>
  <c r="I211" i="13"/>
  <c r="I209" i="13"/>
  <c r="I215" i="13"/>
  <c r="I214" i="13"/>
  <c r="I205" i="13"/>
  <c r="I206" i="13"/>
  <c r="I208" i="13"/>
  <c r="I213" i="13"/>
  <c r="I196" i="13"/>
  <c r="I198" i="13" s="1"/>
  <c r="G221" i="13"/>
  <c r="G223" i="13" s="1"/>
  <c r="F54" i="17" s="1"/>
  <c r="L183" i="13"/>
  <c r="L176" i="13"/>
  <c r="L192" i="13"/>
  <c r="L200" i="13"/>
  <c r="L185" i="13"/>
  <c r="L187" i="13"/>
  <c r="L180" i="13"/>
  <c r="L177" i="13"/>
  <c r="L193" i="13"/>
  <c r="L178" i="13"/>
  <c r="L191" i="13"/>
  <c r="L184" i="13"/>
  <c r="L189" i="13"/>
  <c r="L182" i="13"/>
  <c r="L181" i="13"/>
  <c r="L179" i="13"/>
  <c r="L195" i="13"/>
  <c r="L188" i="13"/>
  <c r="L194" i="13"/>
  <c r="L186" i="13"/>
  <c r="L190" i="13"/>
  <c r="M153" i="13"/>
  <c r="M167" i="13"/>
  <c r="M168" i="13"/>
  <c r="M161" i="13"/>
  <c r="M175" i="13"/>
  <c r="M154" i="13"/>
  <c r="M157" i="13"/>
  <c r="M164" i="13"/>
  <c r="M151" i="13"/>
  <c r="M163" i="13"/>
  <c r="M169" i="13"/>
  <c r="M155" i="13"/>
  <c r="M156" i="13"/>
  <c r="M166" i="13"/>
  <c r="M160" i="13"/>
  <c r="M165" i="13"/>
  <c r="M162" i="13"/>
  <c r="M152" i="13"/>
  <c r="M158" i="13"/>
  <c r="M159" i="13"/>
  <c r="M170" i="13"/>
  <c r="J221" i="13"/>
  <c r="J223" i="13" s="1"/>
  <c r="I54" i="17" s="1"/>
  <c r="K206" i="13"/>
  <c r="K202" i="13"/>
  <c r="K219" i="13"/>
  <c r="K208" i="13"/>
  <c r="K209" i="13"/>
  <c r="K210" i="13"/>
  <c r="K207" i="13"/>
  <c r="K205" i="13"/>
  <c r="K201" i="13"/>
  <c r="K220" i="13"/>
  <c r="K204" i="13"/>
  <c r="K214" i="13"/>
  <c r="K211" i="13"/>
  <c r="K216" i="13"/>
  <c r="K212" i="13"/>
  <c r="K203" i="13"/>
  <c r="K218" i="13"/>
  <c r="K215" i="13"/>
  <c r="K217" i="13"/>
  <c r="K213" i="13"/>
  <c r="O96" i="13"/>
  <c r="N150" i="13"/>
  <c r="L171" i="13"/>
  <c r="L173" i="13" s="1"/>
  <c r="K196" i="13"/>
  <c r="K198" i="13" s="1"/>
  <c r="K48" i="13"/>
  <c r="J49" i="13"/>
  <c r="I221" i="13" l="1"/>
  <c r="I223" i="13" s="1"/>
  <c r="H54" i="17" s="1"/>
  <c r="N157" i="13"/>
  <c r="N161" i="13"/>
  <c r="N168" i="13"/>
  <c r="N154" i="13"/>
  <c r="N156" i="13"/>
  <c r="N164" i="13"/>
  <c r="N167" i="13"/>
  <c r="N175" i="13"/>
  <c r="N163" i="13"/>
  <c r="N169" i="13"/>
  <c r="N170" i="13"/>
  <c r="N158" i="13"/>
  <c r="N151" i="13"/>
  <c r="N153" i="13"/>
  <c r="N160" i="13"/>
  <c r="N155" i="13"/>
  <c r="N166" i="13"/>
  <c r="N159" i="13"/>
  <c r="N152" i="13"/>
  <c r="N165" i="13"/>
  <c r="N162" i="13"/>
  <c r="M171" i="13"/>
  <c r="M173" i="13" s="1"/>
  <c r="M177" i="13"/>
  <c r="M188" i="13"/>
  <c r="M176" i="13"/>
  <c r="M193" i="13"/>
  <c r="M192" i="13"/>
  <c r="M182" i="13"/>
  <c r="M179" i="13"/>
  <c r="M195" i="13"/>
  <c r="M189" i="13"/>
  <c r="M194" i="13"/>
  <c r="M200" i="13"/>
  <c r="M180" i="13"/>
  <c r="M178" i="13"/>
  <c r="M183" i="13"/>
  <c r="M181" i="13"/>
  <c r="M186" i="13"/>
  <c r="M187" i="13"/>
  <c r="M184" i="13"/>
  <c r="M190" i="13"/>
  <c r="M191" i="13"/>
  <c r="M185" i="13"/>
  <c r="L196" i="13"/>
  <c r="L198" i="13" s="1"/>
  <c r="P96" i="13"/>
  <c r="O150" i="13"/>
  <c r="K221" i="13"/>
  <c r="K223" i="13" s="1"/>
  <c r="J54" i="17" s="1"/>
  <c r="L209" i="13"/>
  <c r="L206" i="13"/>
  <c r="L207" i="13"/>
  <c r="L215" i="13"/>
  <c r="L211" i="13"/>
  <c r="L203" i="13"/>
  <c r="L213" i="13"/>
  <c r="L210" i="13"/>
  <c r="L220" i="13"/>
  <c r="L204" i="13"/>
  <c r="L201" i="13"/>
  <c r="L217" i="13"/>
  <c r="L214" i="13"/>
  <c r="L216" i="13"/>
  <c r="L212" i="13"/>
  <c r="L205" i="13"/>
  <c r="L218" i="13"/>
  <c r="L202" i="13"/>
  <c r="L219" i="13"/>
  <c r="L208" i="13"/>
  <c r="K49" i="13"/>
  <c r="L48" i="13"/>
  <c r="L221" i="13" l="1"/>
  <c r="L223" i="13" s="1"/>
  <c r="K54" i="17" s="1"/>
  <c r="O157" i="13"/>
  <c r="O161" i="13"/>
  <c r="O163" i="13"/>
  <c r="O175" i="13"/>
  <c r="O160" i="13"/>
  <c r="O167" i="13"/>
  <c r="O155" i="13"/>
  <c r="O151" i="13"/>
  <c r="O156" i="13"/>
  <c r="O166" i="13"/>
  <c r="O153" i="13"/>
  <c r="O170" i="13"/>
  <c r="O165" i="13"/>
  <c r="O158" i="13"/>
  <c r="O164" i="13"/>
  <c r="O159" i="13"/>
  <c r="O154" i="13"/>
  <c r="O152" i="13"/>
  <c r="O169" i="13"/>
  <c r="O168" i="13"/>
  <c r="O162" i="13"/>
  <c r="Q96" i="13"/>
  <c r="P150" i="13"/>
  <c r="M216" i="13"/>
  <c r="M203" i="13"/>
  <c r="M211" i="13"/>
  <c r="M207" i="13"/>
  <c r="M218" i="13"/>
  <c r="M202" i="13"/>
  <c r="M220" i="13"/>
  <c r="M205" i="13"/>
  <c r="M214" i="13"/>
  <c r="M210" i="13"/>
  <c r="M208" i="13"/>
  <c r="M217" i="13"/>
  <c r="M209" i="13"/>
  <c r="M204" i="13"/>
  <c r="M219" i="13"/>
  <c r="M212" i="13"/>
  <c r="M201" i="13"/>
  <c r="M213" i="13"/>
  <c r="M206" i="13"/>
  <c r="M215" i="13"/>
  <c r="M196" i="13"/>
  <c r="M198" i="13" s="1"/>
  <c r="N171" i="13"/>
  <c r="N173" i="13" s="1"/>
  <c r="N187" i="13"/>
  <c r="N176" i="13"/>
  <c r="N184" i="13"/>
  <c r="N192" i="13"/>
  <c r="N183" i="13"/>
  <c r="N195" i="13"/>
  <c r="N200" i="13"/>
  <c r="N180" i="13"/>
  <c r="N188" i="13"/>
  <c r="N179" i="13"/>
  <c r="N191" i="13"/>
  <c r="N178" i="13"/>
  <c r="N182" i="13"/>
  <c r="N194" i="13"/>
  <c r="N185" i="13"/>
  <c r="N190" i="13"/>
  <c r="N181" i="13"/>
  <c r="N193" i="13"/>
  <c r="N189" i="13"/>
  <c r="N186" i="13"/>
  <c r="N177" i="13"/>
  <c r="M48" i="13"/>
  <c r="L49" i="13"/>
  <c r="N203" i="13" l="1"/>
  <c r="N217" i="13"/>
  <c r="N213" i="13"/>
  <c r="N214" i="13"/>
  <c r="N218" i="13"/>
  <c r="N206" i="13"/>
  <c r="N209" i="13"/>
  <c r="N210" i="13"/>
  <c r="N202" i="13"/>
  <c r="N205" i="13"/>
  <c r="N204" i="13"/>
  <c r="N219" i="13"/>
  <c r="N212" i="13"/>
  <c r="N201" i="13"/>
  <c r="N216" i="13"/>
  <c r="N207" i="13"/>
  <c r="N220" i="13"/>
  <c r="N211" i="13"/>
  <c r="N208" i="13"/>
  <c r="N215" i="13"/>
  <c r="M221" i="13"/>
  <c r="M223" i="13" s="1"/>
  <c r="L54" i="17" s="1"/>
  <c r="O171" i="13"/>
  <c r="O173" i="13" s="1"/>
  <c r="O176" i="13"/>
  <c r="O186" i="13"/>
  <c r="O179" i="13"/>
  <c r="O187" i="13"/>
  <c r="O194" i="13"/>
  <c r="O183" i="13"/>
  <c r="O195" i="13"/>
  <c r="O200" i="13"/>
  <c r="O182" i="13"/>
  <c r="O191" i="13"/>
  <c r="O184" i="13"/>
  <c r="O189" i="13"/>
  <c r="O177" i="13"/>
  <c r="O192" i="13"/>
  <c r="O178" i="13"/>
  <c r="O180" i="13"/>
  <c r="O190" i="13"/>
  <c r="O181" i="13"/>
  <c r="O193" i="13"/>
  <c r="O185" i="13"/>
  <c r="O188" i="13"/>
  <c r="N196" i="13"/>
  <c r="N198" i="13" s="1"/>
  <c r="P160" i="13"/>
  <c r="P161" i="13"/>
  <c r="P152" i="13"/>
  <c r="P159" i="13"/>
  <c r="P166" i="13"/>
  <c r="P170" i="13"/>
  <c r="P157" i="13"/>
  <c r="P163" i="13"/>
  <c r="P168" i="13"/>
  <c r="P165" i="13"/>
  <c r="P154" i="13"/>
  <c r="P167" i="13"/>
  <c r="P155" i="13"/>
  <c r="P151" i="13"/>
  <c r="P156" i="13"/>
  <c r="P175" i="13"/>
  <c r="P169" i="13"/>
  <c r="P153" i="13"/>
  <c r="P158" i="13"/>
  <c r="P164" i="13"/>
  <c r="P162" i="13"/>
  <c r="R96" i="13"/>
  <c r="Q150" i="13"/>
  <c r="M49" i="13"/>
  <c r="N48" i="13"/>
  <c r="S96" i="13" l="1"/>
  <c r="R150" i="13"/>
  <c r="P171" i="13"/>
  <c r="P173" i="13" s="1"/>
  <c r="O202" i="13"/>
  <c r="O209" i="13"/>
  <c r="O216" i="13"/>
  <c r="O217" i="13"/>
  <c r="O220" i="13"/>
  <c r="O205" i="13"/>
  <c r="O212" i="13"/>
  <c r="O203" i="13"/>
  <c r="O213" i="13"/>
  <c r="O210" i="13"/>
  <c r="O214" i="13"/>
  <c r="O219" i="13"/>
  <c r="O201" i="13"/>
  <c r="O206" i="13"/>
  <c r="O215" i="13"/>
  <c r="O204" i="13"/>
  <c r="O211" i="13"/>
  <c r="O208" i="13"/>
  <c r="O218" i="13"/>
  <c r="O207" i="13"/>
  <c r="N221" i="13"/>
  <c r="N223" i="13" s="1"/>
  <c r="M54" i="17" s="1"/>
  <c r="P179" i="13"/>
  <c r="P195" i="13"/>
  <c r="P188" i="13"/>
  <c r="P200" i="13"/>
  <c r="P185" i="13"/>
  <c r="P194" i="13"/>
  <c r="P183" i="13"/>
  <c r="P176" i="13"/>
  <c r="P192" i="13"/>
  <c r="P177" i="13"/>
  <c r="P190" i="13"/>
  <c r="P187" i="13"/>
  <c r="P180" i="13"/>
  <c r="P182" i="13"/>
  <c r="P178" i="13"/>
  <c r="P193" i="13"/>
  <c r="P191" i="13"/>
  <c r="P184" i="13"/>
  <c r="P186" i="13"/>
  <c r="P181" i="13"/>
  <c r="P189" i="13"/>
  <c r="Q151" i="13"/>
  <c r="Q154" i="13"/>
  <c r="Q155" i="13"/>
  <c r="Q163" i="13"/>
  <c r="Q153" i="13"/>
  <c r="Q157" i="13"/>
  <c r="Q161" i="13"/>
  <c r="Q168" i="13"/>
  <c r="Q167" i="13"/>
  <c r="Q164" i="13"/>
  <c r="Q175" i="13"/>
  <c r="Q162" i="13"/>
  <c r="Q166" i="13"/>
  <c r="Q165" i="13"/>
  <c r="Q170" i="13"/>
  <c r="Q152" i="13"/>
  <c r="Q160" i="13"/>
  <c r="Q159" i="13"/>
  <c r="Q156" i="13"/>
  <c r="Q169" i="13"/>
  <c r="Q158" i="13"/>
  <c r="O196" i="13"/>
  <c r="O198" i="13" s="1"/>
  <c r="O48" i="13"/>
  <c r="N49" i="13"/>
  <c r="Q171" i="13" l="1"/>
  <c r="Q173" i="13" s="1"/>
  <c r="R156" i="13"/>
  <c r="R164" i="13"/>
  <c r="R167" i="13"/>
  <c r="R154" i="13"/>
  <c r="R168" i="13"/>
  <c r="R157" i="13"/>
  <c r="R161" i="13"/>
  <c r="R163" i="13"/>
  <c r="R175" i="13"/>
  <c r="R158" i="13"/>
  <c r="R152" i="13"/>
  <c r="R151" i="13"/>
  <c r="R165" i="13"/>
  <c r="R162" i="13"/>
  <c r="R160" i="13"/>
  <c r="R170" i="13"/>
  <c r="R153" i="13"/>
  <c r="R169" i="13"/>
  <c r="R155" i="13"/>
  <c r="R159" i="13"/>
  <c r="R166" i="13"/>
  <c r="T96" i="13"/>
  <c r="S150" i="13"/>
  <c r="Q180" i="13"/>
  <c r="Q184" i="13"/>
  <c r="Q177" i="13"/>
  <c r="Q189" i="13"/>
  <c r="Q192" i="13"/>
  <c r="Q200" i="13"/>
  <c r="Q188" i="13"/>
  <c r="Q182" i="13"/>
  <c r="Q179" i="13"/>
  <c r="Q195" i="13"/>
  <c r="Q181" i="13"/>
  <c r="Q190" i="13"/>
  <c r="Q191" i="13"/>
  <c r="Q193" i="13"/>
  <c r="Q185" i="13"/>
  <c r="Q194" i="13"/>
  <c r="Q178" i="13"/>
  <c r="Q183" i="13"/>
  <c r="Q186" i="13"/>
  <c r="Q176" i="13"/>
  <c r="Q187" i="13"/>
  <c r="P196" i="13"/>
  <c r="P198" i="13" s="1"/>
  <c r="P213" i="13"/>
  <c r="P204" i="13"/>
  <c r="P212" i="13"/>
  <c r="P216" i="13"/>
  <c r="P220" i="13"/>
  <c r="P203" i="13"/>
  <c r="P217" i="13"/>
  <c r="P206" i="13"/>
  <c r="P215" i="13"/>
  <c r="P219" i="13"/>
  <c r="P205" i="13"/>
  <c r="P214" i="13"/>
  <c r="P210" i="13"/>
  <c r="P207" i="13"/>
  <c r="P208" i="13"/>
  <c r="P209" i="13"/>
  <c r="P202" i="13"/>
  <c r="P218" i="13"/>
  <c r="P201" i="13"/>
  <c r="P211" i="13"/>
  <c r="O221" i="13"/>
  <c r="O223" i="13" s="1"/>
  <c r="N54" i="17" s="1"/>
  <c r="O49" i="13"/>
  <c r="P48" i="13"/>
  <c r="S159" i="13" l="1"/>
  <c r="S161" i="13"/>
  <c r="S164" i="13"/>
  <c r="S166" i="13"/>
  <c r="S162" i="13"/>
  <c r="S167" i="13"/>
  <c r="S157" i="13"/>
  <c r="S160" i="13"/>
  <c r="S154" i="13"/>
  <c r="S152" i="13"/>
  <c r="S169" i="13"/>
  <c r="S158" i="13"/>
  <c r="S168" i="13"/>
  <c r="S163" i="13"/>
  <c r="S153" i="13"/>
  <c r="S156" i="13"/>
  <c r="S165" i="13"/>
  <c r="S155" i="13"/>
  <c r="S170" i="13"/>
  <c r="Q202" i="13"/>
  <c r="Q205" i="13"/>
  <c r="Q206" i="13"/>
  <c r="Q218" i="13"/>
  <c r="Q204" i="13"/>
  <c r="Q209" i="13"/>
  <c r="Q207" i="13"/>
  <c r="Q214" i="13"/>
  <c r="Q217" i="13"/>
  <c r="Q210" i="13"/>
  <c r="Q213" i="13"/>
  <c r="Q212" i="13"/>
  <c r="Q211" i="13"/>
  <c r="Q216" i="13"/>
  <c r="Q220" i="13"/>
  <c r="Q219" i="13"/>
  <c r="Q203" i="13"/>
  <c r="Q215" i="13"/>
  <c r="Q208" i="13"/>
  <c r="Q201" i="13"/>
  <c r="R176" i="13"/>
  <c r="R183" i="13"/>
  <c r="R191" i="13"/>
  <c r="R200" i="13"/>
  <c r="R179" i="13"/>
  <c r="R187" i="13"/>
  <c r="R192" i="13"/>
  <c r="R189" i="13"/>
  <c r="R186" i="13"/>
  <c r="R184" i="13"/>
  <c r="R193" i="13"/>
  <c r="R194" i="13"/>
  <c r="R188" i="13"/>
  <c r="R177" i="13"/>
  <c r="R178" i="13"/>
  <c r="R195" i="13"/>
  <c r="R181" i="13"/>
  <c r="R182" i="13"/>
  <c r="R180" i="13"/>
  <c r="R185" i="13"/>
  <c r="R190" i="13"/>
  <c r="P221" i="13"/>
  <c r="P223" i="13" s="1"/>
  <c r="O54" i="17" s="1"/>
  <c r="R171" i="13"/>
  <c r="R173" i="13" s="1"/>
  <c r="Q196" i="13"/>
  <c r="Q198" i="13" s="1"/>
  <c r="S175" i="13"/>
  <c r="U96" i="13"/>
  <c r="T150" i="13"/>
  <c r="Q48" i="13"/>
  <c r="P49" i="13"/>
  <c r="T167" i="13" l="1"/>
  <c r="T166" i="13"/>
  <c r="T159" i="13"/>
  <c r="T164" i="13"/>
  <c r="T157" i="13"/>
  <c r="T170" i="13"/>
  <c r="T163" i="13"/>
  <c r="T160" i="13"/>
  <c r="T158" i="13"/>
  <c r="T155" i="13"/>
  <c r="T168" i="13"/>
  <c r="T162" i="13"/>
  <c r="T161" i="13"/>
  <c r="T154" i="13"/>
  <c r="T169" i="13"/>
  <c r="T156" i="13"/>
  <c r="T165" i="13"/>
  <c r="T153" i="13"/>
  <c r="S177" i="13"/>
  <c r="S183" i="13"/>
  <c r="S185" i="13"/>
  <c r="S190" i="13"/>
  <c r="S180" i="13"/>
  <c r="S192" i="13"/>
  <c r="S178" i="13"/>
  <c r="S191" i="13"/>
  <c r="S182" i="13"/>
  <c r="S187" i="13"/>
  <c r="S189" i="13"/>
  <c r="S195" i="13"/>
  <c r="S179" i="13"/>
  <c r="S188" i="13"/>
  <c r="S184" i="13"/>
  <c r="S194" i="13"/>
  <c r="S193" i="13"/>
  <c r="S181" i="13"/>
  <c r="S186" i="13"/>
  <c r="Q221" i="13"/>
  <c r="Q223" i="13" s="1"/>
  <c r="P54" i="17" s="1"/>
  <c r="R206" i="13"/>
  <c r="R202" i="13"/>
  <c r="R214" i="13"/>
  <c r="R207" i="13"/>
  <c r="R203" i="13"/>
  <c r="R220" i="13"/>
  <c r="R205" i="13"/>
  <c r="R213" i="13"/>
  <c r="R211" i="13"/>
  <c r="R208" i="13"/>
  <c r="R215" i="13"/>
  <c r="R210" i="13"/>
  <c r="R219" i="13"/>
  <c r="R212" i="13"/>
  <c r="R218" i="13"/>
  <c r="R204" i="13"/>
  <c r="R201" i="13"/>
  <c r="R216" i="13"/>
  <c r="R209" i="13"/>
  <c r="R217" i="13"/>
  <c r="S200" i="13"/>
  <c r="T175" i="13"/>
  <c r="V96" i="13"/>
  <c r="U150" i="13"/>
  <c r="R196" i="13"/>
  <c r="R198" i="13" s="1"/>
  <c r="Q49" i="13"/>
  <c r="R48" i="13"/>
  <c r="T185" i="13" l="1"/>
  <c r="T190" i="13"/>
  <c r="T188" i="13"/>
  <c r="T182" i="13"/>
  <c r="T192" i="13"/>
  <c r="T184" i="13"/>
  <c r="T178" i="13"/>
  <c r="T194" i="13"/>
  <c r="T180" i="13"/>
  <c r="T186" i="13"/>
  <c r="T195" i="13"/>
  <c r="T193" i="13"/>
  <c r="T181" i="13"/>
  <c r="T183" i="13"/>
  <c r="T191" i="13"/>
  <c r="T187" i="13"/>
  <c r="T189" i="13"/>
  <c r="T179" i="13"/>
  <c r="S202" i="13"/>
  <c r="S216" i="13"/>
  <c r="S212" i="13"/>
  <c r="S219" i="13"/>
  <c r="S215" i="13"/>
  <c r="S203" i="13"/>
  <c r="S204" i="13"/>
  <c r="S214" i="13"/>
  <c r="S208" i="13"/>
  <c r="S211" i="13"/>
  <c r="S207" i="13"/>
  <c r="S209" i="13"/>
  <c r="S210" i="13"/>
  <c r="S220" i="13"/>
  <c r="S206" i="13"/>
  <c r="S205" i="13"/>
  <c r="S218" i="13"/>
  <c r="S217" i="13"/>
  <c r="S213" i="13"/>
  <c r="U164" i="13"/>
  <c r="U166" i="13"/>
  <c r="U162" i="13"/>
  <c r="U161" i="13"/>
  <c r="U168" i="13"/>
  <c r="U159" i="13"/>
  <c r="U170" i="13"/>
  <c r="U156" i="13"/>
  <c r="U154" i="13"/>
  <c r="U169" i="13"/>
  <c r="U155" i="13"/>
  <c r="U165" i="13"/>
  <c r="U158" i="13"/>
  <c r="U160" i="13"/>
  <c r="U167" i="13"/>
  <c r="U157" i="13"/>
  <c r="U163" i="13"/>
  <c r="W96" i="13"/>
  <c r="V150" i="13"/>
  <c r="T200" i="13"/>
  <c r="U175" i="13"/>
  <c r="R221" i="13"/>
  <c r="R223" i="13" s="1"/>
  <c r="Q54" i="17" s="1"/>
  <c r="S48" i="13"/>
  <c r="S46" i="13" s="1"/>
  <c r="R49" i="13"/>
  <c r="U185" i="13" l="1"/>
  <c r="U180" i="13"/>
  <c r="U182" i="13"/>
  <c r="U187" i="13"/>
  <c r="U190" i="13"/>
  <c r="U195" i="13"/>
  <c r="U183" i="13"/>
  <c r="U188" i="13"/>
  <c r="U193" i="13"/>
  <c r="U192" i="13"/>
  <c r="U184" i="13"/>
  <c r="U186" i="13"/>
  <c r="U181" i="13"/>
  <c r="U189" i="13"/>
  <c r="U191" i="13"/>
  <c r="U179" i="13"/>
  <c r="U194" i="13"/>
  <c r="V164" i="13"/>
  <c r="V157" i="13"/>
  <c r="V166" i="13"/>
  <c r="V160" i="13"/>
  <c r="V162" i="13"/>
  <c r="V169" i="13"/>
  <c r="V167" i="13"/>
  <c r="V161" i="13"/>
  <c r="V156" i="13"/>
  <c r="V170" i="13"/>
  <c r="V163" i="13"/>
  <c r="V158" i="13"/>
  <c r="V155" i="13"/>
  <c r="V159" i="13"/>
  <c r="V168" i="13"/>
  <c r="V165" i="13"/>
  <c r="T204" i="13"/>
  <c r="T207" i="13"/>
  <c r="T216" i="13"/>
  <c r="T220" i="13"/>
  <c r="T215" i="13"/>
  <c r="T213" i="13"/>
  <c r="T208" i="13"/>
  <c r="T210" i="13"/>
  <c r="T206" i="13"/>
  <c r="T219" i="13"/>
  <c r="T211" i="13"/>
  <c r="T203" i="13"/>
  <c r="T214" i="13"/>
  <c r="T217" i="13"/>
  <c r="T212" i="13"/>
  <c r="T209" i="13"/>
  <c r="T218" i="13"/>
  <c r="T205" i="13"/>
  <c r="V175" i="13"/>
  <c r="U200" i="13"/>
  <c r="X96" i="13"/>
  <c r="W150" i="13"/>
  <c r="S49" i="13"/>
  <c r="T48" i="13"/>
  <c r="V188" i="13" l="1"/>
  <c r="V195" i="13"/>
  <c r="V191" i="13"/>
  <c r="V184" i="13"/>
  <c r="V187" i="13"/>
  <c r="V181" i="13"/>
  <c r="V194" i="13"/>
  <c r="V183" i="13"/>
  <c r="V192" i="13"/>
  <c r="V193" i="13"/>
  <c r="V180" i="13"/>
  <c r="V185" i="13"/>
  <c r="V189" i="13"/>
  <c r="V186" i="13"/>
  <c r="V190" i="13"/>
  <c r="V182" i="13"/>
  <c r="W167" i="13"/>
  <c r="W157" i="13"/>
  <c r="W164" i="13"/>
  <c r="W159" i="13"/>
  <c r="W170" i="13"/>
  <c r="W163" i="13"/>
  <c r="W156" i="13"/>
  <c r="W161" i="13"/>
  <c r="W160" i="13"/>
  <c r="W165" i="13"/>
  <c r="W168" i="13"/>
  <c r="W162" i="13"/>
  <c r="W166" i="13"/>
  <c r="W169" i="13"/>
  <c r="W158" i="13"/>
  <c r="U208" i="13"/>
  <c r="U216" i="13"/>
  <c r="U212" i="13"/>
  <c r="U220" i="13"/>
  <c r="U215" i="13"/>
  <c r="U214" i="13"/>
  <c r="U219" i="13"/>
  <c r="U207" i="13"/>
  <c r="U210" i="13"/>
  <c r="U204" i="13"/>
  <c r="U213" i="13"/>
  <c r="U205" i="13"/>
  <c r="U209" i="13"/>
  <c r="U211" i="13"/>
  <c r="U218" i="13"/>
  <c r="U206" i="13"/>
  <c r="U217" i="13"/>
  <c r="W175" i="13"/>
  <c r="Y96" i="13"/>
  <c r="X150" i="13"/>
  <c r="V200" i="13"/>
  <c r="U48" i="13"/>
  <c r="T46" i="13"/>
  <c r="T49" i="13"/>
  <c r="V214" i="13" l="1"/>
  <c r="V216" i="13"/>
  <c r="V208" i="13"/>
  <c r="V220" i="13"/>
  <c r="V205" i="13"/>
  <c r="V219" i="13"/>
  <c r="V215" i="13"/>
  <c r="V207" i="13"/>
  <c r="V218" i="13"/>
  <c r="V212" i="13"/>
  <c r="V206" i="13"/>
  <c r="V217" i="13"/>
  <c r="V213" i="13"/>
  <c r="V209" i="13"/>
  <c r="V211" i="13"/>
  <c r="V210" i="13"/>
  <c r="X162" i="13"/>
  <c r="X164" i="13"/>
  <c r="X157" i="13"/>
  <c r="X160" i="13"/>
  <c r="X165" i="13"/>
  <c r="X159" i="13"/>
  <c r="X170" i="13"/>
  <c r="X169" i="13"/>
  <c r="X158" i="13"/>
  <c r="X166" i="13"/>
  <c r="X167" i="13"/>
  <c r="X161" i="13"/>
  <c r="X163" i="13"/>
  <c r="X168" i="13"/>
  <c r="W190" i="13"/>
  <c r="W195" i="13"/>
  <c r="W187" i="13"/>
  <c r="W185" i="13"/>
  <c r="W188" i="13"/>
  <c r="W182" i="13"/>
  <c r="W184" i="13"/>
  <c r="W192" i="13"/>
  <c r="W191" i="13"/>
  <c r="W194" i="13"/>
  <c r="W181" i="13"/>
  <c r="W186" i="13"/>
  <c r="W183" i="13"/>
  <c r="W189" i="13"/>
  <c r="W193" i="13"/>
  <c r="X175" i="13"/>
  <c r="W200" i="13"/>
  <c r="Z96" i="13"/>
  <c r="Y150" i="13"/>
  <c r="U46" i="13"/>
  <c r="V48" i="13"/>
  <c r="U49" i="13"/>
  <c r="W211" i="13" l="1"/>
  <c r="W216" i="13"/>
  <c r="W212" i="13"/>
  <c r="W215" i="13"/>
  <c r="W218" i="13"/>
  <c r="W206" i="13"/>
  <c r="W213" i="13"/>
  <c r="W220" i="13"/>
  <c r="W210" i="13"/>
  <c r="W217" i="13"/>
  <c r="W209" i="13"/>
  <c r="W214" i="13"/>
  <c r="W208" i="13"/>
  <c r="W219" i="13"/>
  <c r="W207" i="13"/>
  <c r="X183" i="13"/>
  <c r="X195" i="13"/>
  <c r="X190" i="13"/>
  <c r="X191" i="13"/>
  <c r="X192" i="13"/>
  <c r="X187" i="13"/>
  <c r="X184" i="13"/>
  <c r="X193" i="13"/>
  <c r="X188" i="13"/>
  <c r="X194" i="13"/>
  <c r="X185" i="13"/>
  <c r="X189" i="13"/>
  <c r="X182" i="13"/>
  <c r="X186" i="13"/>
  <c r="Y159" i="13"/>
  <c r="Y161" i="13"/>
  <c r="Y164" i="13"/>
  <c r="Y166" i="13"/>
  <c r="Y167" i="13"/>
  <c r="Y168" i="13"/>
  <c r="Y162" i="13"/>
  <c r="Y170" i="13"/>
  <c r="Y160" i="13"/>
  <c r="Y163" i="13"/>
  <c r="Y169" i="13"/>
  <c r="Y165" i="13"/>
  <c r="Y158" i="13"/>
  <c r="AA96" i="13"/>
  <c r="Z150" i="13"/>
  <c r="X200" i="13"/>
  <c r="Y175" i="13"/>
  <c r="W48" i="13"/>
  <c r="V49" i="13"/>
  <c r="V46" i="13"/>
  <c r="Y188" i="13" l="1"/>
  <c r="Y187" i="13"/>
  <c r="Y184" i="13"/>
  <c r="Y183" i="13"/>
  <c r="Y195" i="13"/>
  <c r="Y191" i="13"/>
  <c r="Y190" i="13"/>
  <c r="Y194" i="13"/>
  <c r="Y192" i="13"/>
  <c r="Y193" i="13"/>
  <c r="Y186" i="13"/>
  <c r="Y185" i="13"/>
  <c r="Y189" i="13"/>
  <c r="Z159" i="13"/>
  <c r="Z167" i="13"/>
  <c r="Z161" i="13"/>
  <c r="Z162" i="13"/>
  <c r="Z170" i="13"/>
  <c r="Z163" i="13"/>
  <c r="Z166" i="13"/>
  <c r="Z168" i="13"/>
  <c r="Z169" i="13"/>
  <c r="Z164" i="13"/>
  <c r="Z160" i="13"/>
  <c r="Z165" i="13"/>
  <c r="X212" i="13"/>
  <c r="X208" i="13"/>
  <c r="X219" i="13"/>
  <c r="X215" i="13"/>
  <c r="X211" i="13"/>
  <c r="X220" i="13"/>
  <c r="X207" i="13"/>
  <c r="X209" i="13"/>
  <c r="X218" i="13"/>
  <c r="X217" i="13"/>
  <c r="X213" i="13"/>
  <c r="X210" i="13"/>
  <c r="X216" i="13"/>
  <c r="X214" i="13"/>
  <c r="Z175" i="13"/>
  <c r="Y200" i="13"/>
  <c r="AB96" i="13"/>
  <c r="AA150" i="13"/>
  <c r="W46" i="13"/>
  <c r="W49" i="13"/>
  <c r="X48" i="13"/>
  <c r="Z192" i="13" l="1"/>
  <c r="Z190" i="13"/>
  <c r="Z188" i="13"/>
  <c r="Z191" i="13"/>
  <c r="Z187" i="13"/>
  <c r="Z185" i="13"/>
  <c r="Z194" i="13"/>
  <c r="Z184" i="13"/>
  <c r="Z193" i="13"/>
  <c r="Z186" i="13"/>
  <c r="Z189" i="13"/>
  <c r="Z195" i="13"/>
  <c r="AA162" i="13"/>
  <c r="AA161" i="13"/>
  <c r="AA167" i="13"/>
  <c r="AA168" i="13"/>
  <c r="AA165" i="13"/>
  <c r="AA160" i="13"/>
  <c r="AA169" i="13"/>
  <c r="AA163" i="13"/>
  <c r="AA166" i="13"/>
  <c r="AA164" i="13"/>
  <c r="AA170" i="13"/>
  <c r="Y214" i="13"/>
  <c r="Y211" i="13"/>
  <c r="Y212" i="13"/>
  <c r="Y219" i="13"/>
  <c r="Y215" i="13"/>
  <c r="Y208" i="13"/>
  <c r="Y217" i="13"/>
  <c r="Y218" i="13"/>
  <c r="Y213" i="13"/>
  <c r="Y220" i="13"/>
  <c r="Y210" i="13"/>
  <c r="Y216" i="13"/>
  <c r="Y209" i="13"/>
  <c r="AA175" i="13"/>
  <c r="AC96" i="13"/>
  <c r="AB150" i="13"/>
  <c r="Z200" i="13"/>
  <c r="Y48" i="13"/>
  <c r="X49" i="13"/>
  <c r="X46" i="13"/>
  <c r="AB166" i="13" l="1"/>
  <c r="AB162" i="13"/>
  <c r="AB161" i="13"/>
  <c r="AB167" i="13"/>
  <c r="AB168" i="13"/>
  <c r="AB163" i="13"/>
  <c r="AB165" i="13"/>
  <c r="AB164" i="13"/>
  <c r="AB170" i="13"/>
  <c r="AB169" i="13"/>
  <c r="Z215" i="13"/>
  <c r="Z214" i="13"/>
  <c r="Z211" i="13"/>
  <c r="Z218" i="13"/>
  <c r="Z220" i="13"/>
  <c r="Z217" i="13"/>
  <c r="Z213" i="13"/>
  <c r="Z209" i="13"/>
  <c r="Z219" i="13"/>
  <c r="Z210" i="13"/>
  <c r="Z216" i="13"/>
  <c r="Z212" i="13"/>
  <c r="AA192" i="13"/>
  <c r="AA185" i="13"/>
  <c r="AA193" i="13"/>
  <c r="AA190" i="13"/>
  <c r="AA188" i="13"/>
  <c r="AA191" i="13"/>
  <c r="AA186" i="13"/>
  <c r="AA195" i="13"/>
  <c r="AA187" i="13"/>
  <c r="AA189" i="13"/>
  <c r="AA194" i="13"/>
  <c r="AB175" i="13"/>
  <c r="AA200" i="13"/>
  <c r="AD96" i="13"/>
  <c r="AC150" i="13"/>
  <c r="Y46" i="13"/>
  <c r="Z48" i="13"/>
  <c r="Y49" i="13"/>
  <c r="AA214" i="13" l="1"/>
  <c r="AA219" i="13"/>
  <c r="AA212" i="13"/>
  <c r="AA220" i="13"/>
  <c r="AA215" i="13"/>
  <c r="AA211" i="13"/>
  <c r="AA216" i="13"/>
  <c r="AA210" i="13"/>
  <c r="AA217" i="13"/>
  <c r="AA213" i="13"/>
  <c r="AA218" i="13"/>
  <c r="AB192" i="13"/>
  <c r="AB195" i="13"/>
  <c r="AB188" i="13"/>
  <c r="AB187" i="13"/>
  <c r="AB191" i="13"/>
  <c r="AB194" i="13"/>
  <c r="AB190" i="13"/>
  <c r="AB193" i="13"/>
  <c r="AB189" i="13"/>
  <c r="AB186" i="13"/>
  <c r="AC166" i="13"/>
  <c r="AC162" i="13"/>
  <c r="AC167" i="13"/>
  <c r="AC164" i="13"/>
  <c r="AC170" i="13"/>
  <c r="AC163" i="13"/>
  <c r="AC165" i="13"/>
  <c r="AC168" i="13"/>
  <c r="AC169" i="13"/>
  <c r="AE96" i="13"/>
  <c r="AD150" i="13"/>
  <c r="AC175" i="13"/>
  <c r="AB200" i="13"/>
  <c r="AA48" i="13"/>
  <c r="Z46" i="13"/>
  <c r="Z49" i="13"/>
  <c r="AD164" i="13" l="1"/>
  <c r="AD166" i="13"/>
  <c r="AD167" i="13"/>
  <c r="AD163" i="13"/>
  <c r="AD165" i="13"/>
  <c r="AD170" i="13"/>
  <c r="AD168" i="13"/>
  <c r="AD169" i="13"/>
  <c r="AB214" i="13"/>
  <c r="AB212" i="13"/>
  <c r="AB219" i="13"/>
  <c r="AB211" i="13"/>
  <c r="AB216" i="13"/>
  <c r="AB218" i="13"/>
  <c r="AB213" i="13"/>
  <c r="AB220" i="13"/>
  <c r="AB217" i="13"/>
  <c r="AB215" i="13"/>
  <c r="AC190" i="13"/>
  <c r="AC195" i="13"/>
  <c r="AC191" i="13"/>
  <c r="AC194" i="13"/>
  <c r="AC189" i="13"/>
  <c r="AC192" i="13"/>
  <c r="AC187" i="13"/>
  <c r="AC188" i="13"/>
  <c r="AC193" i="13"/>
  <c r="AC200" i="13"/>
  <c r="AD175" i="13"/>
  <c r="AF96" i="13"/>
  <c r="AE150" i="13"/>
  <c r="AA46" i="13"/>
  <c r="AA49" i="13"/>
  <c r="AB48" i="13"/>
  <c r="AC216" i="13" l="1"/>
  <c r="AC215" i="13"/>
  <c r="AC214" i="13"/>
  <c r="AC212" i="13"/>
  <c r="AC213" i="13"/>
  <c r="AC217" i="13"/>
  <c r="AC219" i="13"/>
  <c r="AC218" i="13"/>
  <c r="AC220" i="13"/>
  <c r="AE166" i="13"/>
  <c r="AE167" i="13"/>
  <c r="AE164" i="13"/>
  <c r="AE168" i="13"/>
  <c r="AE170" i="13"/>
  <c r="AE169" i="13"/>
  <c r="AE165" i="13"/>
  <c r="AD195" i="13"/>
  <c r="AD188" i="13"/>
  <c r="AD190" i="13"/>
  <c r="AD193" i="13"/>
  <c r="AD192" i="13"/>
  <c r="AD191" i="13"/>
  <c r="AD189" i="13"/>
  <c r="AD194" i="13"/>
  <c r="AE175" i="13"/>
  <c r="AG96" i="13"/>
  <c r="AF150" i="13"/>
  <c r="AD200" i="13"/>
  <c r="AC48" i="13"/>
  <c r="AB46" i="13"/>
  <c r="AB49" i="13"/>
  <c r="AF167" i="13" l="1"/>
  <c r="AF166" i="13"/>
  <c r="AF170" i="13"/>
  <c r="AF168" i="13"/>
  <c r="AF169" i="13"/>
  <c r="AF165" i="13"/>
  <c r="AD216" i="13"/>
  <c r="AD214" i="13"/>
  <c r="AD220" i="13"/>
  <c r="AD219" i="13"/>
  <c r="AD217" i="13"/>
  <c r="AD218" i="13"/>
  <c r="AD215" i="13"/>
  <c r="AD213" i="13"/>
  <c r="AE191" i="13"/>
  <c r="AE195" i="13"/>
  <c r="AE194" i="13"/>
  <c r="AE189" i="13"/>
  <c r="AE190" i="13"/>
  <c r="AE193" i="13"/>
  <c r="AE192" i="13"/>
  <c r="AF175" i="13"/>
  <c r="AE200" i="13"/>
  <c r="AG150" i="13"/>
  <c r="AH96" i="13"/>
  <c r="AC46" i="13"/>
  <c r="AC49" i="13"/>
  <c r="AD48" i="13"/>
  <c r="AG166" i="13" l="1"/>
  <c r="AG168" i="13"/>
  <c r="AG169" i="13"/>
  <c r="AG167" i="13"/>
  <c r="AG170" i="13"/>
  <c r="AE216" i="13"/>
  <c r="AE219" i="13"/>
  <c r="AE217" i="13"/>
  <c r="AE214" i="13"/>
  <c r="AE220" i="13"/>
  <c r="AE218" i="13"/>
  <c r="AE215" i="13"/>
  <c r="AF192" i="13"/>
  <c r="AF191" i="13"/>
  <c r="AF190" i="13"/>
  <c r="AF193" i="13"/>
  <c r="AF195" i="13"/>
  <c r="AF194" i="13"/>
  <c r="AG175" i="13"/>
  <c r="AF200" i="13"/>
  <c r="AI96" i="13"/>
  <c r="AH150" i="13"/>
  <c r="AE48" i="13"/>
  <c r="AD46" i="13"/>
  <c r="AD49" i="13"/>
  <c r="AF220" i="13" l="1"/>
  <c r="AF219" i="13"/>
  <c r="AF218" i="13"/>
  <c r="AF217" i="13"/>
  <c r="AF216" i="13"/>
  <c r="AF215" i="13"/>
  <c r="AG191" i="13"/>
  <c r="AG192" i="13"/>
  <c r="AG193" i="13"/>
  <c r="AG195" i="13"/>
  <c r="AG194" i="13"/>
  <c r="AH167" i="13"/>
  <c r="AH168" i="13"/>
  <c r="AH170" i="13"/>
  <c r="AH169" i="13"/>
  <c r="AG200" i="13"/>
  <c r="AH175" i="13"/>
  <c r="AI150" i="13"/>
  <c r="AJ96" i="13"/>
  <c r="AE46" i="13"/>
  <c r="AE49" i="13"/>
  <c r="AF48" i="13"/>
  <c r="AG220" i="13" l="1"/>
  <c r="AG219" i="13"/>
  <c r="AG218" i="13"/>
  <c r="AG216" i="13"/>
  <c r="AG217" i="13"/>
  <c r="AI170" i="13"/>
  <c r="AI169" i="13"/>
  <c r="AI168" i="13"/>
  <c r="AH192" i="13"/>
  <c r="AH195" i="13"/>
  <c r="AH193" i="13"/>
  <c r="AH194" i="13"/>
  <c r="AK96" i="13"/>
  <c r="AJ150" i="13"/>
  <c r="AI175" i="13"/>
  <c r="AH200" i="13"/>
  <c r="AG48" i="13"/>
  <c r="AF49" i="13"/>
  <c r="AF46" i="13"/>
  <c r="AI195" i="13" l="1"/>
  <c r="AI193" i="13"/>
  <c r="AI194" i="13"/>
  <c r="AH220" i="13"/>
  <c r="AH219" i="13"/>
  <c r="AH218" i="13"/>
  <c r="AH217" i="13"/>
  <c r="AJ170" i="13"/>
  <c r="AJ169" i="13"/>
  <c r="AI200" i="13"/>
  <c r="AJ175" i="13"/>
  <c r="AL96" i="13"/>
  <c r="AK150" i="13"/>
  <c r="AK170" i="13" s="1"/>
  <c r="AG46" i="13"/>
  <c r="AG49" i="13"/>
  <c r="AH48" i="13"/>
  <c r="AJ195" i="13" l="1"/>
  <c r="AJ194" i="13"/>
  <c r="AI220" i="13"/>
  <c r="AI219" i="13"/>
  <c r="AI218" i="13"/>
  <c r="AM96" i="13"/>
  <c r="AL150" i="13"/>
  <c r="AL175" i="13" s="1"/>
  <c r="AL200" i="13" s="1"/>
  <c r="AK175" i="13"/>
  <c r="AK195" i="13" s="1"/>
  <c r="AJ200" i="13"/>
  <c r="AI48" i="13"/>
  <c r="AH49" i="13"/>
  <c r="AH46" i="13"/>
  <c r="AJ220" i="13" l="1"/>
  <c r="AJ219" i="13"/>
  <c r="AK200" i="13"/>
  <c r="AK220" i="13" s="1"/>
  <c r="AN96" i="13"/>
  <c r="AM150" i="13"/>
  <c r="AM175" i="13" s="1"/>
  <c r="AM200" i="13" s="1"/>
  <c r="AI46" i="13"/>
  <c r="AI49" i="13"/>
  <c r="AJ48" i="13"/>
  <c r="AO96" i="13" l="1"/>
  <c r="AN150" i="13"/>
  <c r="AN175" i="13" s="1"/>
  <c r="AN200" i="13" s="1"/>
  <c r="AK48" i="13"/>
  <c r="AJ46" i="13"/>
  <c r="AJ49" i="13"/>
  <c r="AP96" i="13" l="1"/>
  <c r="AO150" i="13"/>
  <c r="AO175" i="13" s="1"/>
  <c r="AO200" i="13" s="1"/>
  <c r="AK46" i="13"/>
  <c r="AL48" i="13"/>
  <c r="AK49" i="13"/>
  <c r="D311" i="1"/>
  <c r="D312" i="1"/>
  <c r="D314" i="1"/>
  <c r="D315" i="1"/>
  <c r="D316" i="1"/>
  <c r="D318" i="1"/>
  <c r="D319" i="1"/>
  <c r="D320" i="1"/>
  <c r="D310" i="1"/>
  <c r="I274" i="1"/>
  <c r="J274" i="1" l="1"/>
  <c r="M17" i="14"/>
  <c r="L102" i="13"/>
  <c r="AQ96" i="13"/>
  <c r="AP150" i="13"/>
  <c r="AP175" i="13" s="1"/>
  <c r="AP200" i="13" s="1"/>
  <c r="AM48" i="13"/>
  <c r="AL49" i="13"/>
  <c r="AL46" i="13"/>
  <c r="C181" i="1"/>
  <c r="C204" i="1" s="1"/>
  <c r="K274" i="1" l="1"/>
  <c r="M102" i="13"/>
  <c r="M15" i="14"/>
  <c r="N17" i="14"/>
  <c r="M14" i="14"/>
  <c r="AR96" i="13"/>
  <c r="AQ150" i="13"/>
  <c r="AQ175" i="13" s="1"/>
  <c r="AQ200" i="13" s="1"/>
  <c r="AM46" i="13"/>
  <c r="AM49" i="13"/>
  <c r="AN48" i="13"/>
  <c r="L274" i="1" l="1"/>
  <c r="M274" i="1" s="1"/>
  <c r="N274" i="1" s="1"/>
  <c r="O274" i="1" s="1"/>
  <c r="P274" i="1" s="1"/>
  <c r="Q274" i="1" s="1"/>
  <c r="R274" i="1" s="1"/>
  <c r="S274" i="1" s="1"/>
  <c r="T274" i="1" s="1"/>
  <c r="U274" i="1" s="1"/>
  <c r="V274" i="1" s="1"/>
  <c r="N102" i="13"/>
  <c r="O102" i="13" s="1"/>
  <c r="P102" i="13" s="1"/>
  <c r="Q102" i="13" s="1"/>
  <c r="R102" i="13" s="1"/>
  <c r="S102" i="13" s="1"/>
  <c r="T102" i="13" s="1"/>
  <c r="U102" i="13" s="1"/>
  <c r="V102" i="13" s="1"/>
  <c r="W102" i="13" s="1"/>
  <c r="X102" i="13" s="1"/>
  <c r="Y102" i="13" s="1"/>
  <c r="Z102" i="13" s="1"/>
  <c r="AA102" i="13" s="1"/>
  <c r="AB102" i="13" s="1"/>
  <c r="AC102" i="13" s="1"/>
  <c r="AD102" i="13" s="1"/>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BJ102" i="13" s="1"/>
  <c r="BK102" i="13" s="1"/>
  <c r="BL102" i="13" s="1"/>
  <c r="BM102" i="13" s="1"/>
  <c r="BN102" i="13" s="1"/>
  <c r="BO102" i="13" s="1"/>
  <c r="BP102" i="13" s="1"/>
  <c r="BQ102" i="13" s="1"/>
  <c r="BR102" i="13" s="1"/>
  <c r="BS102" i="13" s="1"/>
  <c r="BT102" i="13" s="1"/>
  <c r="BU102" i="13" s="1"/>
  <c r="BV102" i="13" s="1"/>
  <c r="BW102" i="13" s="1"/>
  <c r="BX102" i="13" s="1"/>
  <c r="BY102" i="13" s="1"/>
  <c r="BZ102" i="13" s="1"/>
  <c r="CA102" i="13" s="1"/>
  <c r="CB102" i="13" s="1"/>
  <c r="K29" i="17"/>
  <c r="K27" i="17"/>
  <c r="O17" i="14"/>
  <c r="N15" i="14"/>
  <c r="L29" i="17" s="1"/>
  <c r="N14" i="14"/>
  <c r="L27" i="17" s="1"/>
  <c r="AS96" i="13"/>
  <c r="AR150" i="13"/>
  <c r="AR175" i="13" s="1"/>
  <c r="AR200" i="13" s="1"/>
  <c r="AO48" i="13"/>
  <c r="AN49" i="13"/>
  <c r="AN46" i="13"/>
  <c r="X215" i="1"/>
  <c r="X216" i="1" s="1"/>
  <c r="X185" i="1"/>
  <c r="X218" i="1"/>
  <c r="X219" i="1" s="1"/>
  <c r="X220" i="1" s="1"/>
  <c r="X221" i="1" s="1"/>
  <c r="X222" i="1" s="1"/>
  <c r="X209" i="1"/>
  <c r="X210" i="1" s="1"/>
  <c r="X211" i="1" s="1"/>
  <c r="X212" i="1" s="1"/>
  <c r="X213" i="1" s="1"/>
  <c r="H161" i="1"/>
  <c r="H184" i="1" s="1"/>
  <c r="H207" i="1" s="1"/>
  <c r="H183" i="1"/>
  <c r="H206" i="1" s="1"/>
  <c r="P161" i="1"/>
  <c r="P184" i="1" s="1"/>
  <c r="P183" i="1"/>
  <c r="P181" i="1"/>
  <c r="P159" i="1"/>
  <c r="P182" i="1" s="1"/>
  <c r="P185" i="1"/>
  <c r="P163" i="1"/>
  <c r="X205" i="1"/>
  <c r="X207" i="1"/>
  <c r="P17" i="14" l="1"/>
  <c r="O15" i="14"/>
  <c r="M29" i="17" s="1"/>
  <c r="O14" i="14"/>
  <c r="M27" i="17" s="1"/>
  <c r="AT96" i="13"/>
  <c r="AS150" i="13"/>
  <c r="AS175" i="13" s="1"/>
  <c r="AS200" i="13" s="1"/>
  <c r="AO46" i="13"/>
  <c r="AP48" i="13"/>
  <c r="AO49" i="13"/>
  <c r="X163" i="1"/>
  <c r="X186" i="1" s="1"/>
  <c r="H181" i="1"/>
  <c r="H204" i="1" s="1"/>
  <c r="H159" i="1"/>
  <c r="H182" i="1" s="1"/>
  <c r="H205" i="1" s="1"/>
  <c r="X181" i="1"/>
  <c r="X159" i="1"/>
  <c r="H194" i="1"/>
  <c r="H217" i="1" s="1"/>
  <c r="H172" i="1"/>
  <c r="P172" i="1"/>
  <c r="P194" i="1"/>
  <c r="P186" i="1"/>
  <c r="P164" i="1"/>
  <c r="X164" i="1"/>
  <c r="H185" i="1"/>
  <c r="H208" i="1" s="1"/>
  <c r="H163" i="1"/>
  <c r="P15" i="14" l="1"/>
  <c r="Q17" i="14"/>
  <c r="P14" i="14"/>
  <c r="AU96" i="13"/>
  <c r="AT150" i="13"/>
  <c r="AT175" i="13" s="1"/>
  <c r="AT200" i="13" s="1"/>
  <c r="AQ48" i="13"/>
  <c r="AP46" i="13"/>
  <c r="AP49" i="13"/>
  <c r="X165" i="1"/>
  <c r="X187" i="1"/>
  <c r="P173" i="1"/>
  <c r="P195" i="1"/>
  <c r="H186" i="1"/>
  <c r="H209" i="1" s="1"/>
  <c r="H164" i="1"/>
  <c r="P187" i="1"/>
  <c r="P165" i="1"/>
  <c r="H195" i="1"/>
  <c r="H218" i="1" s="1"/>
  <c r="H173" i="1"/>
  <c r="X182" i="1"/>
  <c r="X160" i="1"/>
  <c r="R17" i="14" l="1"/>
  <c r="Q15" i="14"/>
  <c r="O29" i="17" s="1"/>
  <c r="Q14" i="14"/>
  <c r="O27" i="17" s="1"/>
  <c r="N27" i="17"/>
  <c r="N29" i="17"/>
  <c r="AV96" i="13"/>
  <c r="AU150" i="13"/>
  <c r="AU175" i="13" s="1"/>
  <c r="AU200" i="13" s="1"/>
  <c r="AQ46" i="13"/>
  <c r="AQ49" i="13"/>
  <c r="AR48" i="13"/>
  <c r="X183" i="1"/>
  <c r="X161" i="1"/>
  <c r="X184" i="1" s="1"/>
  <c r="P188" i="1"/>
  <c r="P166" i="1"/>
  <c r="H196" i="1"/>
  <c r="H219" i="1" s="1"/>
  <c r="H174" i="1"/>
  <c r="H187" i="1"/>
  <c r="H210" i="1" s="1"/>
  <c r="H165" i="1"/>
  <c r="P196" i="1"/>
  <c r="P174" i="1"/>
  <c r="X166" i="1"/>
  <c r="X188" i="1"/>
  <c r="C165" i="1"/>
  <c r="C188" i="1" s="1"/>
  <c r="C211" i="1" s="1"/>
  <c r="W211" i="1" s="1"/>
  <c r="C166" i="1"/>
  <c r="C189" i="1" s="1"/>
  <c r="C212" i="1" s="1"/>
  <c r="W212" i="1" s="1"/>
  <c r="C167" i="1"/>
  <c r="C190" i="1" s="1"/>
  <c r="C213" i="1" s="1"/>
  <c r="W213" i="1" s="1"/>
  <c r="C168" i="1"/>
  <c r="C191" i="1" s="1"/>
  <c r="C214" i="1" s="1"/>
  <c r="W214" i="1" s="1"/>
  <c r="C169" i="1"/>
  <c r="C192" i="1" s="1"/>
  <c r="C215" i="1" s="1"/>
  <c r="W215" i="1" s="1"/>
  <c r="C170" i="1"/>
  <c r="C193" i="1" s="1"/>
  <c r="C216" i="1" s="1"/>
  <c r="W216" i="1" s="1"/>
  <c r="C171" i="1"/>
  <c r="C194" i="1" s="1"/>
  <c r="C217" i="1" s="1"/>
  <c r="W217" i="1" s="1"/>
  <c r="C172" i="1"/>
  <c r="C195" i="1" s="1"/>
  <c r="C218" i="1" s="1"/>
  <c r="W218" i="1" s="1"/>
  <c r="C173" i="1"/>
  <c r="C196" i="1" s="1"/>
  <c r="C219" i="1" s="1"/>
  <c r="W219" i="1" s="1"/>
  <c r="C174" i="1"/>
  <c r="C197" i="1" s="1"/>
  <c r="C220" i="1" s="1"/>
  <c r="W220" i="1" s="1"/>
  <c r="C175" i="1"/>
  <c r="C198" i="1" s="1"/>
  <c r="C221" i="1" s="1"/>
  <c r="W221" i="1" s="1"/>
  <c r="C176" i="1"/>
  <c r="C199" i="1" s="1"/>
  <c r="C222" i="1" s="1"/>
  <c r="W222" i="1" s="1"/>
  <c r="C159" i="1"/>
  <c r="C182" i="1" s="1"/>
  <c r="C205" i="1" s="1"/>
  <c r="W205" i="1" s="1"/>
  <c r="C160" i="1"/>
  <c r="C183" i="1" s="1"/>
  <c r="C206" i="1" s="1"/>
  <c r="W206" i="1" s="1"/>
  <c r="C161" i="1"/>
  <c r="C184" i="1" s="1"/>
  <c r="C207" i="1" s="1"/>
  <c r="W207" i="1" s="1"/>
  <c r="C162" i="1"/>
  <c r="C185" i="1" s="1"/>
  <c r="C208" i="1" s="1"/>
  <c r="W208" i="1" s="1"/>
  <c r="C186" i="1"/>
  <c r="C209" i="1" s="1"/>
  <c r="W209" i="1" s="1"/>
  <c r="C164" i="1"/>
  <c r="C187" i="1" s="1"/>
  <c r="C210" i="1" s="1"/>
  <c r="W210" i="1" s="1"/>
  <c r="R15" i="14" l="1"/>
  <c r="S17" i="14"/>
  <c r="R14" i="14"/>
  <c r="P27" i="17" s="1"/>
  <c r="AW96" i="13"/>
  <c r="AV150" i="13"/>
  <c r="AV175" i="13" s="1"/>
  <c r="AV200" i="13" s="1"/>
  <c r="AS48" i="13"/>
  <c r="AR46" i="13"/>
  <c r="AR49" i="13"/>
  <c r="H166" i="1"/>
  <c r="H188" i="1"/>
  <c r="H211" i="1" s="1"/>
  <c r="P189" i="1"/>
  <c r="P167" i="1"/>
  <c r="X167" i="1"/>
  <c r="X189" i="1"/>
  <c r="P197" i="1"/>
  <c r="P175" i="1"/>
  <c r="H175" i="1"/>
  <c r="H197" i="1"/>
  <c r="H220" i="1" s="1"/>
  <c r="M131" i="1"/>
  <c r="E121" i="1"/>
  <c r="N107" i="1"/>
  <c r="L133" i="1"/>
  <c r="M133" i="1" s="1"/>
  <c r="L129" i="1"/>
  <c r="K129" i="1"/>
  <c r="J129" i="1"/>
  <c r="I129" i="1"/>
  <c r="D128" i="1"/>
  <c r="L126" i="1"/>
  <c r="K126" i="1"/>
  <c r="J126" i="1"/>
  <c r="I126" i="1"/>
  <c r="E123" i="1"/>
  <c r="H117" i="1"/>
  <c r="N111" i="1"/>
  <c r="N112" i="1" s="1"/>
  <c r="E110" i="1"/>
  <c r="P29" i="17" l="1"/>
  <c r="P190" i="1"/>
  <c r="P168" i="1"/>
  <c r="T17" i="14"/>
  <c r="S15" i="14"/>
  <c r="Q29" i="17" s="1"/>
  <c r="S14" i="14"/>
  <c r="Q27" i="17" s="1"/>
  <c r="AX96" i="13"/>
  <c r="AW150" i="13"/>
  <c r="AW175" i="13" s="1"/>
  <c r="AW200" i="13" s="1"/>
  <c r="AS46" i="13"/>
  <c r="AS49" i="13"/>
  <c r="AT48" i="13"/>
  <c r="P198" i="1"/>
  <c r="P176" i="1"/>
  <c r="P199" i="1" s="1"/>
  <c r="H198" i="1"/>
  <c r="H221" i="1" s="1"/>
  <c r="H176" i="1"/>
  <c r="H199" i="1" s="1"/>
  <c r="H222" i="1" s="1"/>
  <c r="X168" i="1"/>
  <c r="X190" i="1"/>
  <c r="H167" i="1"/>
  <c r="H189" i="1"/>
  <c r="H212" i="1" s="1"/>
  <c r="D159" i="1"/>
  <c r="D182" i="1" s="1"/>
  <c r="D205" i="1" s="1"/>
  <c r="D163" i="1"/>
  <c r="D186" i="1" s="1"/>
  <c r="D209" i="1" s="1"/>
  <c r="D167" i="1"/>
  <c r="D190" i="1" s="1"/>
  <c r="D213" i="1" s="1"/>
  <c r="D171" i="1"/>
  <c r="D194" i="1" s="1"/>
  <c r="D217" i="1" s="1"/>
  <c r="D175" i="1"/>
  <c r="D198" i="1" s="1"/>
  <c r="D221" i="1" s="1"/>
  <c r="D160" i="1"/>
  <c r="D183" i="1" s="1"/>
  <c r="D206" i="1" s="1"/>
  <c r="D164" i="1"/>
  <c r="D187" i="1" s="1"/>
  <c r="D210" i="1" s="1"/>
  <c r="D168" i="1"/>
  <c r="D191" i="1" s="1"/>
  <c r="D214" i="1" s="1"/>
  <c r="D172" i="1"/>
  <c r="D195" i="1" s="1"/>
  <c r="D218" i="1" s="1"/>
  <c r="D176" i="1"/>
  <c r="D199" i="1" s="1"/>
  <c r="D222" i="1" s="1"/>
  <c r="D165" i="1"/>
  <c r="D188" i="1" s="1"/>
  <c r="D211" i="1" s="1"/>
  <c r="D173" i="1"/>
  <c r="D196" i="1" s="1"/>
  <c r="D219" i="1" s="1"/>
  <c r="D161" i="1"/>
  <c r="D184" i="1" s="1"/>
  <c r="D207" i="1" s="1"/>
  <c r="D181" i="1"/>
  <c r="D170" i="1"/>
  <c r="D193" i="1" s="1"/>
  <c r="D216" i="1" s="1"/>
  <c r="D166" i="1"/>
  <c r="D189" i="1" s="1"/>
  <c r="D212" i="1" s="1"/>
  <c r="D174" i="1"/>
  <c r="D197" i="1" s="1"/>
  <c r="D220" i="1" s="1"/>
  <c r="D169" i="1"/>
  <c r="D192" i="1" s="1"/>
  <c r="D215" i="1" s="1"/>
  <c r="D162" i="1"/>
  <c r="D185" i="1" s="1"/>
  <c r="D208" i="1" s="1"/>
  <c r="N133" i="1"/>
  <c r="M129" i="1"/>
  <c r="N129" i="1" s="1"/>
  <c r="D131" i="1" s="1"/>
  <c r="N113" i="1"/>
  <c r="N114" i="1" s="1"/>
  <c r="N131" i="1"/>
  <c r="U17" i="14" l="1"/>
  <c r="T15" i="14"/>
  <c r="R29" i="17" s="1"/>
  <c r="T14" i="14"/>
  <c r="R27" i="17" s="1"/>
  <c r="P191" i="1"/>
  <c r="P169" i="1"/>
  <c r="H190" i="1"/>
  <c r="H213" i="1" s="1"/>
  <c r="H168" i="1"/>
  <c r="AX150" i="13"/>
  <c r="AX175" i="13" s="1"/>
  <c r="AX200" i="13" s="1"/>
  <c r="AY96" i="13"/>
  <c r="AU48" i="13"/>
  <c r="AT46" i="13"/>
  <c r="AT49" i="13"/>
  <c r="X169" i="1"/>
  <c r="X191" i="1"/>
  <c r="O208" i="1"/>
  <c r="O212" i="1"/>
  <c r="O216" i="1"/>
  <c r="O220" i="1"/>
  <c r="O205" i="1"/>
  <c r="O209" i="1"/>
  <c r="O213" i="1"/>
  <c r="O217" i="1"/>
  <c r="O221" i="1"/>
  <c r="O207" i="1"/>
  <c r="O215" i="1"/>
  <c r="O204" i="1"/>
  <c r="O211" i="1"/>
  <c r="O210" i="1"/>
  <c r="O218" i="1"/>
  <c r="O219" i="1"/>
  <c r="O206" i="1"/>
  <c r="O214" i="1"/>
  <c r="O222" i="1"/>
  <c r="P192" i="1" l="1"/>
  <c r="P170" i="1"/>
  <c r="P193" i="1" s="1"/>
  <c r="H169" i="1"/>
  <c r="H191" i="1"/>
  <c r="H214" i="1" s="1"/>
  <c r="U15" i="14"/>
  <c r="S29" i="17" s="1"/>
  <c r="V17" i="14"/>
  <c r="U14" i="14"/>
  <c r="S27" i="17" s="1"/>
  <c r="P219" i="1"/>
  <c r="AY150" i="13"/>
  <c r="AY175" i="13" s="1"/>
  <c r="AY200" i="13" s="1"/>
  <c r="AZ96" i="13"/>
  <c r="AU46" i="13"/>
  <c r="AU49" i="13"/>
  <c r="AV48" i="13"/>
  <c r="X170" i="1"/>
  <c r="X192" i="1"/>
  <c r="P215" i="1"/>
  <c r="P207" i="1"/>
  <c r="P209" i="1"/>
  <c r="P205" i="1"/>
  <c r="V15" i="14" l="1"/>
  <c r="T29" i="17" s="1"/>
  <c r="W17" i="14"/>
  <c r="V14" i="14"/>
  <c r="T27" i="17" s="1"/>
  <c r="H192" i="1"/>
  <c r="H215" i="1" s="1"/>
  <c r="H170" i="1"/>
  <c r="H193" i="1" s="1"/>
  <c r="H216" i="1" s="1"/>
  <c r="BA96" i="13"/>
  <c r="AZ150" i="13"/>
  <c r="AZ175" i="13" s="1"/>
  <c r="AZ200" i="13" s="1"/>
  <c r="AW48" i="13"/>
  <c r="AV49" i="13"/>
  <c r="AV46" i="13"/>
  <c r="X171" i="1"/>
  <c r="X193" i="1"/>
  <c r="P210" i="1"/>
  <c r="P220" i="1"/>
  <c r="P216" i="1"/>
  <c r="C78" i="1"/>
  <c r="L94" i="1"/>
  <c r="P75" i="1" s="1"/>
  <c r="K94" i="1"/>
  <c r="O87" i="1" s="1"/>
  <c r="M76" i="1"/>
  <c r="M77" i="1" s="1"/>
  <c r="B91" i="1"/>
  <c r="B90" i="1"/>
  <c r="F88" i="1"/>
  <c r="W15" i="14" l="1"/>
  <c r="U29" i="17" s="1"/>
  <c r="X17" i="14"/>
  <c r="W14" i="14"/>
  <c r="U27" i="17" s="1"/>
  <c r="BB96" i="13"/>
  <c r="BA150" i="13"/>
  <c r="BA175" i="13" s="1"/>
  <c r="BA200" i="13" s="1"/>
  <c r="AW46" i="13"/>
  <c r="AW49" i="13"/>
  <c r="AX48" i="13"/>
  <c r="X172" i="1"/>
  <c r="X194" i="1"/>
  <c r="D129" i="1"/>
  <c r="E109" i="1"/>
  <c r="D130" i="1" s="1"/>
  <c r="W158" i="1" s="1"/>
  <c r="P221" i="1"/>
  <c r="P217" i="1"/>
  <c r="P211" i="1"/>
  <c r="B74" i="1"/>
  <c r="B75" i="1"/>
  <c r="Q88" i="1"/>
  <c r="Q80" i="1"/>
  <c r="Q84" i="1"/>
  <c r="Q76" i="1"/>
  <c r="Q73" i="1"/>
  <c r="Q77" i="1"/>
  <c r="Q81" i="1"/>
  <c r="Q85" i="1"/>
  <c r="Q89" i="1"/>
  <c r="Q74" i="1"/>
  <c r="Q78" i="1"/>
  <c r="Q82" i="1"/>
  <c r="Q86" i="1"/>
  <c r="Q90" i="1"/>
  <c r="Q75" i="1"/>
  <c r="Q79" i="1"/>
  <c r="Q83" i="1"/>
  <c r="Q87" i="1"/>
  <c r="Q91" i="1"/>
  <c r="P90" i="1"/>
  <c r="P79" i="1"/>
  <c r="P82" i="1"/>
  <c r="P87" i="1"/>
  <c r="O75" i="1"/>
  <c r="O77" i="1"/>
  <c r="O85" i="1"/>
  <c r="O76" i="1"/>
  <c r="P77" i="1"/>
  <c r="P80" i="1"/>
  <c r="O83" i="1"/>
  <c r="P85" i="1"/>
  <c r="P88" i="1"/>
  <c r="O91" i="1"/>
  <c r="P74" i="1"/>
  <c r="P78" i="1"/>
  <c r="O81" i="1"/>
  <c r="P83" i="1"/>
  <c r="P86" i="1"/>
  <c r="O89" i="1"/>
  <c r="P91" i="1"/>
  <c r="P73" i="1"/>
  <c r="P76" i="1"/>
  <c r="O79" i="1"/>
  <c r="P81" i="1"/>
  <c r="P84" i="1"/>
  <c r="P89" i="1"/>
  <c r="O73" i="1"/>
  <c r="O74" i="1"/>
  <c r="O78" i="1"/>
  <c r="O80" i="1"/>
  <c r="O82" i="1"/>
  <c r="O84" i="1"/>
  <c r="O86" i="1"/>
  <c r="O88" i="1"/>
  <c r="O90" i="1"/>
  <c r="M78" i="1"/>
  <c r="M79" i="1" s="1"/>
  <c r="M80" i="1" s="1"/>
  <c r="M81" i="1" s="1"/>
  <c r="M82" i="1" s="1"/>
  <c r="M83" i="1" s="1"/>
  <c r="M84" i="1" s="1"/>
  <c r="M85" i="1" s="1"/>
  <c r="M86" i="1" s="1"/>
  <c r="M87" i="1" s="1"/>
  <c r="M88" i="1" s="1"/>
  <c r="M89" i="1" s="1"/>
  <c r="M90" i="1" s="1"/>
  <c r="M94" i="1"/>
  <c r="L95" i="1" s="1"/>
  <c r="D161" i="14" l="1"/>
  <c r="Y17" i="14"/>
  <c r="X15" i="14"/>
  <c r="V29" i="17" s="1"/>
  <c r="X14" i="14"/>
  <c r="V27" i="17" s="1"/>
  <c r="BC96" i="13"/>
  <c r="BB150" i="13"/>
  <c r="BB175" i="13" s="1"/>
  <c r="BB200" i="13" s="1"/>
  <c r="AY48" i="13"/>
  <c r="AX49" i="13"/>
  <c r="AX46" i="13"/>
  <c r="X173" i="1"/>
  <c r="X195" i="1"/>
  <c r="W160" i="1"/>
  <c r="W183" i="1" s="1"/>
  <c r="W164" i="1"/>
  <c r="W187" i="1" s="1"/>
  <c r="W168" i="1"/>
  <c r="W191" i="1" s="1"/>
  <c r="W172" i="1"/>
  <c r="W195" i="1" s="1"/>
  <c r="W176" i="1"/>
  <c r="W199" i="1" s="1"/>
  <c r="W161" i="1"/>
  <c r="W184" i="1" s="1"/>
  <c r="W165" i="1"/>
  <c r="W188" i="1" s="1"/>
  <c r="W169" i="1"/>
  <c r="W192" i="1" s="1"/>
  <c r="W173" i="1"/>
  <c r="W196" i="1" s="1"/>
  <c r="W162" i="1"/>
  <c r="W185" i="1" s="1"/>
  <c r="W166" i="1"/>
  <c r="W189" i="1" s="1"/>
  <c r="W170" i="1"/>
  <c r="W193" i="1" s="1"/>
  <c r="W174" i="1"/>
  <c r="W197" i="1" s="1"/>
  <c r="W159" i="1"/>
  <c r="W182" i="1" s="1"/>
  <c r="W163" i="1"/>
  <c r="W186" i="1" s="1"/>
  <c r="W167" i="1"/>
  <c r="W190" i="1" s="1"/>
  <c r="W171" i="1"/>
  <c r="W194" i="1" s="1"/>
  <c r="W175" i="1"/>
  <c r="W198" i="1" s="1"/>
  <c r="P212" i="1"/>
  <c r="O161" i="1"/>
  <c r="O184" i="1" s="1"/>
  <c r="O165" i="1"/>
  <c r="O188" i="1" s="1"/>
  <c r="O169" i="1"/>
  <c r="O192" i="1" s="1"/>
  <c r="O173" i="1"/>
  <c r="O196" i="1" s="1"/>
  <c r="O158" i="1"/>
  <c r="O181" i="1" s="1"/>
  <c r="O162" i="1"/>
  <c r="O185" i="1" s="1"/>
  <c r="O170" i="1"/>
  <c r="O193" i="1" s="1"/>
  <c r="O159" i="1"/>
  <c r="O182" i="1" s="1"/>
  <c r="O167" i="1"/>
  <c r="O190" i="1" s="1"/>
  <c r="O175" i="1"/>
  <c r="O198" i="1" s="1"/>
  <c r="O166" i="1"/>
  <c r="O189" i="1" s="1"/>
  <c r="O174" i="1"/>
  <c r="O197" i="1" s="1"/>
  <c r="O163" i="1"/>
  <c r="O186" i="1" s="1"/>
  <c r="O171" i="1"/>
  <c r="O194" i="1" s="1"/>
  <c r="O172" i="1"/>
  <c r="O195" i="1" s="1"/>
  <c r="O160" i="1"/>
  <c r="O183" i="1" s="1"/>
  <c r="O176" i="1"/>
  <c r="O199" i="1" s="1"/>
  <c r="O164" i="1"/>
  <c r="O187" i="1" s="1"/>
  <c r="O168" i="1"/>
  <c r="O191" i="1" s="1"/>
  <c r="P222" i="1"/>
  <c r="N97" i="1"/>
  <c r="I115" i="1"/>
  <c r="N96" i="1"/>
  <c r="Q92" i="1"/>
  <c r="K97" i="1"/>
  <c r="P92" i="1"/>
  <c r="O92" i="1"/>
  <c r="T84" i="1"/>
  <c r="C22" i="13" s="1"/>
  <c r="K95" i="1"/>
  <c r="C24" i="13" l="1"/>
  <c r="D22" i="13"/>
  <c r="C27" i="13" s="1"/>
  <c r="Y15" i="14"/>
  <c r="W29" i="17" s="1"/>
  <c r="Z17" i="14"/>
  <c r="Y14" i="14"/>
  <c r="W27" i="17" s="1"/>
  <c r="B56" i="22"/>
  <c r="B58" i="22" s="1"/>
  <c r="D164" i="14"/>
  <c r="BD96" i="13"/>
  <c r="BC150" i="13"/>
  <c r="BC175" i="13" s="1"/>
  <c r="BC200" i="13" s="1"/>
  <c r="AY46" i="13"/>
  <c r="AY49" i="13"/>
  <c r="AZ48" i="13"/>
  <c r="X174" i="1"/>
  <c r="X196" i="1"/>
  <c r="P213" i="1"/>
  <c r="K98" i="1"/>
  <c r="Z15" i="14" l="1"/>
  <c r="Z14" i="14"/>
  <c r="C73" i="22"/>
  <c r="C75" i="22"/>
  <c r="C74" i="22"/>
  <c r="C76" i="22"/>
  <c r="C81" i="22"/>
  <c r="C77" i="22"/>
  <c r="D24" i="13"/>
  <c r="C28" i="13" s="1"/>
  <c r="C30" i="13" s="1"/>
  <c r="BE96" i="13"/>
  <c r="BD150" i="13"/>
  <c r="BD175" i="13" s="1"/>
  <c r="BD200" i="13" s="1"/>
  <c r="BA48" i="13"/>
  <c r="AZ46" i="13"/>
  <c r="AZ49" i="13"/>
  <c r="X175" i="1"/>
  <c r="X197" i="1"/>
  <c r="B73" i="1"/>
  <c r="N98" i="1"/>
  <c r="I116" i="1"/>
  <c r="B67" i="1"/>
  <c r="G88" i="1"/>
  <c r="E88" i="1" s="1"/>
  <c r="F86" i="1"/>
  <c r="F77" i="22" l="1"/>
  <c r="J77" i="22"/>
  <c r="S77" i="22"/>
  <c r="T77" i="22"/>
  <c r="U77" i="22"/>
  <c r="V77" i="22"/>
  <c r="E77" i="22"/>
  <c r="H77" i="22"/>
  <c r="K77" i="22"/>
  <c r="L77" i="22"/>
  <c r="M77" i="22"/>
  <c r="P77" i="22"/>
  <c r="X77" i="22"/>
  <c r="I77" i="22"/>
  <c r="N77" i="22"/>
  <c r="O77" i="22"/>
  <c r="Q77" i="22"/>
  <c r="R77" i="22"/>
  <c r="G77" i="22"/>
  <c r="W77" i="22"/>
  <c r="B86" i="22"/>
  <c r="H75" i="22"/>
  <c r="K75" i="22"/>
  <c r="L75" i="22"/>
  <c r="N75" i="22"/>
  <c r="O75" i="22"/>
  <c r="Q75" i="22"/>
  <c r="F75" i="22"/>
  <c r="G75" i="22"/>
  <c r="R75" i="22"/>
  <c r="E75" i="22"/>
  <c r="J75" i="22"/>
  <c r="T75" i="22"/>
  <c r="U75" i="22"/>
  <c r="X75" i="22"/>
  <c r="I75" i="22"/>
  <c r="M75" i="22"/>
  <c r="P75" i="22"/>
  <c r="S75" i="22"/>
  <c r="V75" i="22"/>
  <c r="W75" i="22"/>
  <c r="G81" i="22"/>
  <c r="K81" i="22"/>
  <c r="R81" i="22"/>
  <c r="V81" i="22"/>
  <c r="X81" i="22"/>
  <c r="I81" i="22"/>
  <c r="J81" i="22"/>
  <c r="M81" i="22"/>
  <c r="N81" i="22"/>
  <c r="O81" i="22"/>
  <c r="P81" i="22"/>
  <c r="S81" i="22"/>
  <c r="H81" i="22"/>
  <c r="Q81" i="22"/>
  <c r="T81" i="22"/>
  <c r="U81" i="22"/>
  <c r="W81" i="22"/>
  <c r="E81" i="22"/>
  <c r="F81" i="22"/>
  <c r="L81" i="22"/>
  <c r="X27" i="17"/>
  <c r="C27" i="17" s="1"/>
  <c r="E14" i="14"/>
  <c r="I72" i="23" s="1"/>
  <c r="I85" i="23" s="1"/>
  <c r="E76" i="22"/>
  <c r="H76" i="22"/>
  <c r="I76" i="22"/>
  <c r="L76" i="22"/>
  <c r="N76" i="22"/>
  <c r="P76" i="22"/>
  <c r="Q76" i="22"/>
  <c r="S76" i="22"/>
  <c r="U76" i="22"/>
  <c r="G76" i="22"/>
  <c r="J76" i="22"/>
  <c r="O76" i="22"/>
  <c r="R76" i="22"/>
  <c r="W76" i="22"/>
  <c r="F76" i="22"/>
  <c r="T76" i="22"/>
  <c r="X76" i="22"/>
  <c r="K76" i="22"/>
  <c r="M76" i="22"/>
  <c r="V76" i="22"/>
  <c r="X29" i="17"/>
  <c r="C29" i="17" s="1"/>
  <c r="E15" i="14"/>
  <c r="J72" i="23" s="1"/>
  <c r="J85" i="23" s="1"/>
  <c r="Q73" i="22"/>
  <c r="E73" i="22"/>
  <c r="L73" i="22"/>
  <c r="U73" i="22"/>
  <c r="F73" i="22"/>
  <c r="H73" i="22"/>
  <c r="J73" i="22"/>
  <c r="M73" i="22"/>
  <c r="N73" i="22"/>
  <c r="P73" i="22"/>
  <c r="R73" i="22"/>
  <c r="T73" i="22"/>
  <c r="V73" i="22"/>
  <c r="W73" i="22"/>
  <c r="G73" i="22"/>
  <c r="I73" i="22"/>
  <c r="K73" i="22"/>
  <c r="O73" i="22"/>
  <c r="S73" i="22"/>
  <c r="X73" i="22"/>
  <c r="G74" i="22"/>
  <c r="J74" i="22"/>
  <c r="K74" i="22"/>
  <c r="R74" i="22"/>
  <c r="I74" i="22"/>
  <c r="M74" i="22"/>
  <c r="U74" i="22"/>
  <c r="V74" i="22"/>
  <c r="E74" i="22"/>
  <c r="W74" i="22"/>
  <c r="F74" i="22"/>
  <c r="H74" i="22"/>
  <c r="L74" i="22"/>
  <c r="N74" i="22"/>
  <c r="O74" i="22"/>
  <c r="P74" i="22"/>
  <c r="Q74" i="22"/>
  <c r="S74" i="22"/>
  <c r="T74" i="22"/>
  <c r="X74" i="22"/>
  <c r="BF96" i="13"/>
  <c r="BE150" i="13"/>
  <c r="BE175" i="13" s="1"/>
  <c r="BE200" i="13" s="1"/>
  <c r="BA46" i="13"/>
  <c r="BB48" i="13"/>
  <c r="BA49" i="13"/>
  <c r="X176" i="1"/>
  <c r="X199" i="1" s="1"/>
  <c r="X198" i="1"/>
  <c r="I117" i="1"/>
  <c r="E87" i="1"/>
  <c r="B87" i="1" s="1"/>
  <c r="B97" i="1" s="1"/>
  <c r="B88" i="1"/>
  <c r="F91" i="1" s="1"/>
  <c r="F94" i="1" s="1"/>
  <c r="B98" i="1" s="1"/>
  <c r="I82" i="22" l="1"/>
  <c r="I6" i="22" s="1"/>
  <c r="T82" i="22"/>
  <c r="T6" i="22" s="1"/>
  <c r="M82" i="22"/>
  <c r="M6" i="22" s="1"/>
  <c r="U82" i="22"/>
  <c r="U6" i="22" s="1"/>
  <c r="X82" i="22"/>
  <c r="X6" i="22" s="1"/>
  <c r="S82" i="22"/>
  <c r="S6" i="22" s="1"/>
  <c r="R82" i="22"/>
  <c r="R6" i="22" s="1"/>
  <c r="L82" i="22"/>
  <c r="L6" i="22" s="1"/>
  <c r="E82" i="22"/>
  <c r="E6" i="22" s="1"/>
  <c r="O82" i="22"/>
  <c r="O6" i="22" s="1"/>
  <c r="W82" i="22"/>
  <c r="W6" i="22" s="1"/>
  <c r="P82" i="22"/>
  <c r="P6" i="22" s="1"/>
  <c r="H82" i="22"/>
  <c r="H6" i="22" s="1"/>
  <c r="G82" i="22"/>
  <c r="G6" i="22" s="1"/>
  <c r="J82" i="22"/>
  <c r="J6" i="22" s="1"/>
  <c r="K82" i="22"/>
  <c r="K6" i="22" s="1"/>
  <c r="V82" i="22"/>
  <c r="V6" i="22" s="1"/>
  <c r="N82" i="22"/>
  <c r="N6" i="22" s="1"/>
  <c r="F82" i="22"/>
  <c r="F6" i="22" s="1"/>
  <c r="Q82" i="22"/>
  <c r="Q6" i="22" s="1"/>
  <c r="C32" i="17"/>
  <c r="T90" i="22"/>
  <c r="T91" i="22" s="1"/>
  <c r="T7" i="22" s="1"/>
  <c r="T10" i="22" s="1"/>
  <c r="V13" i="14" s="1"/>
  <c r="T21" i="17" s="1"/>
  <c r="F90" i="22"/>
  <c r="F91" i="22" s="1"/>
  <c r="F7" i="22" s="1"/>
  <c r="P90" i="22"/>
  <c r="P91" i="22" s="1"/>
  <c r="P7" i="22" s="1"/>
  <c r="I90" i="22"/>
  <c r="I91" i="22" s="1"/>
  <c r="I7" i="22" s="1"/>
  <c r="I10" i="22" s="1"/>
  <c r="K13" i="14" s="1"/>
  <c r="I21" i="17" s="1"/>
  <c r="M90" i="22"/>
  <c r="M91" i="22" s="1"/>
  <c r="M7" i="22" s="1"/>
  <c r="M10" i="22" s="1"/>
  <c r="O13" i="14" s="1"/>
  <c r="M21" i="17" s="1"/>
  <c r="S90" i="22"/>
  <c r="S91" i="22" s="1"/>
  <c r="S7" i="22" s="1"/>
  <c r="K90" i="22"/>
  <c r="K91" i="22" s="1"/>
  <c r="K7" i="22" s="1"/>
  <c r="J90" i="22"/>
  <c r="J91" i="22" s="1"/>
  <c r="J7" i="22" s="1"/>
  <c r="O90" i="22"/>
  <c r="O91" i="22" s="1"/>
  <c r="O7" i="22" s="1"/>
  <c r="U90" i="22"/>
  <c r="U91" i="22" s="1"/>
  <c r="U7" i="22" s="1"/>
  <c r="U10" i="22" s="1"/>
  <c r="W13" i="14" s="1"/>
  <c r="U21" i="17" s="1"/>
  <c r="W90" i="22"/>
  <c r="W91" i="22" s="1"/>
  <c r="W7" i="22" s="1"/>
  <c r="X90" i="22"/>
  <c r="X91" i="22" s="1"/>
  <c r="X7" i="22" s="1"/>
  <c r="V90" i="22"/>
  <c r="V91" i="22" s="1"/>
  <c r="V7" i="22" s="1"/>
  <c r="G90" i="22"/>
  <c r="G91" i="22" s="1"/>
  <c r="G7" i="22" s="1"/>
  <c r="N90" i="22"/>
  <c r="N91" i="22" s="1"/>
  <c r="N7" i="22" s="1"/>
  <c r="R90" i="22"/>
  <c r="R91" i="22" s="1"/>
  <c r="R7" i="22" s="1"/>
  <c r="E90" i="22"/>
  <c r="E91" i="22" s="1"/>
  <c r="E7" i="22" s="1"/>
  <c r="H90" i="22"/>
  <c r="H91" i="22" s="1"/>
  <c r="H7" i="22" s="1"/>
  <c r="L90" i="22"/>
  <c r="L91" i="22" s="1"/>
  <c r="L7" i="22" s="1"/>
  <c r="Q90" i="22"/>
  <c r="Q91" i="22" s="1"/>
  <c r="Q7" i="22" s="1"/>
  <c r="BG96" i="13"/>
  <c r="BF150" i="13"/>
  <c r="BC48" i="13"/>
  <c r="BB49" i="13"/>
  <c r="BB46" i="13"/>
  <c r="B99" i="1"/>
  <c r="W10" i="22" l="1"/>
  <c r="Y13" i="14" s="1"/>
  <c r="W21" i="17" s="1"/>
  <c r="V10" i="22"/>
  <c r="X13" i="14" s="1"/>
  <c r="V21" i="17" s="1"/>
  <c r="O10" i="22"/>
  <c r="Q13" i="14" s="1"/>
  <c r="O21" i="17" s="1"/>
  <c r="L10" i="22"/>
  <c r="N13" i="14" s="1"/>
  <c r="L21" i="17" s="1"/>
  <c r="T72" i="15"/>
  <c r="U19" i="17"/>
  <c r="I19" i="17"/>
  <c r="H72" i="15"/>
  <c r="F10" i="22"/>
  <c r="H13" i="14" s="1"/>
  <c r="F21" i="17" s="1"/>
  <c r="J10" i="22"/>
  <c r="L13" i="14" s="1"/>
  <c r="J21" i="17" s="1"/>
  <c r="H10" i="22"/>
  <c r="J13" i="14" s="1"/>
  <c r="H21" i="17" s="1"/>
  <c r="S10" i="22"/>
  <c r="U13" i="14" s="1"/>
  <c r="S21" i="17" s="1"/>
  <c r="N10" i="22"/>
  <c r="P13" i="14" s="1"/>
  <c r="N21" i="17" s="1"/>
  <c r="G10" i="22"/>
  <c r="I13" i="14" s="1"/>
  <c r="G21" i="17" s="1"/>
  <c r="P10" i="22"/>
  <c r="R13" i="14" s="1"/>
  <c r="P21" i="17" s="1"/>
  <c r="E10" i="22"/>
  <c r="G13" i="14" s="1"/>
  <c r="U72" i="15"/>
  <c r="V19" i="17"/>
  <c r="V72" i="15"/>
  <c r="W19" i="17"/>
  <c r="L19" i="17"/>
  <c r="K72" i="15"/>
  <c r="S72" i="15"/>
  <c r="T19" i="17"/>
  <c r="Q10" i="22"/>
  <c r="S13" i="14" s="1"/>
  <c r="Q21" i="17" s="1"/>
  <c r="K10" i="22"/>
  <c r="M13" i="14" s="1"/>
  <c r="K21" i="17" s="1"/>
  <c r="L72" i="15"/>
  <c r="M19" i="17"/>
  <c r="N72" i="15"/>
  <c r="O19" i="17"/>
  <c r="R10" i="22"/>
  <c r="T13" i="14" s="1"/>
  <c r="R21" i="17" s="1"/>
  <c r="X10" i="22"/>
  <c r="Z13" i="14" s="1"/>
  <c r="X21" i="17" s="1"/>
  <c r="BF175" i="13"/>
  <c r="BH96" i="13"/>
  <c r="BG150" i="13"/>
  <c r="BC46" i="13"/>
  <c r="BC49" i="13"/>
  <c r="BD48" i="13"/>
  <c r="D31" i="1"/>
  <c r="C31" i="1"/>
  <c r="C30" i="1"/>
  <c r="B32" i="1"/>
  <c r="C86" i="15" s="1"/>
  <c r="C98" i="15" s="1"/>
  <c r="J38" i="1"/>
  <c r="C27" i="1"/>
  <c r="B27" i="1"/>
  <c r="C24" i="1"/>
  <c r="B24" i="1"/>
  <c r="W72" i="15" l="1"/>
  <c r="X19" i="17"/>
  <c r="O72" i="15"/>
  <c r="P19" i="17"/>
  <c r="K19" i="17"/>
  <c r="J72" i="15"/>
  <c r="H19" i="17"/>
  <c r="G72" i="15"/>
  <c r="P72" i="15"/>
  <c r="Q19" i="17"/>
  <c r="G19" i="17"/>
  <c r="F72" i="15"/>
  <c r="J19" i="17"/>
  <c r="I72" i="15"/>
  <c r="R72" i="15"/>
  <c r="S19" i="17"/>
  <c r="Q72" i="15"/>
  <c r="R19" i="17"/>
  <c r="E21" i="17"/>
  <c r="E13" i="14"/>
  <c r="G72" i="23" s="1"/>
  <c r="G85" i="23" s="1"/>
  <c r="M72" i="15"/>
  <c r="N19" i="17"/>
  <c r="E72" i="15"/>
  <c r="F19" i="17"/>
  <c r="BG175" i="13"/>
  <c r="BF200" i="13"/>
  <c r="X265" i="1"/>
  <c r="X270" i="1"/>
  <c r="X261" i="1"/>
  <c r="B256" i="1"/>
  <c r="X267" i="1"/>
  <c r="X262" i="1"/>
  <c r="X272" i="1"/>
  <c r="X266" i="1"/>
  <c r="X260" i="1"/>
  <c r="BI96" i="13"/>
  <c r="BH150" i="13"/>
  <c r="BE48" i="13"/>
  <c r="BD49" i="13"/>
  <c r="BD46" i="13"/>
  <c r="Z204" i="1"/>
  <c r="Y205" i="1"/>
  <c r="Z205" i="1" s="1"/>
  <c r="AA205" i="1" s="1"/>
  <c r="Q204" i="1"/>
  <c r="R204" i="1" s="1"/>
  <c r="Q205" i="1"/>
  <c r="R205" i="1" s="1"/>
  <c r="S205" i="1" s="1"/>
  <c r="Q216" i="1"/>
  <c r="R216" i="1" s="1"/>
  <c r="S216" i="1" s="1"/>
  <c r="Y206" i="1"/>
  <c r="Z206" i="1" s="1"/>
  <c r="AA206" i="1" s="1"/>
  <c r="Y209" i="1"/>
  <c r="Z209" i="1" s="1"/>
  <c r="AA209" i="1" s="1"/>
  <c r="Y212" i="1"/>
  <c r="Z212" i="1" s="1"/>
  <c r="AA212" i="1" s="1"/>
  <c r="Q208" i="1"/>
  <c r="R208" i="1" s="1"/>
  <c r="S208" i="1" s="1"/>
  <c r="Y219" i="1"/>
  <c r="Z219" i="1" s="1"/>
  <c r="AA219" i="1" s="1"/>
  <c r="Y207" i="1"/>
  <c r="Z207" i="1" s="1"/>
  <c r="AA207" i="1" s="1"/>
  <c r="Q220" i="1"/>
  <c r="R220" i="1" s="1"/>
  <c r="S220" i="1" s="1"/>
  <c r="Q221" i="1"/>
  <c r="R221" i="1" s="1"/>
  <c r="S221" i="1" s="1"/>
  <c r="Y222" i="1"/>
  <c r="Z222" i="1" s="1"/>
  <c r="AA222" i="1" s="1"/>
  <c r="Q218" i="1"/>
  <c r="R218" i="1" s="1"/>
  <c r="S218" i="1" s="1"/>
  <c r="Y208" i="1"/>
  <c r="Z208" i="1" s="1"/>
  <c r="AA208" i="1" s="1"/>
  <c r="Y211" i="1"/>
  <c r="Z211" i="1" s="1"/>
  <c r="AA211" i="1" s="1"/>
  <c r="Q214" i="1"/>
  <c r="R214" i="1" s="1"/>
  <c r="S214" i="1" s="1"/>
  <c r="Y220" i="1"/>
  <c r="Z220" i="1" s="1"/>
  <c r="AA220" i="1" s="1"/>
  <c r="Y216" i="1"/>
  <c r="Z216" i="1" s="1"/>
  <c r="AA216" i="1" s="1"/>
  <c r="Q211" i="1"/>
  <c r="R211" i="1" s="1"/>
  <c r="S211" i="1" s="1"/>
  <c r="Q210" i="1"/>
  <c r="R210" i="1" s="1"/>
  <c r="S210" i="1" s="1"/>
  <c r="Q217" i="1"/>
  <c r="R217" i="1" s="1"/>
  <c r="S217" i="1" s="1"/>
  <c r="Q215" i="1"/>
  <c r="R215" i="1" s="1"/>
  <c r="S215" i="1" s="1"/>
  <c r="Y218" i="1"/>
  <c r="Z218" i="1" s="1"/>
  <c r="AA218" i="1" s="1"/>
  <c r="Y221" i="1"/>
  <c r="Z221" i="1" s="1"/>
  <c r="AA221" i="1" s="1"/>
  <c r="Y214" i="1"/>
  <c r="Z214" i="1" s="1"/>
  <c r="AA214" i="1" s="1"/>
  <c r="Y217" i="1"/>
  <c r="Z217" i="1" s="1"/>
  <c r="AA217" i="1" s="1"/>
  <c r="Y213" i="1"/>
  <c r="Z213" i="1" s="1"/>
  <c r="AA213" i="1" s="1"/>
  <c r="Q206" i="1"/>
  <c r="R206" i="1" s="1"/>
  <c r="S206" i="1" s="1"/>
  <c r="Q209" i="1"/>
  <c r="R209" i="1" s="1"/>
  <c r="S209" i="1" s="1"/>
  <c r="Y215" i="1"/>
  <c r="Z215" i="1" s="1"/>
  <c r="AA215" i="1" s="1"/>
  <c r="Q219" i="1"/>
  <c r="R219" i="1" s="1"/>
  <c r="S219" i="1" s="1"/>
  <c r="Q207" i="1"/>
  <c r="R207" i="1" s="1"/>
  <c r="S207" i="1" s="1"/>
  <c r="Y210" i="1"/>
  <c r="Z210" i="1" s="1"/>
  <c r="AA210" i="1" s="1"/>
  <c r="Q212" i="1"/>
  <c r="R212" i="1" s="1"/>
  <c r="S212" i="1" s="1"/>
  <c r="Q222" i="1"/>
  <c r="R222" i="1" s="1"/>
  <c r="S222" i="1" s="1"/>
  <c r="Q213" i="1"/>
  <c r="R213" i="1" s="1"/>
  <c r="S213" i="1" s="1"/>
  <c r="B30" i="1"/>
  <c r="N204" i="1"/>
  <c r="I218" i="1"/>
  <c r="J218" i="1" s="1"/>
  <c r="K218" i="1" s="1"/>
  <c r="I220" i="1"/>
  <c r="J220" i="1" s="1"/>
  <c r="K220" i="1" s="1"/>
  <c r="I211" i="1"/>
  <c r="J211" i="1" s="1"/>
  <c r="K211" i="1" s="1"/>
  <c r="I221" i="1"/>
  <c r="J221" i="1" s="1"/>
  <c r="K221" i="1" s="1"/>
  <c r="I204" i="1"/>
  <c r="J204" i="1" s="1"/>
  <c r="I222" i="1"/>
  <c r="J222" i="1" s="1"/>
  <c r="K222" i="1" s="1"/>
  <c r="I215" i="1"/>
  <c r="J215" i="1" s="1"/>
  <c r="K215" i="1" s="1"/>
  <c r="I213" i="1"/>
  <c r="J213" i="1" s="1"/>
  <c r="K213" i="1" s="1"/>
  <c r="I217" i="1"/>
  <c r="J217" i="1" s="1"/>
  <c r="K217" i="1" s="1"/>
  <c r="I205" i="1"/>
  <c r="J205" i="1" s="1"/>
  <c r="K205" i="1" s="1"/>
  <c r="I210" i="1"/>
  <c r="J210" i="1" s="1"/>
  <c r="K210" i="1" s="1"/>
  <c r="I208" i="1"/>
  <c r="J208" i="1" s="1"/>
  <c r="K208" i="1" s="1"/>
  <c r="I212" i="1"/>
  <c r="J212" i="1" s="1"/>
  <c r="K212" i="1" s="1"/>
  <c r="I209" i="1"/>
  <c r="J209" i="1" s="1"/>
  <c r="K209" i="1" s="1"/>
  <c r="I214" i="1"/>
  <c r="J214" i="1" s="1"/>
  <c r="K214" i="1" s="1"/>
  <c r="I216" i="1"/>
  <c r="J216" i="1" s="1"/>
  <c r="K216" i="1" s="1"/>
  <c r="I207" i="1"/>
  <c r="J207" i="1" s="1"/>
  <c r="K207" i="1" s="1"/>
  <c r="I206" i="1"/>
  <c r="J206" i="1" s="1"/>
  <c r="K206" i="1" s="1"/>
  <c r="I219" i="1"/>
  <c r="J219" i="1" s="1"/>
  <c r="K219" i="1" s="1"/>
  <c r="E160" i="1"/>
  <c r="F160" i="1" s="1"/>
  <c r="G160" i="1" s="1"/>
  <c r="L209" i="1"/>
  <c r="M209" i="1" s="1"/>
  <c r="N209" i="1" s="1"/>
  <c r="L213" i="1"/>
  <c r="M213" i="1" s="1"/>
  <c r="N213" i="1" s="1"/>
  <c r="L217" i="1"/>
  <c r="M217" i="1" s="1"/>
  <c r="N217" i="1" s="1"/>
  <c r="L221" i="1"/>
  <c r="M221" i="1" s="1"/>
  <c r="N221" i="1" s="1"/>
  <c r="E209" i="1"/>
  <c r="F209" i="1" s="1"/>
  <c r="G209" i="1" s="1"/>
  <c r="E213" i="1"/>
  <c r="F213" i="1" s="1"/>
  <c r="G213" i="1" s="1"/>
  <c r="E217" i="1"/>
  <c r="F217" i="1" s="1"/>
  <c r="G217" i="1" s="1"/>
  <c r="E221" i="1"/>
  <c r="F221" i="1" s="1"/>
  <c r="G221" i="1" s="1"/>
  <c r="E204" i="1"/>
  <c r="F204" i="1" s="1"/>
  <c r="G204" i="1" s="1"/>
  <c r="L211" i="1"/>
  <c r="M211" i="1" s="1"/>
  <c r="N211" i="1" s="1"/>
  <c r="L216" i="1"/>
  <c r="M216" i="1" s="1"/>
  <c r="N216" i="1" s="1"/>
  <c r="L222" i="1"/>
  <c r="M222" i="1" s="1"/>
  <c r="N222" i="1" s="1"/>
  <c r="E207" i="1"/>
  <c r="F207" i="1" s="1"/>
  <c r="G207" i="1" s="1"/>
  <c r="E212" i="1"/>
  <c r="F212" i="1" s="1"/>
  <c r="G212" i="1" s="1"/>
  <c r="E218" i="1"/>
  <c r="F218" i="1" s="1"/>
  <c r="G218" i="1" s="1"/>
  <c r="E206" i="1"/>
  <c r="F206" i="1" s="1"/>
  <c r="G206" i="1" s="1"/>
  <c r="L207" i="1"/>
  <c r="M207" i="1" s="1"/>
  <c r="N207" i="1" s="1"/>
  <c r="L212" i="1"/>
  <c r="M212" i="1" s="1"/>
  <c r="N212" i="1" s="1"/>
  <c r="L218" i="1"/>
  <c r="M218" i="1" s="1"/>
  <c r="N218" i="1" s="1"/>
  <c r="L206" i="1"/>
  <c r="M206" i="1" s="1"/>
  <c r="N206" i="1" s="1"/>
  <c r="E208" i="1"/>
  <c r="F208" i="1" s="1"/>
  <c r="G208" i="1" s="1"/>
  <c r="E214" i="1"/>
  <c r="F214" i="1" s="1"/>
  <c r="G214" i="1" s="1"/>
  <c r="E219" i="1"/>
  <c r="F219" i="1" s="1"/>
  <c r="G219" i="1" s="1"/>
  <c r="L219" i="1"/>
  <c r="M219" i="1" s="1"/>
  <c r="N219" i="1" s="1"/>
  <c r="E222" i="1"/>
  <c r="F222" i="1" s="1"/>
  <c r="G222" i="1" s="1"/>
  <c r="L214" i="1"/>
  <c r="M214" i="1" s="1"/>
  <c r="N214" i="1" s="1"/>
  <c r="L205" i="1"/>
  <c r="M205" i="1" s="1"/>
  <c r="E215" i="1"/>
  <c r="F215" i="1" s="1"/>
  <c r="G215" i="1" s="1"/>
  <c r="E205" i="1"/>
  <c r="F205" i="1" s="1"/>
  <c r="G205" i="1" s="1"/>
  <c r="L215" i="1"/>
  <c r="M215" i="1" s="1"/>
  <c r="N215" i="1" s="1"/>
  <c r="E216" i="1"/>
  <c r="F216" i="1" s="1"/>
  <c r="G216" i="1" s="1"/>
  <c r="L208" i="1"/>
  <c r="M208" i="1" s="1"/>
  <c r="N208" i="1" s="1"/>
  <c r="E210" i="1"/>
  <c r="F210" i="1" s="1"/>
  <c r="G210" i="1" s="1"/>
  <c r="E220" i="1"/>
  <c r="F220" i="1" s="1"/>
  <c r="G220" i="1" s="1"/>
  <c r="L210" i="1"/>
  <c r="M210" i="1" s="1"/>
  <c r="N210" i="1" s="1"/>
  <c r="L220" i="1"/>
  <c r="M220" i="1" s="1"/>
  <c r="N220" i="1" s="1"/>
  <c r="E211" i="1"/>
  <c r="F211" i="1" s="1"/>
  <c r="G211" i="1" s="1"/>
  <c r="B31" i="1"/>
  <c r="C85" i="15" s="1"/>
  <c r="N205" i="1" l="1"/>
  <c r="N223" i="1" s="1"/>
  <c r="B229" i="1" s="1"/>
  <c r="M223" i="1"/>
  <c r="T160" i="1"/>
  <c r="U160" i="1" s="1"/>
  <c r="V160" i="1" s="1"/>
  <c r="C84" i="15"/>
  <c r="C95" i="15" s="1"/>
  <c r="H30" i="1"/>
  <c r="G66" i="23" s="1"/>
  <c r="G79" i="23" s="1"/>
  <c r="H31" i="1"/>
  <c r="G70" i="23" s="1"/>
  <c r="G83" i="23" s="1"/>
  <c r="Q158" i="1"/>
  <c r="T158" i="1"/>
  <c r="E158" i="1"/>
  <c r="E19" i="17"/>
  <c r="C23" i="17" s="1"/>
  <c r="D72" i="15"/>
  <c r="C21" i="17"/>
  <c r="C97" i="15"/>
  <c r="C96" i="15"/>
  <c r="B29" i="1"/>
  <c r="C256" i="1"/>
  <c r="B339" i="1"/>
  <c r="BH175" i="13"/>
  <c r="BG200" i="13"/>
  <c r="BJ96" i="13"/>
  <c r="BI150" i="13"/>
  <c r="BE46" i="13"/>
  <c r="BF48" i="13"/>
  <c r="BE49" i="13"/>
  <c r="L159" i="1"/>
  <c r="M159" i="1" s="1"/>
  <c r="N159" i="1" s="1"/>
  <c r="L169" i="1"/>
  <c r="M169" i="1" s="1"/>
  <c r="N169" i="1" s="1"/>
  <c r="L165" i="1"/>
  <c r="M165" i="1" s="1"/>
  <c r="N165" i="1" s="1"/>
  <c r="T163" i="1"/>
  <c r="U163" i="1" s="1"/>
  <c r="V163" i="1" s="1"/>
  <c r="L163" i="1"/>
  <c r="M163" i="1" s="1"/>
  <c r="N163" i="1" s="1"/>
  <c r="T167" i="1"/>
  <c r="U167" i="1" s="1"/>
  <c r="V167" i="1" s="1"/>
  <c r="L166" i="1"/>
  <c r="M166" i="1" s="1"/>
  <c r="N166" i="1" s="1"/>
  <c r="L172" i="1"/>
  <c r="M172" i="1" s="1"/>
  <c r="N172" i="1" s="1"/>
  <c r="T173" i="1"/>
  <c r="U173" i="1" s="1"/>
  <c r="V173" i="1" s="1"/>
  <c r="E175" i="1"/>
  <c r="F175" i="1" s="1"/>
  <c r="G175" i="1" s="1"/>
  <c r="L162" i="1"/>
  <c r="M162" i="1" s="1"/>
  <c r="N162" i="1" s="1"/>
  <c r="L168" i="1"/>
  <c r="M168" i="1" s="1"/>
  <c r="N168" i="1" s="1"/>
  <c r="T165" i="1"/>
  <c r="U165" i="1" s="1"/>
  <c r="V165" i="1" s="1"/>
  <c r="E163" i="1"/>
  <c r="F163" i="1" s="1"/>
  <c r="G163" i="1" s="1"/>
  <c r="E166" i="1"/>
  <c r="F166" i="1" s="1"/>
  <c r="G166" i="1" s="1"/>
  <c r="E169" i="1"/>
  <c r="F169" i="1" s="1"/>
  <c r="G169" i="1" s="1"/>
  <c r="E172" i="1"/>
  <c r="F172" i="1" s="1"/>
  <c r="G172" i="1" s="1"/>
  <c r="V158" i="1"/>
  <c r="T174" i="1"/>
  <c r="U174" i="1" s="1"/>
  <c r="V174" i="1" s="1"/>
  <c r="T172" i="1"/>
  <c r="U172" i="1" s="1"/>
  <c r="V172" i="1" s="1"/>
  <c r="L175" i="1"/>
  <c r="M175" i="1" s="1"/>
  <c r="N175" i="1" s="1"/>
  <c r="E162" i="1"/>
  <c r="F162" i="1" s="1"/>
  <c r="G162" i="1" s="1"/>
  <c r="E165" i="1"/>
  <c r="F165" i="1" s="1"/>
  <c r="G165" i="1" s="1"/>
  <c r="E168" i="1"/>
  <c r="F168" i="1" s="1"/>
  <c r="G168" i="1" s="1"/>
  <c r="T169" i="1"/>
  <c r="U169" i="1" s="1"/>
  <c r="V169" i="1" s="1"/>
  <c r="T170" i="1"/>
  <c r="U170" i="1" s="1"/>
  <c r="V170" i="1" s="1"/>
  <c r="T168" i="1"/>
  <c r="U168" i="1" s="1"/>
  <c r="V168" i="1" s="1"/>
  <c r="E171" i="1"/>
  <c r="F171" i="1" s="1"/>
  <c r="G171" i="1" s="1"/>
  <c r="L171" i="1"/>
  <c r="M171" i="1" s="1"/>
  <c r="N171" i="1" s="1"/>
  <c r="E174" i="1"/>
  <c r="F174" i="1" s="1"/>
  <c r="G174" i="1" s="1"/>
  <c r="L174" i="1"/>
  <c r="M174" i="1" s="1"/>
  <c r="N174" i="1" s="1"/>
  <c r="E159" i="1"/>
  <c r="F159" i="1" s="1"/>
  <c r="G159" i="1" s="1"/>
  <c r="E161" i="1"/>
  <c r="F161" i="1" s="1"/>
  <c r="G161" i="1" s="1"/>
  <c r="L161" i="1"/>
  <c r="M161" i="1" s="1"/>
  <c r="N161" i="1" s="1"/>
  <c r="E164" i="1"/>
  <c r="F164" i="1" s="1"/>
  <c r="G164" i="1" s="1"/>
  <c r="L164" i="1"/>
  <c r="M164" i="1" s="1"/>
  <c r="N164" i="1" s="1"/>
  <c r="T175" i="1"/>
  <c r="U175" i="1" s="1"/>
  <c r="V175" i="1" s="1"/>
  <c r="T159" i="1"/>
  <c r="U159" i="1" s="1"/>
  <c r="V159" i="1" s="1"/>
  <c r="T166" i="1"/>
  <c r="U166" i="1" s="1"/>
  <c r="V166" i="1" s="1"/>
  <c r="T161" i="1"/>
  <c r="U161" i="1" s="1"/>
  <c r="V161" i="1" s="1"/>
  <c r="T164" i="1"/>
  <c r="U164" i="1" s="1"/>
  <c r="V164" i="1" s="1"/>
  <c r="E167" i="1"/>
  <c r="F167" i="1" s="1"/>
  <c r="G167" i="1" s="1"/>
  <c r="L167" i="1"/>
  <c r="M167" i="1" s="1"/>
  <c r="N167" i="1" s="1"/>
  <c r="E170" i="1"/>
  <c r="F170" i="1" s="1"/>
  <c r="G170" i="1" s="1"/>
  <c r="L170" i="1"/>
  <c r="M170" i="1" s="1"/>
  <c r="N170" i="1" s="1"/>
  <c r="E173" i="1"/>
  <c r="F173" i="1" s="1"/>
  <c r="G173" i="1" s="1"/>
  <c r="L173" i="1"/>
  <c r="M173" i="1" s="1"/>
  <c r="N173" i="1" s="1"/>
  <c r="E176" i="1"/>
  <c r="F176" i="1" s="1"/>
  <c r="G176" i="1" s="1"/>
  <c r="L176" i="1"/>
  <c r="M176" i="1" s="1"/>
  <c r="N176" i="1" s="1"/>
  <c r="L160" i="1"/>
  <c r="M160" i="1" s="1"/>
  <c r="N160" i="1" s="1"/>
  <c r="T171" i="1"/>
  <c r="U171" i="1" s="1"/>
  <c r="V171" i="1" s="1"/>
  <c r="L158" i="1"/>
  <c r="M158" i="1" s="1"/>
  <c r="N158" i="1" s="1"/>
  <c r="T162" i="1"/>
  <c r="U162" i="1" s="1"/>
  <c r="V162" i="1" s="1"/>
  <c r="T176" i="1"/>
  <c r="U176" i="1" s="1"/>
  <c r="V176" i="1" s="1"/>
  <c r="Y181" i="1"/>
  <c r="Z181" i="1" s="1"/>
  <c r="Y182" i="1"/>
  <c r="Q181" i="1"/>
  <c r="R181" i="1" s="1"/>
  <c r="Q182" i="1"/>
  <c r="R182" i="1" s="1"/>
  <c r="S182" i="1" s="1"/>
  <c r="Q193" i="1"/>
  <c r="R193" i="1" s="1"/>
  <c r="S193" i="1" s="1"/>
  <c r="Q183" i="1"/>
  <c r="R183" i="1" s="1"/>
  <c r="S183" i="1" s="1"/>
  <c r="Y195" i="1"/>
  <c r="Y198" i="1"/>
  <c r="Q198" i="1"/>
  <c r="R198" i="1" s="1"/>
  <c r="S198" i="1" s="1"/>
  <c r="Y191" i="1"/>
  <c r="Y194" i="1"/>
  <c r="Q194" i="1"/>
  <c r="R194" i="1" s="1"/>
  <c r="S194" i="1" s="1"/>
  <c r="Y190" i="1"/>
  <c r="Q189" i="1"/>
  <c r="R189" i="1" s="1"/>
  <c r="S189" i="1" s="1"/>
  <c r="Q196" i="1"/>
  <c r="R196" i="1" s="1"/>
  <c r="S196" i="1" s="1"/>
  <c r="Q184" i="1"/>
  <c r="R184" i="1" s="1"/>
  <c r="S184" i="1" s="1"/>
  <c r="Y183" i="1"/>
  <c r="Y192" i="1"/>
  <c r="Q186" i="1"/>
  <c r="R186" i="1" s="1"/>
  <c r="S186" i="1" s="1"/>
  <c r="Q192" i="1"/>
  <c r="R192" i="1" s="1"/>
  <c r="S192" i="1" s="1"/>
  <c r="Q195" i="1"/>
  <c r="R195" i="1" s="1"/>
  <c r="S195" i="1" s="1"/>
  <c r="Y187" i="1"/>
  <c r="Q188" i="1"/>
  <c r="R188" i="1" s="1"/>
  <c r="S188" i="1" s="1"/>
  <c r="Y186" i="1"/>
  <c r="Y189" i="1"/>
  <c r="Y185" i="1"/>
  <c r="Y196" i="1"/>
  <c r="Q185" i="1"/>
  <c r="R185" i="1" s="1"/>
  <c r="S185" i="1" s="1"/>
  <c r="Y184" i="1"/>
  <c r="Q197" i="1"/>
  <c r="R197" i="1" s="1"/>
  <c r="S197" i="1" s="1"/>
  <c r="Q190" i="1"/>
  <c r="R190" i="1" s="1"/>
  <c r="S190" i="1" s="1"/>
  <c r="Q187" i="1"/>
  <c r="R187" i="1" s="1"/>
  <c r="S187" i="1" s="1"/>
  <c r="Y199" i="1"/>
  <c r="Q199" i="1"/>
  <c r="Y188" i="1"/>
  <c r="Y197" i="1"/>
  <c r="Y193" i="1"/>
  <c r="Q191" i="1"/>
  <c r="R191" i="1" s="1"/>
  <c r="S191" i="1" s="1"/>
  <c r="AA204" i="1"/>
  <c r="AA223" i="1" s="1"/>
  <c r="Z223" i="1"/>
  <c r="Y159" i="1"/>
  <c r="Y169" i="1"/>
  <c r="Y164" i="1"/>
  <c r="Y163" i="1"/>
  <c r="Y166" i="1"/>
  <c r="Y173" i="1"/>
  <c r="Y161" i="1"/>
  <c r="Y176" i="1"/>
  <c r="Y160" i="1"/>
  <c r="Y165" i="1"/>
  <c r="Y174" i="1"/>
  <c r="Y170" i="1"/>
  <c r="Y172" i="1"/>
  <c r="Y175" i="1"/>
  <c r="Y162" i="1"/>
  <c r="Y168" i="1"/>
  <c r="Y171" i="1"/>
  <c r="Y167" i="1"/>
  <c r="S204" i="1"/>
  <c r="S223" i="1" s="1"/>
  <c r="R223" i="1"/>
  <c r="I181" i="1"/>
  <c r="J181" i="1" s="1"/>
  <c r="I195" i="1"/>
  <c r="J195" i="1" s="1"/>
  <c r="K195" i="1" s="1"/>
  <c r="I184" i="1"/>
  <c r="J184" i="1" s="1"/>
  <c r="K184" i="1" s="1"/>
  <c r="I183" i="1"/>
  <c r="J183" i="1" s="1"/>
  <c r="K183" i="1" s="1"/>
  <c r="I186" i="1"/>
  <c r="J186" i="1" s="1"/>
  <c r="K186" i="1" s="1"/>
  <c r="I199" i="1"/>
  <c r="J199" i="1" s="1"/>
  <c r="K199" i="1" s="1"/>
  <c r="I185" i="1"/>
  <c r="J185" i="1" s="1"/>
  <c r="K185" i="1" s="1"/>
  <c r="I188" i="1"/>
  <c r="J188" i="1" s="1"/>
  <c r="K188" i="1" s="1"/>
  <c r="I194" i="1"/>
  <c r="J194" i="1" s="1"/>
  <c r="K194" i="1" s="1"/>
  <c r="I187" i="1"/>
  <c r="J187" i="1" s="1"/>
  <c r="K187" i="1" s="1"/>
  <c r="I189" i="1"/>
  <c r="J189" i="1" s="1"/>
  <c r="K189" i="1" s="1"/>
  <c r="I192" i="1"/>
  <c r="J192" i="1" s="1"/>
  <c r="K192" i="1" s="1"/>
  <c r="I182" i="1"/>
  <c r="J182" i="1" s="1"/>
  <c r="K182" i="1" s="1"/>
  <c r="I191" i="1"/>
  <c r="J191" i="1" s="1"/>
  <c r="K191" i="1" s="1"/>
  <c r="I197" i="1"/>
  <c r="J197" i="1" s="1"/>
  <c r="K197" i="1" s="1"/>
  <c r="I196" i="1"/>
  <c r="J196" i="1" s="1"/>
  <c r="K196" i="1" s="1"/>
  <c r="I193" i="1"/>
  <c r="J193" i="1" s="1"/>
  <c r="K193" i="1" s="1"/>
  <c r="I198" i="1"/>
  <c r="J198" i="1" s="1"/>
  <c r="K198" i="1" s="1"/>
  <c r="I190" i="1"/>
  <c r="J190" i="1" s="1"/>
  <c r="K190" i="1" s="1"/>
  <c r="J223" i="1"/>
  <c r="K204" i="1"/>
  <c r="K223" i="1" s="1"/>
  <c r="Q168" i="1"/>
  <c r="R168" i="1" s="1"/>
  <c r="S168" i="1" s="1"/>
  <c r="G158" i="1"/>
  <c r="R158" i="1"/>
  <c r="Q169" i="1"/>
  <c r="R169" i="1" s="1"/>
  <c r="S169" i="1" s="1"/>
  <c r="Q161" i="1"/>
  <c r="R161" i="1" s="1"/>
  <c r="S161" i="1" s="1"/>
  <c r="Q170" i="1"/>
  <c r="R170" i="1" s="1"/>
  <c r="S170" i="1" s="1"/>
  <c r="Q173" i="1"/>
  <c r="R173" i="1" s="1"/>
  <c r="S173" i="1" s="1"/>
  <c r="Q160" i="1"/>
  <c r="R160" i="1" s="1"/>
  <c r="S160" i="1" s="1"/>
  <c r="Q162" i="1"/>
  <c r="R162" i="1" s="1"/>
  <c r="S162" i="1" s="1"/>
  <c r="Q163" i="1"/>
  <c r="R163" i="1" s="1"/>
  <c r="S163" i="1" s="1"/>
  <c r="Q171" i="1"/>
  <c r="R171" i="1" s="1"/>
  <c r="S171" i="1" s="1"/>
  <c r="Q159" i="1"/>
  <c r="R159" i="1" s="1"/>
  <c r="S159" i="1" s="1"/>
  <c r="Q172" i="1"/>
  <c r="R172" i="1" s="1"/>
  <c r="S172" i="1" s="1"/>
  <c r="Q164" i="1"/>
  <c r="R164" i="1" s="1"/>
  <c r="S164" i="1" s="1"/>
  <c r="Q174" i="1"/>
  <c r="R174" i="1" s="1"/>
  <c r="S174" i="1" s="1"/>
  <c r="Q165" i="1"/>
  <c r="R165" i="1" s="1"/>
  <c r="S165" i="1" s="1"/>
  <c r="Q175" i="1"/>
  <c r="R175" i="1" s="1"/>
  <c r="S175" i="1" s="1"/>
  <c r="Q176" i="1"/>
  <c r="R176" i="1" s="1"/>
  <c r="S176" i="1" s="1"/>
  <c r="Q166" i="1"/>
  <c r="R166" i="1" s="1"/>
  <c r="S166" i="1" s="1"/>
  <c r="Q167" i="1"/>
  <c r="R167" i="1" s="1"/>
  <c r="S167" i="1" s="1"/>
  <c r="I159" i="1"/>
  <c r="J159" i="1" s="1"/>
  <c r="K159" i="1" s="1"/>
  <c r="I172" i="1"/>
  <c r="J172" i="1" s="1"/>
  <c r="K172" i="1" s="1"/>
  <c r="I162" i="1"/>
  <c r="J162" i="1" s="1"/>
  <c r="K162" i="1" s="1"/>
  <c r="I173" i="1"/>
  <c r="J173" i="1" s="1"/>
  <c r="K173" i="1" s="1"/>
  <c r="I170" i="1"/>
  <c r="J170" i="1" s="1"/>
  <c r="K170" i="1" s="1"/>
  <c r="I163" i="1"/>
  <c r="J163" i="1" s="1"/>
  <c r="K163" i="1" s="1"/>
  <c r="I167" i="1"/>
  <c r="J167" i="1" s="1"/>
  <c r="K167" i="1" s="1"/>
  <c r="I158" i="1"/>
  <c r="I176" i="1"/>
  <c r="J176" i="1" s="1"/>
  <c r="K176" i="1" s="1"/>
  <c r="I166" i="1"/>
  <c r="J166" i="1" s="1"/>
  <c r="K166" i="1" s="1"/>
  <c r="I161" i="1"/>
  <c r="J161" i="1" s="1"/>
  <c r="K161" i="1" s="1"/>
  <c r="I160" i="1"/>
  <c r="J160" i="1" s="1"/>
  <c r="K160" i="1" s="1"/>
  <c r="I164" i="1"/>
  <c r="J164" i="1" s="1"/>
  <c r="K164" i="1" s="1"/>
  <c r="I174" i="1"/>
  <c r="J174" i="1" s="1"/>
  <c r="K174" i="1" s="1"/>
  <c r="I165" i="1"/>
  <c r="J165" i="1" s="1"/>
  <c r="K165" i="1" s="1"/>
  <c r="I168" i="1"/>
  <c r="J168" i="1" s="1"/>
  <c r="K168" i="1" s="1"/>
  <c r="I169" i="1"/>
  <c r="J169" i="1" s="1"/>
  <c r="K169" i="1" s="1"/>
  <c r="I171" i="1"/>
  <c r="J171" i="1" s="1"/>
  <c r="K171" i="1" s="1"/>
  <c r="I175" i="1"/>
  <c r="J175" i="1" s="1"/>
  <c r="K175" i="1" s="1"/>
  <c r="T222" i="1"/>
  <c r="U222" i="1" s="1"/>
  <c r="V222" i="1" s="1"/>
  <c r="T219" i="1"/>
  <c r="U219" i="1" s="1"/>
  <c r="V219" i="1" s="1"/>
  <c r="T216" i="1"/>
  <c r="U216" i="1" s="1"/>
  <c r="V216" i="1" s="1"/>
  <c r="T211" i="1"/>
  <c r="U211" i="1" s="1"/>
  <c r="V211" i="1" s="1"/>
  <c r="T205" i="1"/>
  <c r="U205" i="1" s="1"/>
  <c r="V205" i="1" s="1"/>
  <c r="T204" i="1"/>
  <c r="U204" i="1" s="1"/>
  <c r="T218" i="1"/>
  <c r="U218" i="1" s="1"/>
  <c r="V218" i="1" s="1"/>
  <c r="T215" i="1"/>
  <c r="U215" i="1" s="1"/>
  <c r="V215" i="1" s="1"/>
  <c r="T207" i="1"/>
  <c r="U207" i="1" s="1"/>
  <c r="V207" i="1" s="1"/>
  <c r="T217" i="1"/>
  <c r="U217" i="1" s="1"/>
  <c r="V217" i="1" s="1"/>
  <c r="T220" i="1"/>
  <c r="U220" i="1" s="1"/>
  <c r="V220" i="1" s="1"/>
  <c r="T210" i="1"/>
  <c r="U210" i="1" s="1"/>
  <c r="V210" i="1" s="1"/>
  <c r="T214" i="1"/>
  <c r="U214" i="1" s="1"/>
  <c r="V214" i="1" s="1"/>
  <c r="T209" i="1"/>
  <c r="U209" i="1" s="1"/>
  <c r="V209" i="1" s="1"/>
  <c r="T213" i="1"/>
  <c r="U213" i="1" s="1"/>
  <c r="V213" i="1" s="1"/>
  <c r="T208" i="1"/>
  <c r="U208" i="1" s="1"/>
  <c r="V208" i="1" s="1"/>
  <c r="T221" i="1"/>
  <c r="U221" i="1" s="1"/>
  <c r="V221" i="1" s="1"/>
  <c r="T212" i="1"/>
  <c r="U212" i="1" s="1"/>
  <c r="V212" i="1" s="1"/>
  <c r="T206" i="1"/>
  <c r="U206" i="1" s="1"/>
  <c r="V206" i="1" s="1"/>
  <c r="T184" i="1"/>
  <c r="U184" i="1" s="1"/>
  <c r="V184" i="1" s="1"/>
  <c r="T188" i="1"/>
  <c r="U188" i="1" s="1"/>
  <c r="V188" i="1" s="1"/>
  <c r="T192" i="1"/>
  <c r="U192" i="1" s="1"/>
  <c r="V192" i="1" s="1"/>
  <c r="T196" i="1"/>
  <c r="U196" i="1" s="1"/>
  <c r="V196" i="1" s="1"/>
  <c r="T181" i="1"/>
  <c r="U181" i="1" s="1"/>
  <c r="L185" i="1"/>
  <c r="M185" i="1" s="1"/>
  <c r="N185" i="1" s="1"/>
  <c r="L189" i="1"/>
  <c r="M189" i="1" s="1"/>
  <c r="N189" i="1" s="1"/>
  <c r="L193" i="1"/>
  <c r="M193" i="1" s="1"/>
  <c r="N193" i="1" s="1"/>
  <c r="L197" i="1"/>
  <c r="M197" i="1" s="1"/>
  <c r="N197" i="1" s="1"/>
  <c r="E187" i="1"/>
  <c r="F187" i="1" s="1"/>
  <c r="G187" i="1" s="1"/>
  <c r="E191" i="1"/>
  <c r="F191" i="1" s="1"/>
  <c r="G191" i="1" s="1"/>
  <c r="E195" i="1"/>
  <c r="F195" i="1" s="1"/>
  <c r="G195" i="1" s="1"/>
  <c r="E199" i="1"/>
  <c r="F199" i="1" s="1"/>
  <c r="G199" i="1" s="1"/>
  <c r="L199" i="1"/>
  <c r="M199" i="1" s="1"/>
  <c r="N199" i="1" s="1"/>
  <c r="T185" i="1"/>
  <c r="U185" i="1" s="1"/>
  <c r="V185" i="1" s="1"/>
  <c r="T189" i="1"/>
  <c r="U189" i="1" s="1"/>
  <c r="V189" i="1" s="1"/>
  <c r="T197" i="1"/>
  <c r="U197" i="1" s="1"/>
  <c r="V197" i="1" s="1"/>
  <c r="L182" i="1"/>
  <c r="M182" i="1" s="1"/>
  <c r="N182" i="1" s="1"/>
  <c r="L186" i="1"/>
  <c r="M186" i="1" s="1"/>
  <c r="N186" i="1" s="1"/>
  <c r="L194" i="1"/>
  <c r="M194" i="1" s="1"/>
  <c r="N194" i="1" s="1"/>
  <c r="E184" i="1"/>
  <c r="F184" i="1" s="1"/>
  <c r="G184" i="1" s="1"/>
  <c r="E192" i="1"/>
  <c r="F192" i="1" s="1"/>
  <c r="G192" i="1" s="1"/>
  <c r="E183" i="1"/>
  <c r="F183" i="1" s="1"/>
  <c r="G183" i="1" s="1"/>
  <c r="T182" i="1"/>
  <c r="U182" i="1" s="1"/>
  <c r="V182" i="1" s="1"/>
  <c r="T186" i="1"/>
  <c r="U186" i="1" s="1"/>
  <c r="V186" i="1" s="1"/>
  <c r="T190" i="1"/>
  <c r="U190" i="1" s="1"/>
  <c r="V190" i="1" s="1"/>
  <c r="T194" i="1"/>
  <c r="U194" i="1" s="1"/>
  <c r="V194" i="1" s="1"/>
  <c r="T198" i="1"/>
  <c r="U198" i="1" s="1"/>
  <c r="V198" i="1" s="1"/>
  <c r="L183" i="1"/>
  <c r="M183" i="1" s="1"/>
  <c r="N183" i="1" s="1"/>
  <c r="L187" i="1"/>
  <c r="M187" i="1" s="1"/>
  <c r="N187" i="1" s="1"/>
  <c r="L191" i="1"/>
  <c r="M191" i="1" s="1"/>
  <c r="N191" i="1" s="1"/>
  <c r="L195" i="1"/>
  <c r="M195" i="1" s="1"/>
  <c r="N195" i="1" s="1"/>
  <c r="L181" i="1"/>
  <c r="M181" i="1" s="1"/>
  <c r="E185" i="1"/>
  <c r="F185" i="1" s="1"/>
  <c r="G185" i="1" s="1"/>
  <c r="E189" i="1"/>
  <c r="F189" i="1" s="1"/>
  <c r="G189" i="1" s="1"/>
  <c r="E193" i="1"/>
  <c r="F193" i="1" s="1"/>
  <c r="G193" i="1" s="1"/>
  <c r="E197" i="1"/>
  <c r="F197" i="1" s="1"/>
  <c r="G197" i="1" s="1"/>
  <c r="E182" i="1"/>
  <c r="F182" i="1" s="1"/>
  <c r="G182" i="1" s="1"/>
  <c r="T183" i="1"/>
  <c r="U183" i="1" s="1"/>
  <c r="V183" i="1" s="1"/>
  <c r="T187" i="1"/>
  <c r="U187" i="1" s="1"/>
  <c r="V187" i="1" s="1"/>
  <c r="T191" i="1"/>
  <c r="U191" i="1" s="1"/>
  <c r="V191" i="1" s="1"/>
  <c r="T195" i="1"/>
  <c r="U195" i="1" s="1"/>
  <c r="V195" i="1" s="1"/>
  <c r="T199" i="1"/>
  <c r="U199" i="1" s="1"/>
  <c r="V199" i="1" s="1"/>
  <c r="L184" i="1"/>
  <c r="M184" i="1" s="1"/>
  <c r="N184" i="1" s="1"/>
  <c r="L188" i="1"/>
  <c r="M188" i="1" s="1"/>
  <c r="N188" i="1" s="1"/>
  <c r="L192" i="1"/>
  <c r="M192" i="1" s="1"/>
  <c r="N192" i="1" s="1"/>
  <c r="L196" i="1"/>
  <c r="M196" i="1" s="1"/>
  <c r="N196" i="1" s="1"/>
  <c r="E186" i="1"/>
  <c r="F186" i="1" s="1"/>
  <c r="G186" i="1" s="1"/>
  <c r="E190" i="1"/>
  <c r="F190" i="1" s="1"/>
  <c r="G190" i="1" s="1"/>
  <c r="E194" i="1"/>
  <c r="F194" i="1" s="1"/>
  <c r="G194" i="1" s="1"/>
  <c r="E198" i="1"/>
  <c r="F198" i="1" s="1"/>
  <c r="G198" i="1" s="1"/>
  <c r="E181" i="1"/>
  <c r="F181" i="1" s="1"/>
  <c r="T193" i="1"/>
  <c r="U193" i="1" s="1"/>
  <c r="V193" i="1" s="1"/>
  <c r="L190" i="1"/>
  <c r="M190" i="1" s="1"/>
  <c r="N190" i="1" s="1"/>
  <c r="L198" i="1"/>
  <c r="M198" i="1" s="1"/>
  <c r="N198" i="1" s="1"/>
  <c r="E188" i="1"/>
  <c r="F188" i="1" s="1"/>
  <c r="G188" i="1" s="1"/>
  <c r="E196" i="1"/>
  <c r="F196" i="1" s="1"/>
  <c r="G196" i="1" s="1"/>
  <c r="G223" i="1"/>
  <c r="F223" i="1"/>
  <c r="C19" i="17" l="1"/>
  <c r="D256" i="1"/>
  <c r="C339" i="1"/>
  <c r="BI175" i="13"/>
  <c r="BH200" i="13"/>
  <c r="BK96" i="13"/>
  <c r="BJ150" i="13"/>
  <c r="BG48" i="13"/>
  <c r="BF46" i="13"/>
  <c r="BF49" i="13"/>
  <c r="J158" i="1"/>
  <c r="K158" i="1" s="1"/>
  <c r="K177" i="1" s="1"/>
  <c r="Z167" i="1"/>
  <c r="AA167" i="1" s="1"/>
  <c r="Z175" i="1"/>
  <c r="AA175" i="1" s="1"/>
  <c r="Z165" i="1"/>
  <c r="AA165" i="1" s="1"/>
  <c r="Z173" i="1"/>
  <c r="AA173" i="1" s="1"/>
  <c r="Z169" i="1"/>
  <c r="AA169" i="1" s="1"/>
  <c r="R199" i="1"/>
  <c r="S199" i="1" s="1"/>
  <c r="Z185" i="1"/>
  <c r="AA185" i="1" s="1"/>
  <c r="Z187" i="1"/>
  <c r="AA187" i="1" s="1"/>
  <c r="Z192" i="1"/>
  <c r="AA192" i="1" s="1"/>
  <c r="Z191" i="1"/>
  <c r="AA191" i="1" s="1"/>
  <c r="Z182" i="1"/>
  <c r="AA182" i="1" s="1"/>
  <c r="Z171" i="1"/>
  <c r="AA171" i="1" s="1"/>
  <c r="Z172" i="1"/>
  <c r="AA172" i="1" s="1"/>
  <c r="Z160" i="1"/>
  <c r="AA160" i="1" s="1"/>
  <c r="Z166" i="1"/>
  <c r="AA166" i="1" s="1"/>
  <c r="Z159" i="1"/>
  <c r="AA159" i="1" s="1"/>
  <c r="Z193" i="1"/>
  <c r="AA193" i="1" s="1"/>
  <c r="Z199" i="1"/>
  <c r="AA199" i="1" s="1"/>
  <c r="Z184" i="1"/>
  <c r="AA184" i="1" s="1"/>
  <c r="Z189" i="1"/>
  <c r="AA189" i="1" s="1"/>
  <c r="Z183" i="1"/>
  <c r="AA183" i="1" s="1"/>
  <c r="Z190" i="1"/>
  <c r="AA190" i="1" s="1"/>
  <c r="Z168" i="1"/>
  <c r="AA168" i="1" s="1"/>
  <c r="Z170" i="1"/>
  <c r="AA170" i="1" s="1"/>
  <c r="Z176" i="1"/>
  <c r="AA176" i="1" s="1"/>
  <c r="Z163" i="1"/>
  <c r="AA163" i="1" s="1"/>
  <c r="Z197" i="1"/>
  <c r="AA197" i="1" s="1"/>
  <c r="Z186" i="1"/>
  <c r="AA186" i="1" s="1"/>
  <c r="Z198" i="1"/>
  <c r="AA198" i="1" s="1"/>
  <c r="Z162" i="1"/>
  <c r="AA162" i="1" s="1"/>
  <c r="Z174" i="1"/>
  <c r="AA174" i="1" s="1"/>
  <c r="Z161" i="1"/>
  <c r="AA161" i="1" s="1"/>
  <c r="Z164" i="1"/>
  <c r="AA164" i="1" s="1"/>
  <c r="Z188" i="1"/>
  <c r="AA188" i="1" s="1"/>
  <c r="Z196" i="1"/>
  <c r="AA196" i="1" s="1"/>
  <c r="Z194" i="1"/>
  <c r="AA194" i="1" s="1"/>
  <c r="Z195" i="1"/>
  <c r="AA195" i="1" s="1"/>
  <c r="N177" i="1"/>
  <c r="V177" i="1"/>
  <c r="U177" i="1"/>
  <c r="G177" i="1"/>
  <c r="M177" i="1"/>
  <c r="B239" i="1" s="1"/>
  <c r="C250" i="1"/>
  <c r="C230" i="1"/>
  <c r="D230" i="1" s="1"/>
  <c r="AA181" i="1"/>
  <c r="C229" i="1"/>
  <c r="D229" i="1" s="1"/>
  <c r="C249" i="1"/>
  <c r="AA158" i="1"/>
  <c r="S181" i="1"/>
  <c r="R200" i="1"/>
  <c r="C235" i="1"/>
  <c r="C248" i="1"/>
  <c r="B248" i="1"/>
  <c r="B235" i="1"/>
  <c r="B249" i="1"/>
  <c r="S158" i="1"/>
  <c r="S177" i="1" s="1"/>
  <c r="R177" i="1"/>
  <c r="F177" i="1"/>
  <c r="K181" i="1"/>
  <c r="K200" i="1" s="1"/>
  <c r="J200" i="1"/>
  <c r="V204" i="1"/>
  <c r="V223" i="1" s="1"/>
  <c r="U223" i="1"/>
  <c r="N181" i="1"/>
  <c r="N200" i="1" s="1"/>
  <c r="M200" i="1"/>
  <c r="V181" i="1"/>
  <c r="V200" i="1" s="1"/>
  <c r="U200" i="1"/>
  <c r="G181" i="1"/>
  <c r="G200" i="1" s="1"/>
  <c r="F200" i="1"/>
  <c r="B243" i="1" l="1"/>
  <c r="B337" i="1"/>
  <c r="C337" i="1"/>
  <c r="B360" i="1"/>
  <c r="C360" i="1"/>
  <c r="B328" i="1"/>
  <c r="C328" i="1"/>
  <c r="B338" i="1"/>
  <c r="C338" i="1"/>
  <c r="D250" i="1"/>
  <c r="C272" i="1" s="1"/>
  <c r="B362" i="1"/>
  <c r="C362" i="1"/>
  <c r="D249" i="1"/>
  <c r="D271" i="1" s="1"/>
  <c r="B361" i="1"/>
  <c r="C361" i="1"/>
  <c r="E256" i="1"/>
  <c r="E272" i="1" s="1"/>
  <c r="D360" i="1"/>
  <c r="D339" i="1"/>
  <c r="D332" i="1"/>
  <c r="D337" i="1"/>
  <c r="D362" i="1"/>
  <c r="D361" i="1"/>
  <c r="D338" i="1"/>
  <c r="D328" i="1"/>
  <c r="D334" i="1"/>
  <c r="BJ175" i="13"/>
  <c r="BI200" i="13"/>
  <c r="BL96" i="13"/>
  <c r="BK150" i="13"/>
  <c r="BG46" i="13"/>
  <c r="BG49" i="13"/>
  <c r="BH48" i="13"/>
  <c r="J177" i="1"/>
  <c r="Z177" i="1"/>
  <c r="Z200" i="1"/>
  <c r="AA177" i="1"/>
  <c r="AA200" i="1"/>
  <c r="S200" i="1"/>
  <c r="C244" i="1" s="1"/>
  <c r="E320" i="1"/>
  <c r="F320" i="1" s="1"/>
  <c r="B240" i="1"/>
  <c r="B245" i="1"/>
  <c r="D235" i="1"/>
  <c r="D248" i="1"/>
  <c r="B227" i="1"/>
  <c r="B238" i="1"/>
  <c r="B233" i="1"/>
  <c r="B226" i="1"/>
  <c r="B234" i="1"/>
  <c r="B244" i="1"/>
  <c r="C243" i="1"/>
  <c r="D355" i="1" s="1"/>
  <c r="C238" i="1"/>
  <c r="C239" i="1"/>
  <c r="B228" i="1"/>
  <c r="B350" i="1" l="1"/>
  <c r="C350" i="1"/>
  <c r="D350" i="1"/>
  <c r="D239" i="1"/>
  <c r="E311" i="1" s="1"/>
  <c r="F311" i="1" s="1"/>
  <c r="B351" i="1"/>
  <c r="C351" i="1"/>
  <c r="B329" i="1"/>
  <c r="C329" i="1"/>
  <c r="B272" i="1"/>
  <c r="C228" i="1"/>
  <c r="D228" i="1" s="1"/>
  <c r="D329" i="1"/>
  <c r="D351" i="1"/>
  <c r="D272" i="1"/>
  <c r="B356" i="1"/>
  <c r="C356" i="1"/>
  <c r="D243" i="1"/>
  <c r="B332" i="1"/>
  <c r="C332" i="1"/>
  <c r="B270" i="1"/>
  <c r="C270" i="1"/>
  <c r="B355" i="1"/>
  <c r="C355" i="1"/>
  <c r="B333" i="1"/>
  <c r="C333" i="1"/>
  <c r="B327" i="1"/>
  <c r="C327" i="1"/>
  <c r="B334" i="1"/>
  <c r="C334" i="1"/>
  <c r="D327" i="1"/>
  <c r="D333" i="1"/>
  <c r="D356" i="1"/>
  <c r="B271" i="1"/>
  <c r="C271" i="1"/>
  <c r="F256" i="1"/>
  <c r="F270" i="1" s="1"/>
  <c r="E361" i="1"/>
  <c r="E337" i="1"/>
  <c r="E355" i="1"/>
  <c r="E350" i="1"/>
  <c r="E362" i="1"/>
  <c r="E333" i="1"/>
  <c r="E356" i="1"/>
  <c r="E351" i="1"/>
  <c r="E338" i="1"/>
  <c r="E339" i="1"/>
  <c r="E334" i="1"/>
  <c r="E327" i="1"/>
  <c r="E328" i="1"/>
  <c r="E329" i="1"/>
  <c r="E360" i="1"/>
  <c r="E352" i="1"/>
  <c r="E332" i="1"/>
  <c r="E271" i="1"/>
  <c r="BJ200" i="13"/>
  <c r="BK175" i="13"/>
  <c r="C240" i="1"/>
  <c r="BL150" i="13"/>
  <c r="BM96" i="13"/>
  <c r="BI48" i="13"/>
  <c r="BH46" i="13"/>
  <c r="BH49" i="13"/>
  <c r="C233" i="1"/>
  <c r="C226" i="1"/>
  <c r="D226" i="1" s="1"/>
  <c r="C245" i="1"/>
  <c r="E357" i="1" s="1"/>
  <c r="C227" i="1"/>
  <c r="D227" i="1" s="1"/>
  <c r="C234" i="1"/>
  <c r="D234" i="1" s="1"/>
  <c r="D244" i="1"/>
  <c r="E315" i="1" s="1"/>
  <c r="F315" i="1" s="1"/>
  <c r="E318" i="1"/>
  <c r="F318" i="1" s="1"/>
  <c r="E270" i="1"/>
  <c r="D270" i="1"/>
  <c r="E319" i="1"/>
  <c r="F319" i="1" s="1"/>
  <c r="E250" i="1"/>
  <c r="D240" i="1"/>
  <c r="D233" i="1"/>
  <c r="D261" i="1"/>
  <c r="E261" i="1"/>
  <c r="C261" i="1"/>
  <c r="B261" i="1"/>
  <c r="E248" i="1"/>
  <c r="E249" i="1"/>
  <c r="D238" i="1"/>
  <c r="E314" i="1"/>
  <c r="F314" i="1" s="1"/>
  <c r="F261" i="1" l="1"/>
  <c r="C343" i="1"/>
  <c r="E52" i="17" s="1"/>
  <c r="D343" i="1"/>
  <c r="F52" i="17" s="1"/>
  <c r="B343" i="1"/>
  <c r="D52" i="17" s="1"/>
  <c r="B352" i="1"/>
  <c r="C352" i="1"/>
  <c r="D352" i="1"/>
  <c r="D245" i="1"/>
  <c r="B357" i="1"/>
  <c r="C357" i="1"/>
  <c r="D357" i="1"/>
  <c r="E343" i="1"/>
  <c r="E366" i="1"/>
  <c r="G256" i="1"/>
  <c r="G267" i="1" s="1"/>
  <c r="F355" i="1"/>
  <c r="F356" i="1"/>
  <c r="F357" i="1"/>
  <c r="F350" i="1"/>
  <c r="F351" i="1"/>
  <c r="F362" i="1"/>
  <c r="F338" i="1"/>
  <c r="F360" i="1"/>
  <c r="F352" i="1"/>
  <c r="F361" i="1"/>
  <c r="F332" i="1"/>
  <c r="F339" i="1"/>
  <c r="F334" i="1"/>
  <c r="F327" i="1"/>
  <c r="F328" i="1"/>
  <c r="F329" i="1"/>
  <c r="F337" i="1"/>
  <c r="F333" i="1"/>
  <c r="F271" i="1"/>
  <c r="F272" i="1"/>
  <c r="BK200" i="13"/>
  <c r="BL175" i="13"/>
  <c r="F12" i="14"/>
  <c r="F266" i="1"/>
  <c r="E17" i="17"/>
  <c r="D71" i="15" s="1"/>
  <c r="D70" i="15" s="1"/>
  <c r="G12" i="14"/>
  <c r="G10" i="14" s="1"/>
  <c r="G20" i="14" s="1"/>
  <c r="G17" i="17"/>
  <c r="F71" i="15" s="1"/>
  <c r="F70" i="15" s="1"/>
  <c r="I12" i="14"/>
  <c r="I10" i="14" s="1"/>
  <c r="I20" i="14" s="1"/>
  <c r="D17" i="17"/>
  <c r="C71" i="15" s="1"/>
  <c r="C70" i="15" s="1"/>
  <c r="F17" i="17"/>
  <c r="E71" i="15" s="1"/>
  <c r="E70" i="15" s="1"/>
  <c r="H12" i="14"/>
  <c r="H10" i="14" s="1"/>
  <c r="H20" i="14" s="1"/>
  <c r="BM150" i="13"/>
  <c r="BN96" i="13"/>
  <c r="BI46" i="13"/>
  <c r="BI49" i="13"/>
  <c r="BJ48" i="13"/>
  <c r="B266" i="1"/>
  <c r="C266" i="1"/>
  <c r="E227" i="1"/>
  <c r="F267" i="1"/>
  <c r="E226" i="1"/>
  <c r="E230" i="1"/>
  <c r="E228" i="1"/>
  <c r="E229" i="1"/>
  <c r="E266" i="1"/>
  <c r="E312" i="1"/>
  <c r="F312" i="1" s="1"/>
  <c r="C260" i="1"/>
  <c r="E310" i="1"/>
  <c r="F310" i="1" s="1"/>
  <c r="D266" i="1"/>
  <c r="D267" i="1"/>
  <c r="E316" i="1"/>
  <c r="F316" i="1" s="1"/>
  <c r="C267" i="1"/>
  <c r="C262" i="1"/>
  <c r="E267" i="1"/>
  <c r="F262" i="1"/>
  <c r="B267" i="1"/>
  <c r="E234" i="1"/>
  <c r="B262" i="1"/>
  <c r="E262" i="1"/>
  <c r="E239" i="1"/>
  <c r="D262" i="1"/>
  <c r="E240" i="1"/>
  <c r="D260" i="1"/>
  <c r="B260" i="1"/>
  <c r="E260" i="1"/>
  <c r="F260" i="1"/>
  <c r="E238" i="1"/>
  <c r="D265" i="1"/>
  <c r="E265" i="1"/>
  <c r="C265" i="1"/>
  <c r="B265" i="1"/>
  <c r="F265" i="1"/>
  <c r="E235" i="1"/>
  <c r="E244" i="1"/>
  <c r="E233" i="1"/>
  <c r="E243" i="1"/>
  <c r="E245" i="1"/>
  <c r="D366" i="1" l="1"/>
  <c r="F53" i="17" s="1"/>
  <c r="C366" i="1"/>
  <c r="E53" i="17" s="1"/>
  <c r="B366" i="1"/>
  <c r="G262" i="1"/>
  <c r="G265" i="1"/>
  <c r="J12" i="14"/>
  <c r="J10" i="14" s="1"/>
  <c r="J20" i="14" s="1"/>
  <c r="G260" i="1"/>
  <c r="D15" i="17"/>
  <c r="C64" i="15" s="1"/>
  <c r="C63" i="15" s="1"/>
  <c r="H17" i="17"/>
  <c r="G71" i="15" s="1"/>
  <c r="G70" i="15" s="1"/>
  <c r="F366" i="1"/>
  <c r="H256" i="1"/>
  <c r="G339" i="1"/>
  <c r="G334" i="1"/>
  <c r="G327" i="1"/>
  <c r="G328" i="1"/>
  <c r="G329" i="1"/>
  <c r="G337" i="1"/>
  <c r="G333" i="1"/>
  <c r="G356" i="1"/>
  <c r="G351" i="1"/>
  <c r="G352" i="1"/>
  <c r="G361" i="1"/>
  <c r="G338" i="1"/>
  <c r="G332" i="1"/>
  <c r="G355" i="1"/>
  <c r="G357" i="1"/>
  <c r="G362" i="1"/>
  <c r="G360" i="1"/>
  <c r="G350" i="1"/>
  <c r="G271" i="1"/>
  <c r="G272" i="1"/>
  <c r="G270" i="1"/>
  <c r="G261" i="1"/>
  <c r="H16" i="17"/>
  <c r="G68" i="15" s="1"/>
  <c r="G67" i="15" s="1"/>
  <c r="G266" i="1"/>
  <c r="G52" i="17"/>
  <c r="E369" i="1"/>
  <c r="G53" i="17"/>
  <c r="F343" i="1"/>
  <c r="H52" i="17" s="1"/>
  <c r="BM175" i="13"/>
  <c r="BL200" i="13"/>
  <c r="G16" i="17"/>
  <c r="F68" i="15" s="1"/>
  <c r="F67" i="15" s="1"/>
  <c r="H15" i="17"/>
  <c r="G64" i="15" s="1"/>
  <c r="G63" i="15" s="1"/>
  <c r="D16" i="17"/>
  <c r="C68" i="15" s="1"/>
  <c r="C67" i="15" s="1"/>
  <c r="F15" i="17"/>
  <c r="E64" i="15" s="1"/>
  <c r="E63" i="15" s="1"/>
  <c r="G15" i="17"/>
  <c r="F64" i="15" s="1"/>
  <c r="F63" i="15" s="1"/>
  <c r="F81" i="15" s="1"/>
  <c r="F10" i="14"/>
  <c r="E16" i="17"/>
  <c r="D68" i="15" s="1"/>
  <c r="D67" i="15" s="1"/>
  <c r="F16" i="17"/>
  <c r="E68" i="15" s="1"/>
  <c r="E67" i="15" s="1"/>
  <c r="E15" i="17"/>
  <c r="D64" i="15" s="1"/>
  <c r="D63" i="15" s="1"/>
  <c r="BN150" i="13"/>
  <c r="BO96" i="13"/>
  <c r="BK48" i="13"/>
  <c r="BJ46" i="13"/>
  <c r="BJ49" i="13"/>
  <c r="F321" i="1"/>
  <c r="C276" i="1"/>
  <c r="B276" i="1"/>
  <c r="D276" i="1"/>
  <c r="D81" i="15" l="1"/>
  <c r="E81" i="15"/>
  <c r="C81" i="15"/>
  <c r="G81" i="15"/>
  <c r="C369" i="1"/>
  <c r="C370" i="1" s="1"/>
  <c r="D369" i="1"/>
  <c r="D370" i="1" s="1"/>
  <c r="D53" i="17"/>
  <c r="B369" i="1"/>
  <c r="B370" i="1" s="1"/>
  <c r="I16" i="17"/>
  <c r="H68" i="15" s="1"/>
  <c r="H67" i="15" s="1"/>
  <c r="I15" i="17"/>
  <c r="H64" i="15" s="1"/>
  <c r="H63" i="15" s="1"/>
  <c r="D14" i="17"/>
  <c r="D10" i="17" s="1"/>
  <c r="E7" i="34" s="1"/>
  <c r="H14" i="17"/>
  <c r="H10" i="17" s="1"/>
  <c r="I7" i="34" s="1"/>
  <c r="I11" i="34" s="1"/>
  <c r="G343" i="1"/>
  <c r="I52" i="17" s="1"/>
  <c r="I256" i="1"/>
  <c r="I265" i="1" s="1"/>
  <c r="H355" i="1"/>
  <c r="H356" i="1"/>
  <c r="H357" i="1"/>
  <c r="H350" i="1"/>
  <c r="H351" i="1"/>
  <c r="H352" i="1"/>
  <c r="H360" i="1"/>
  <c r="H339" i="1"/>
  <c r="H332" i="1"/>
  <c r="H333" i="1"/>
  <c r="H361" i="1"/>
  <c r="H338" i="1"/>
  <c r="H362" i="1"/>
  <c r="H337" i="1"/>
  <c r="H327" i="1"/>
  <c r="H328" i="1"/>
  <c r="H334" i="1"/>
  <c r="H329" i="1"/>
  <c r="H271" i="1"/>
  <c r="H272" i="1"/>
  <c r="H261" i="1"/>
  <c r="H270" i="1"/>
  <c r="H266" i="1"/>
  <c r="H267" i="1"/>
  <c r="H265" i="1"/>
  <c r="H260" i="1"/>
  <c r="H262" i="1"/>
  <c r="H53" i="17"/>
  <c r="F369" i="1"/>
  <c r="K12" i="14"/>
  <c r="I17" i="17"/>
  <c r="H71" i="15" s="1"/>
  <c r="H70" i="15" s="1"/>
  <c r="G366" i="1"/>
  <c r="BN175" i="13"/>
  <c r="BM200" i="13"/>
  <c r="G14" i="17"/>
  <c r="G10" i="17" s="1"/>
  <c r="H7" i="34" s="1"/>
  <c r="H11" i="34" s="1"/>
  <c r="F14" i="17"/>
  <c r="F10" i="17" s="1"/>
  <c r="G7" i="34" s="1"/>
  <c r="G11" i="34" s="1"/>
  <c r="E14" i="17"/>
  <c r="BP96" i="13"/>
  <c r="BO150" i="13"/>
  <c r="BK46" i="13"/>
  <c r="BK49" i="13"/>
  <c r="BL48" i="13"/>
  <c r="E276" i="1"/>
  <c r="E370" i="1" s="1"/>
  <c r="E11" i="34" l="1"/>
  <c r="H81" i="15"/>
  <c r="I7" i="15"/>
  <c r="I11" i="15" s="1"/>
  <c r="H12" i="17"/>
  <c r="G7" i="15"/>
  <c r="G11" i="15" s="1"/>
  <c r="F12" i="17"/>
  <c r="H7" i="15"/>
  <c r="H11" i="15" s="1"/>
  <c r="G12" i="17"/>
  <c r="I14" i="17"/>
  <c r="I10" i="17" s="1"/>
  <c r="J7" i="34" s="1"/>
  <c r="J11" i="34" s="1"/>
  <c r="H366" i="1"/>
  <c r="J53" i="17" s="1"/>
  <c r="K10" i="14"/>
  <c r="G369" i="1"/>
  <c r="I53" i="17"/>
  <c r="H343" i="1"/>
  <c r="J15" i="17"/>
  <c r="I64" i="15" s="1"/>
  <c r="I63" i="15" s="1"/>
  <c r="J17" i="17"/>
  <c r="I71" i="15" s="1"/>
  <c r="I70" i="15" s="1"/>
  <c r="L12" i="14"/>
  <c r="L10" i="14" s="1"/>
  <c r="L20" i="14" s="1"/>
  <c r="J256" i="1"/>
  <c r="I361" i="1"/>
  <c r="I337" i="1"/>
  <c r="I356" i="1"/>
  <c r="I351" i="1"/>
  <c r="I352" i="1"/>
  <c r="I332" i="1"/>
  <c r="I355" i="1"/>
  <c r="I357" i="1"/>
  <c r="I350" i="1"/>
  <c r="I360" i="1"/>
  <c r="I334" i="1"/>
  <c r="I327" i="1"/>
  <c r="I328" i="1"/>
  <c r="I329" i="1"/>
  <c r="I362" i="1"/>
  <c r="I333" i="1"/>
  <c r="I338" i="1"/>
  <c r="I339" i="1"/>
  <c r="I271" i="1"/>
  <c r="I272" i="1"/>
  <c r="I270" i="1"/>
  <c r="I261" i="1"/>
  <c r="I267" i="1"/>
  <c r="I262" i="1"/>
  <c r="I266" i="1"/>
  <c r="I260" i="1"/>
  <c r="J16" i="17"/>
  <c r="I68" i="15" s="1"/>
  <c r="I67" i="15" s="1"/>
  <c r="BN200" i="13"/>
  <c r="BO175" i="13"/>
  <c r="E10" i="17"/>
  <c r="F7" i="34" s="1"/>
  <c r="F11" i="34" s="1"/>
  <c r="E7" i="15"/>
  <c r="BQ96" i="13"/>
  <c r="BP150" i="13"/>
  <c r="BM48" i="13"/>
  <c r="BL46" i="13"/>
  <c r="BL49" i="13"/>
  <c r="F276" i="1"/>
  <c r="F370" i="1" s="1"/>
  <c r="I81" i="15" l="1"/>
  <c r="J7" i="15"/>
  <c r="J11" i="15" s="1"/>
  <c r="I12" i="17"/>
  <c r="F7" i="15"/>
  <c r="F11" i="15" s="1"/>
  <c r="E12" i="17"/>
  <c r="J14" i="17"/>
  <c r="J10" i="17" s="1"/>
  <c r="K7" i="34" s="1"/>
  <c r="K11" i="34" s="1"/>
  <c r="I366" i="1"/>
  <c r="K53" i="17" s="1"/>
  <c r="I343" i="1"/>
  <c r="K256" i="1"/>
  <c r="J355" i="1"/>
  <c r="J356" i="1"/>
  <c r="J357" i="1"/>
  <c r="J350" i="1"/>
  <c r="J351" i="1"/>
  <c r="J362" i="1"/>
  <c r="J338" i="1"/>
  <c r="J337" i="1"/>
  <c r="J333" i="1"/>
  <c r="J339" i="1"/>
  <c r="J360" i="1"/>
  <c r="J334" i="1"/>
  <c r="J327" i="1"/>
  <c r="J328" i="1"/>
  <c r="J329" i="1"/>
  <c r="J352" i="1"/>
  <c r="J361" i="1"/>
  <c r="J332" i="1"/>
  <c r="J271" i="1"/>
  <c r="J272" i="1"/>
  <c r="J270" i="1"/>
  <c r="J261" i="1"/>
  <c r="J267" i="1"/>
  <c r="J260" i="1"/>
  <c r="J265" i="1"/>
  <c r="J262" i="1"/>
  <c r="J266" i="1"/>
  <c r="H369" i="1"/>
  <c r="J52" i="17"/>
  <c r="K16" i="17"/>
  <c r="J68" i="15" s="1"/>
  <c r="J67" i="15" s="1"/>
  <c r="M12" i="14"/>
  <c r="M10" i="14" s="1"/>
  <c r="M20" i="14" s="1"/>
  <c r="K17" i="17"/>
  <c r="J71" i="15" s="1"/>
  <c r="J70" i="15" s="1"/>
  <c r="K15" i="17"/>
  <c r="J64" i="15" s="1"/>
  <c r="J63" i="15" s="1"/>
  <c r="K20" i="14"/>
  <c r="BO200" i="13"/>
  <c r="BP175" i="13"/>
  <c r="E11" i="15"/>
  <c r="BQ150" i="13"/>
  <c r="BR96" i="13"/>
  <c r="BM46" i="13"/>
  <c r="BM49" i="13"/>
  <c r="BN48" i="13"/>
  <c r="G276" i="1"/>
  <c r="G370" i="1" s="1"/>
  <c r="J81" i="15" l="1"/>
  <c r="K7" i="15"/>
  <c r="K11" i="15" s="1"/>
  <c r="J12" i="17"/>
  <c r="L15" i="17"/>
  <c r="K64" i="15" s="1"/>
  <c r="K63" i="15" s="1"/>
  <c r="K14" i="17"/>
  <c r="K10" i="17" s="1"/>
  <c r="L7" i="34" s="1"/>
  <c r="L11" i="34" s="1"/>
  <c r="L16" i="17"/>
  <c r="K68" i="15" s="1"/>
  <c r="K67" i="15" s="1"/>
  <c r="N12" i="14"/>
  <c r="N10" i="14" s="1"/>
  <c r="N20" i="14" s="1"/>
  <c r="L17" i="17"/>
  <c r="K71" i="15" s="1"/>
  <c r="K70" i="15" s="1"/>
  <c r="J343" i="1"/>
  <c r="J366" i="1"/>
  <c r="L256" i="1"/>
  <c r="K360" i="1"/>
  <c r="K362" i="1"/>
  <c r="K334" i="1"/>
  <c r="K327" i="1"/>
  <c r="K328" i="1"/>
  <c r="K356" i="1"/>
  <c r="K352" i="1"/>
  <c r="K361" i="1"/>
  <c r="K338" i="1"/>
  <c r="K332" i="1"/>
  <c r="K355" i="1"/>
  <c r="K357" i="1"/>
  <c r="K350" i="1"/>
  <c r="K339" i="1"/>
  <c r="K329" i="1"/>
  <c r="K337" i="1"/>
  <c r="K351" i="1"/>
  <c r="K333" i="1"/>
  <c r="K271" i="1"/>
  <c r="K272" i="1"/>
  <c r="K261" i="1"/>
  <c r="K270" i="1"/>
  <c r="K262" i="1"/>
  <c r="K260" i="1"/>
  <c r="K267" i="1"/>
  <c r="K266" i="1"/>
  <c r="K265" i="1"/>
  <c r="I369" i="1"/>
  <c r="K52" i="17"/>
  <c r="BQ175" i="13"/>
  <c r="BP200" i="13"/>
  <c r="BS96" i="13"/>
  <c r="BR150" i="13"/>
  <c r="BO48" i="13"/>
  <c r="BN49" i="13"/>
  <c r="BN46" i="13"/>
  <c r="H276" i="1"/>
  <c r="H370" i="1" s="1"/>
  <c r="K81" i="15" l="1"/>
  <c r="L7" i="15"/>
  <c r="L11" i="15" s="1"/>
  <c r="K12" i="17"/>
  <c r="L14" i="17"/>
  <c r="L10" i="17" s="1"/>
  <c r="M7" i="34" s="1"/>
  <c r="M15" i="17"/>
  <c r="L64" i="15" s="1"/>
  <c r="L63" i="15" s="1"/>
  <c r="M16" i="17"/>
  <c r="L68" i="15" s="1"/>
  <c r="L67" i="15" s="1"/>
  <c r="K343" i="1"/>
  <c r="J369" i="1"/>
  <c r="L52" i="17"/>
  <c r="L53" i="17"/>
  <c r="O12" i="14"/>
  <c r="M17" i="17"/>
  <c r="L71" i="15" s="1"/>
  <c r="L70" i="15" s="1"/>
  <c r="K366" i="1"/>
  <c r="M53" i="17" s="1"/>
  <c r="M256" i="1"/>
  <c r="L355" i="1"/>
  <c r="L356" i="1"/>
  <c r="L357" i="1"/>
  <c r="L350" i="1"/>
  <c r="L351" i="1"/>
  <c r="L352" i="1"/>
  <c r="L360" i="1"/>
  <c r="L339" i="1"/>
  <c r="L332" i="1"/>
  <c r="L333" i="1"/>
  <c r="L337" i="1"/>
  <c r="L361" i="1"/>
  <c r="L338" i="1"/>
  <c r="L362" i="1"/>
  <c r="L327" i="1"/>
  <c r="L328" i="1"/>
  <c r="L334" i="1"/>
  <c r="L329" i="1"/>
  <c r="L271" i="1"/>
  <c r="L272" i="1"/>
  <c r="L270" i="1"/>
  <c r="L261" i="1"/>
  <c r="L267" i="1"/>
  <c r="L262" i="1"/>
  <c r="L266" i="1"/>
  <c r="L265" i="1"/>
  <c r="L260" i="1"/>
  <c r="BR175" i="13"/>
  <c r="BQ200" i="13"/>
  <c r="BT96" i="13"/>
  <c r="BS150" i="13"/>
  <c r="BO46" i="13"/>
  <c r="BO49" i="13"/>
  <c r="BP48" i="13"/>
  <c r="I276" i="1"/>
  <c r="I370" i="1" s="1"/>
  <c r="M11" i="34" l="1"/>
  <c r="L81" i="15"/>
  <c r="M7" i="15"/>
  <c r="M11" i="15" s="1"/>
  <c r="L12" i="17"/>
  <c r="M14" i="17"/>
  <c r="M10" i="17" s="1"/>
  <c r="N7" i="34" s="1"/>
  <c r="N11" i="34" s="1"/>
  <c r="N15" i="17"/>
  <c r="M64" i="15" s="1"/>
  <c r="M63" i="15" s="1"/>
  <c r="P12" i="14"/>
  <c r="P10" i="14" s="1"/>
  <c r="P20" i="14" s="1"/>
  <c r="N17" i="17"/>
  <c r="M71" i="15" s="1"/>
  <c r="M70" i="15" s="1"/>
  <c r="L343" i="1"/>
  <c r="N16" i="17"/>
  <c r="M68" i="15" s="1"/>
  <c r="M67" i="15" s="1"/>
  <c r="K369" i="1"/>
  <c r="M52" i="17"/>
  <c r="L366" i="1"/>
  <c r="N53" i="17" s="1"/>
  <c r="N256" i="1"/>
  <c r="M361" i="1"/>
  <c r="M337" i="1"/>
  <c r="M355" i="1"/>
  <c r="M357" i="1"/>
  <c r="M350" i="1"/>
  <c r="M338" i="1"/>
  <c r="M339" i="1"/>
  <c r="M356" i="1"/>
  <c r="M351" i="1"/>
  <c r="M362" i="1"/>
  <c r="M333" i="1"/>
  <c r="M334" i="1"/>
  <c r="M327" i="1"/>
  <c r="M328" i="1"/>
  <c r="M329" i="1"/>
  <c r="M352" i="1"/>
  <c r="M332" i="1"/>
  <c r="M360" i="1"/>
  <c r="M271" i="1"/>
  <c r="M272" i="1"/>
  <c r="M261" i="1"/>
  <c r="M270" i="1"/>
  <c r="M267" i="1"/>
  <c r="M260" i="1"/>
  <c r="M265" i="1"/>
  <c r="M266" i="1"/>
  <c r="M262" i="1"/>
  <c r="O10" i="14"/>
  <c r="BS175" i="13"/>
  <c r="BR200" i="13"/>
  <c r="BU96" i="13"/>
  <c r="BT150" i="13"/>
  <c r="BQ48" i="13"/>
  <c r="BP46" i="13"/>
  <c r="BP49" i="13"/>
  <c r="J276" i="1"/>
  <c r="J370" i="1" s="1"/>
  <c r="M81" i="15" l="1"/>
  <c r="F114" i="13"/>
  <c r="G114" i="13" s="1"/>
  <c r="H114" i="13" s="1"/>
  <c r="I114" i="13" s="1"/>
  <c r="J114" i="13" s="1"/>
  <c r="K114" i="13" s="1"/>
  <c r="L114" i="13" s="1"/>
  <c r="M114" i="13" s="1"/>
  <c r="N114" i="13" s="1"/>
  <c r="O114" i="13" s="1"/>
  <c r="P114" i="13" s="1"/>
  <c r="Q114" i="13" s="1"/>
  <c r="R114" i="13" s="1"/>
  <c r="S114" i="13" s="1"/>
  <c r="T114" i="13" s="1"/>
  <c r="U114" i="13" s="1"/>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BJ114" i="13" s="1"/>
  <c r="BK114" i="13" s="1"/>
  <c r="BL114" i="13" s="1"/>
  <c r="BM114" i="13" s="1"/>
  <c r="BN114" i="13" s="1"/>
  <c r="BO114" i="13" s="1"/>
  <c r="BP114" i="13" s="1"/>
  <c r="BQ114" i="13" s="1"/>
  <c r="BR114" i="13" s="1"/>
  <c r="BS114" i="13" s="1"/>
  <c r="BT114" i="13" s="1"/>
  <c r="BU114" i="13" s="1"/>
  <c r="BV114" i="13" s="1"/>
  <c r="BW114" i="13" s="1"/>
  <c r="BX114" i="13" s="1"/>
  <c r="BY114" i="13" s="1"/>
  <c r="BZ114" i="13" s="1"/>
  <c r="CA114" i="13" s="1"/>
  <c r="CB114" i="13" s="1"/>
  <c r="E122" i="13"/>
  <c r="F110" i="13"/>
  <c r="G110" i="13" s="1"/>
  <c r="H110" i="13" s="1"/>
  <c r="I110" i="13" s="1"/>
  <c r="J110" i="13" s="1"/>
  <c r="K110" i="13" s="1"/>
  <c r="L110" i="13" s="1"/>
  <c r="M110" i="13" s="1"/>
  <c r="N110" i="13" s="1"/>
  <c r="O110" i="13" s="1"/>
  <c r="P110" i="13" s="1"/>
  <c r="Q110" i="13" s="1"/>
  <c r="R110" i="13" s="1"/>
  <c r="S110" i="13" s="1"/>
  <c r="T110" i="13" s="1"/>
  <c r="U110" i="13" s="1"/>
  <c r="V110" i="13" s="1"/>
  <c r="W110" i="13" s="1"/>
  <c r="X110" i="13" s="1"/>
  <c r="Y110" i="13" s="1"/>
  <c r="Z110" i="13" s="1"/>
  <c r="AA110" i="13" s="1"/>
  <c r="AB110" i="13" s="1"/>
  <c r="AC110" i="13" s="1"/>
  <c r="AD110" i="13" s="1"/>
  <c r="AE110" i="13" s="1"/>
  <c r="AF110" i="13" s="1"/>
  <c r="AG110" i="13" s="1"/>
  <c r="AH110" i="13" s="1"/>
  <c r="AI110" i="13" s="1"/>
  <c r="AJ110" i="13" s="1"/>
  <c r="AK110" i="13" s="1"/>
  <c r="AL110" i="13" s="1"/>
  <c r="AM110" i="13" s="1"/>
  <c r="AN110" i="13" s="1"/>
  <c r="AO110" i="13" s="1"/>
  <c r="AP110" i="13" s="1"/>
  <c r="AQ110" i="13" s="1"/>
  <c r="AR110" i="13" s="1"/>
  <c r="AS110" i="13" s="1"/>
  <c r="AT110" i="13" s="1"/>
  <c r="AU110" i="13" s="1"/>
  <c r="AV110" i="13" s="1"/>
  <c r="AW110" i="13" s="1"/>
  <c r="AX110" i="13" s="1"/>
  <c r="AY110" i="13" s="1"/>
  <c r="AZ110" i="13" s="1"/>
  <c r="BA110" i="13" s="1"/>
  <c r="BB110" i="13" s="1"/>
  <c r="BC110" i="13" s="1"/>
  <c r="BD110" i="13" s="1"/>
  <c r="BE110" i="13" s="1"/>
  <c r="BF110" i="13" s="1"/>
  <c r="BG110" i="13" s="1"/>
  <c r="BH110" i="13" s="1"/>
  <c r="BI110" i="13" s="1"/>
  <c r="BJ110" i="13" s="1"/>
  <c r="BK110" i="13" s="1"/>
  <c r="BL110" i="13" s="1"/>
  <c r="BM110" i="13" s="1"/>
  <c r="BN110" i="13" s="1"/>
  <c r="BO110" i="13" s="1"/>
  <c r="BP110" i="13" s="1"/>
  <c r="BQ110" i="13" s="1"/>
  <c r="BR110" i="13" s="1"/>
  <c r="BS110" i="13" s="1"/>
  <c r="BT110" i="13" s="1"/>
  <c r="BU110" i="13" s="1"/>
  <c r="BV110" i="13" s="1"/>
  <c r="BW110" i="13" s="1"/>
  <c r="BX110" i="13" s="1"/>
  <c r="BY110" i="13" s="1"/>
  <c r="BZ110" i="13" s="1"/>
  <c r="CA110" i="13" s="1"/>
  <c r="CB110" i="13" s="1"/>
  <c r="E120" i="13"/>
  <c r="F112" i="13"/>
  <c r="G112" i="13" s="1"/>
  <c r="H112" i="13" s="1"/>
  <c r="I112" i="13" s="1"/>
  <c r="J112" i="13" s="1"/>
  <c r="K112" i="13" s="1"/>
  <c r="L112" i="13" s="1"/>
  <c r="M112" i="13" s="1"/>
  <c r="N112" i="13" s="1"/>
  <c r="O112" i="13" s="1"/>
  <c r="P112" i="13" s="1"/>
  <c r="Q112" i="13" s="1"/>
  <c r="R112" i="13" s="1"/>
  <c r="S112" i="13" s="1"/>
  <c r="T112" i="13" s="1"/>
  <c r="U112" i="13" s="1"/>
  <c r="V112" i="13" s="1"/>
  <c r="W112" i="13" s="1"/>
  <c r="X112" i="13" s="1"/>
  <c r="Y112" i="13" s="1"/>
  <c r="Z112" i="13" s="1"/>
  <c r="AA112" i="13" s="1"/>
  <c r="AB112" i="13" s="1"/>
  <c r="AC112" i="13" s="1"/>
  <c r="AD112" i="13" s="1"/>
  <c r="AE112" i="13" s="1"/>
  <c r="AF112" i="13" s="1"/>
  <c r="AG112" i="13" s="1"/>
  <c r="AH112" i="13" s="1"/>
  <c r="AI112" i="13" s="1"/>
  <c r="AJ112" i="13" s="1"/>
  <c r="AK112" i="13" s="1"/>
  <c r="AL112" i="13" s="1"/>
  <c r="AM112" i="13" s="1"/>
  <c r="AN112" i="13" s="1"/>
  <c r="AO112" i="13" s="1"/>
  <c r="AP112" i="13" s="1"/>
  <c r="AQ112" i="13" s="1"/>
  <c r="AR112" i="13" s="1"/>
  <c r="AS112" i="13" s="1"/>
  <c r="AT112" i="13" s="1"/>
  <c r="AU112" i="13" s="1"/>
  <c r="AV112" i="13" s="1"/>
  <c r="AW112" i="13" s="1"/>
  <c r="AX112" i="13" s="1"/>
  <c r="AY112" i="13" s="1"/>
  <c r="AZ112" i="13" s="1"/>
  <c r="BA112" i="13" s="1"/>
  <c r="BB112" i="13" s="1"/>
  <c r="BC112" i="13" s="1"/>
  <c r="BD112" i="13" s="1"/>
  <c r="BE112" i="13" s="1"/>
  <c r="BF112" i="13" s="1"/>
  <c r="BG112" i="13" s="1"/>
  <c r="BH112" i="13" s="1"/>
  <c r="BI112" i="13" s="1"/>
  <c r="BJ112" i="13" s="1"/>
  <c r="BK112" i="13" s="1"/>
  <c r="BL112" i="13" s="1"/>
  <c r="BM112" i="13" s="1"/>
  <c r="BN112" i="13" s="1"/>
  <c r="BO112" i="13" s="1"/>
  <c r="BP112" i="13" s="1"/>
  <c r="BQ112" i="13" s="1"/>
  <c r="BR112" i="13" s="1"/>
  <c r="BS112" i="13" s="1"/>
  <c r="BT112" i="13" s="1"/>
  <c r="BU112" i="13" s="1"/>
  <c r="BV112" i="13" s="1"/>
  <c r="BW112" i="13" s="1"/>
  <c r="BX112" i="13" s="1"/>
  <c r="BY112" i="13" s="1"/>
  <c r="BZ112" i="13" s="1"/>
  <c r="CA112" i="13" s="1"/>
  <c r="CB112" i="13" s="1"/>
  <c r="N7" i="15"/>
  <c r="N11" i="15" s="1"/>
  <c r="M12" i="17"/>
  <c r="N14" i="17"/>
  <c r="N10" i="17" s="1"/>
  <c r="O7" i="34" s="1"/>
  <c r="O11" i="34" s="1"/>
  <c r="O17" i="17"/>
  <c r="N71" i="15" s="1"/>
  <c r="N70" i="15" s="1"/>
  <c r="Q12" i="14"/>
  <c r="L369" i="1"/>
  <c r="N52" i="17"/>
  <c r="M366" i="1"/>
  <c r="O53" i="17" s="1"/>
  <c r="O20" i="14"/>
  <c r="O15" i="17"/>
  <c r="N64" i="15" s="1"/>
  <c r="N63" i="15" s="1"/>
  <c r="O256" i="1"/>
  <c r="N355" i="1"/>
  <c r="N356" i="1"/>
  <c r="N357" i="1"/>
  <c r="N350" i="1"/>
  <c r="N351" i="1"/>
  <c r="N362" i="1"/>
  <c r="N338" i="1"/>
  <c r="N352" i="1"/>
  <c r="N361" i="1"/>
  <c r="N332" i="1"/>
  <c r="N360" i="1"/>
  <c r="N337" i="1"/>
  <c r="N333" i="1"/>
  <c r="N334" i="1"/>
  <c r="N327" i="1"/>
  <c r="N328" i="1"/>
  <c r="N329" i="1"/>
  <c r="N339" i="1"/>
  <c r="N271" i="1"/>
  <c r="N272" i="1"/>
  <c r="N261" i="1"/>
  <c r="N270" i="1"/>
  <c r="N260" i="1"/>
  <c r="N267" i="1"/>
  <c r="N265" i="1"/>
  <c r="N262" i="1"/>
  <c r="N266" i="1"/>
  <c r="O16" i="17"/>
  <c r="N68" i="15" s="1"/>
  <c r="N67" i="15" s="1"/>
  <c r="M343" i="1"/>
  <c r="BT175" i="13"/>
  <c r="BS200" i="13"/>
  <c r="BU150" i="13"/>
  <c r="BV96" i="13"/>
  <c r="BQ46" i="13"/>
  <c r="BR48" i="13"/>
  <c r="BQ49" i="13"/>
  <c r="K276" i="1"/>
  <c r="K370" i="1" s="1"/>
  <c r="N81" i="15" l="1"/>
  <c r="F118" i="13"/>
  <c r="E125" i="13"/>
  <c r="E130" i="13" s="1"/>
  <c r="C137" i="13" s="1"/>
  <c r="F122" i="13"/>
  <c r="E127" i="13"/>
  <c r="E132" i="13" s="1"/>
  <c r="E137" i="13" s="1"/>
  <c r="F120" i="13"/>
  <c r="E126" i="13"/>
  <c r="E131" i="13" s="1"/>
  <c r="D137" i="13" s="1"/>
  <c r="O7" i="15"/>
  <c r="O11" i="15" s="1"/>
  <c r="N12" i="17"/>
  <c r="O14" i="17"/>
  <c r="O10" i="17" s="1"/>
  <c r="P7" i="34" s="1"/>
  <c r="P11" i="34" s="1"/>
  <c r="P16" i="17"/>
  <c r="O68" i="15" s="1"/>
  <c r="O67" i="15" s="1"/>
  <c r="P15" i="17"/>
  <c r="O64" i="15" s="1"/>
  <c r="O63" i="15" s="1"/>
  <c r="N343" i="1"/>
  <c r="R12" i="14"/>
  <c r="R10" i="14" s="1"/>
  <c r="R20" i="14" s="1"/>
  <c r="P17" i="17"/>
  <c r="O71" i="15" s="1"/>
  <c r="O70" i="15" s="1"/>
  <c r="M369" i="1"/>
  <c r="O52" i="17"/>
  <c r="Q10" i="14"/>
  <c r="N366" i="1"/>
  <c r="P53" i="17" s="1"/>
  <c r="P256" i="1"/>
  <c r="O337" i="1"/>
  <c r="O333" i="1"/>
  <c r="O334" i="1"/>
  <c r="O327" i="1"/>
  <c r="O328" i="1"/>
  <c r="O329" i="1"/>
  <c r="O355" i="1"/>
  <c r="O339" i="1"/>
  <c r="O356" i="1"/>
  <c r="O351" i="1"/>
  <c r="O360" i="1"/>
  <c r="O362" i="1"/>
  <c r="O350" i="1"/>
  <c r="O357" i="1"/>
  <c r="O352" i="1"/>
  <c r="O361" i="1"/>
  <c r="O338" i="1"/>
  <c r="O332" i="1"/>
  <c r="O271" i="1"/>
  <c r="O272" i="1"/>
  <c r="O270" i="1"/>
  <c r="O261" i="1"/>
  <c r="O262" i="1"/>
  <c r="O260" i="1"/>
  <c r="O266" i="1"/>
  <c r="O265" i="1"/>
  <c r="O267" i="1"/>
  <c r="BT200" i="13"/>
  <c r="BU175" i="13"/>
  <c r="BW96" i="13"/>
  <c r="BV150" i="13"/>
  <c r="BS48" i="13"/>
  <c r="BR49" i="13"/>
  <c r="BR46" i="13"/>
  <c r="L276" i="1"/>
  <c r="L370" i="1" s="1"/>
  <c r="O81" i="15" l="1"/>
  <c r="G120" i="13"/>
  <c r="F126" i="13"/>
  <c r="F131" i="13" s="1"/>
  <c r="D138" i="13" s="1"/>
  <c r="G118" i="13"/>
  <c r="F125" i="13"/>
  <c r="F130" i="13" s="1"/>
  <c r="C138" i="13" s="1"/>
  <c r="G122" i="13"/>
  <c r="F127" i="13"/>
  <c r="F132" i="13" s="1"/>
  <c r="E138" i="13" s="1"/>
  <c r="BT201" i="13" s="1"/>
  <c r="P7" i="15"/>
  <c r="P11" i="15" s="1"/>
  <c r="O12" i="17"/>
  <c r="Q16" i="17"/>
  <c r="P68" i="15" s="1"/>
  <c r="P67" i="15" s="1"/>
  <c r="Q15" i="17"/>
  <c r="P64" i="15" s="1"/>
  <c r="P63" i="15" s="1"/>
  <c r="O343" i="1"/>
  <c r="Q256" i="1"/>
  <c r="P355" i="1"/>
  <c r="P356" i="1"/>
  <c r="P357" i="1"/>
  <c r="P350" i="1"/>
  <c r="P351" i="1"/>
  <c r="P352" i="1"/>
  <c r="P360" i="1"/>
  <c r="P339" i="1"/>
  <c r="P332" i="1"/>
  <c r="P362" i="1"/>
  <c r="P361" i="1"/>
  <c r="P338" i="1"/>
  <c r="P334" i="1"/>
  <c r="P329" i="1"/>
  <c r="P337" i="1"/>
  <c r="P327" i="1"/>
  <c r="P333" i="1"/>
  <c r="P328" i="1"/>
  <c r="P271" i="1"/>
  <c r="P272" i="1"/>
  <c r="P270" i="1"/>
  <c r="P261" i="1"/>
  <c r="P265" i="1"/>
  <c r="P266" i="1"/>
  <c r="P260" i="1"/>
  <c r="P262" i="1"/>
  <c r="P267" i="1"/>
  <c r="N369" i="1"/>
  <c r="P52" i="17"/>
  <c r="Q17" i="17"/>
  <c r="P71" i="15" s="1"/>
  <c r="P70" i="15" s="1"/>
  <c r="S12" i="14"/>
  <c r="S10" i="14" s="1"/>
  <c r="S20" i="14" s="1"/>
  <c r="O366" i="1"/>
  <c r="Q53" i="17" s="1"/>
  <c r="Q20" i="14"/>
  <c r="P14" i="17"/>
  <c r="P10" i="17" s="1"/>
  <c r="Q7" i="34" s="1"/>
  <c r="Q11" i="34" s="1"/>
  <c r="BV175" i="13"/>
  <c r="BV151" i="13"/>
  <c r="BU200" i="13"/>
  <c r="BU176" i="13"/>
  <c r="BX96" i="13"/>
  <c r="BW150" i="13"/>
  <c r="BS46" i="13"/>
  <c r="BS49" i="13"/>
  <c r="BT48" i="13"/>
  <c r="M276" i="1"/>
  <c r="M370" i="1" s="1"/>
  <c r="P81" i="15" l="1"/>
  <c r="H118" i="13"/>
  <c r="G125" i="13"/>
  <c r="G130" i="13" s="1"/>
  <c r="C139" i="13" s="1"/>
  <c r="AP201" i="13"/>
  <c r="AH201" i="13"/>
  <c r="AK201" i="13"/>
  <c r="AN201" i="13"/>
  <c r="BB201" i="13"/>
  <c r="AF201" i="13"/>
  <c r="U201" i="13"/>
  <c r="AE201" i="13"/>
  <c r="BC201" i="13"/>
  <c r="AO201" i="13"/>
  <c r="AB201" i="13"/>
  <c r="AL201" i="13"/>
  <c r="Z201" i="13"/>
  <c r="AZ201" i="13"/>
  <c r="BD201" i="13"/>
  <c r="AI201" i="13"/>
  <c r="AA201" i="13"/>
  <c r="AS201" i="13"/>
  <c r="T201" i="13"/>
  <c r="V201" i="13"/>
  <c r="BA201" i="13"/>
  <c r="AW201" i="13"/>
  <c r="AR201" i="13"/>
  <c r="AD201" i="13"/>
  <c r="W201" i="13"/>
  <c r="AU201" i="13"/>
  <c r="AV201" i="13"/>
  <c r="AT201" i="13"/>
  <c r="AM201" i="13"/>
  <c r="AC201" i="13"/>
  <c r="AY201" i="13"/>
  <c r="X201" i="13"/>
  <c r="Y201" i="13"/>
  <c r="AX201" i="13"/>
  <c r="AJ201" i="13"/>
  <c r="AQ201" i="13"/>
  <c r="AG201" i="13"/>
  <c r="S201" i="13"/>
  <c r="S221" i="13" s="1"/>
  <c r="S223" i="13" s="1"/>
  <c r="R17" i="17" s="1"/>
  <c r="Q71" i="15" s="1"/>
  <c r="Q70" i="15" s="1"/>
  <c r="BE201" i="13"/>
  <c r="BF201" i="13"/>
  <c r="BG201" i="13"/>
  <c r="BH201" i="13"/>
  <c r="BI201" i="13"/>
  <c r="BJ201" i="13"/>
  <c r="BK201" i="13"/>
  <c r="BL201" i="13"/>
  <c r="BM201" i="13"/>
  <c r="BN201" i="13"/>
  <c r="BO201" i="13"/>
  <c r="BP201" i="13"/>
  <c r="BQ201" i="13"/>
  <c r="BR201" i="13"/>
  <c r="BS201" i="13"/>
  <c r="AA176" i="13"/>
  <c r="AF176" i="13"/>
  <c r="AE176" i="13"/>
  <c r="BB176" i="13"/>
  <c r="AN176" i="13"/>
  <c r="AW176" i="13"/>
  <c r="AR176" i="13"/>
  <c r="BC176" i="13"/>
  <c r="AP176" i="13"/>
  <c r="AB176" i="13"/>
  <c r="AT176" i="13"/>
  <c r="AH176" i="13"/>
  <c r="U176" i="13"/>
  <c r="AQ176" i="13"/>
  <c r="AJ176" i="13"/>
  <c r="AZ176" i="13"/>
  <c r="AD176" i="13"/>
  <c r="AS176" i="13"/>
  <c r="AM176" i="13"/>
  <c r="AL176" i="13"/>
  <c r="AU176" i="13"/>
  <c r="AK176" i="13"/>
  <c r="T176" i="13"/>
  <c r="S176" i="13"/>
  <c r="S196" i="13" s="1"/>
  <c r="S198" i="13" s="1"/>
  <c r="R16" i="17" s="1"/>
  <c r="Q68" i="15" s="1"/>
  <c r="Q67" i="15" s="1"/>
  <c r="AO176" i="13"/>
  <c r="BD176" i="13"/>
  <c r="AY176" i="13"/>
  <c r="AV176" i="13"/>
  <c r="AG176" i="13"/>
  <c r="BA176" i="13"/>
  <c r="Y176" i="13"/>
  <c r="AI176" i="13"/>
  <c r="V176" i="13"/>
  <c r="AC176" i="13"/>
  <c r="W176" i="13"/>
  <c r="X176" i="13"/>
  <c r="AX176" i="13"/>
  <c r="Z176" i="13"/>
  <c r="BE176" i="13"/>
  <c r="BF176" i="13"/>
  <c r="BG176" i="13"/>
  <c r="BH176" i="13"/>
  <c r="BI176" i="13"/>
  <c r="BJ176" i="13"/>
  <c r="BK176" i="13"/>
  <c r="BL176" i="13"/>
  <c r="BM176" i="13"/>
  <c r="BN176" i="13"/>
  <c r="BO176" i="13"/>
  <c r="BP176" i="13"/>
  <c r="BQ176" i="13"/>
  <c r="BR176" i="13"/>
  <c r="BS176" i="13"/>
  <c r="BT176" i="13"/>
  <c r="G127" i="13"/>
  <c r="G132" i="13" s="1"/>
  <c r="E139" i="13" s="1"/>
  <c r="BU202" i="13" s="1"/>
  <c r="H122" i="13"/>
  <c r="H120" i="13"/>
  <c r="G126" i="13"/>
  <c r="G131" i="13" s="1"/>
  <c r="D139" i="13" s="1"/>
  <c r="BV177" i="13" s="1"/>
  <c r="AO151" i="13"/>
  <c r="AJ151" i="13"/>
  <c r="BC151" i="13"/>
  <c r="AW151" i="13"/>
  <c r="AI151" i="13"/>
  <c r="BB151" i="13"/>
  <c r="AL151" i="13"/>
  <c r="AM151" i="13"/>
  <c r="AN151" i="13"/>
  <c r="AP151" i="13"/>
  <c r="X151" i="13"/>
  <c r="Y151" i="13"/>
  <c r="AF151" i="13"/>
  <c r="T151" i="13"/>
  <c r="V151" i="13"/>
  <c r="AT151" i="13"/>
  <c r="AE151" i="13"/>
  <c r="Z151" i="13"/>
  <c r="BA151" i="13"/>
  <c r="AH151" i="13"/>
  <c r="AR151" i="13"/>
  <c r="AX151" i="13"/>
  <c r="S151" i="13"/>
  <c r="S171" i="13" s="1"/>
  <c r="S173" i="13" s="1"/>
  <c r="R15" i="17" s="1"/>
  <c r="Q64" i="15" s="1"/>
  <c r="Q63" i="15" s="1"/>
  <c r="AV151" i="13"/>
  <c r="AS151" i="13"/>
  <c r="AU151" i="13"/>
  <c r="AC151" i="13"/>
  <c r="W151" i="13"/>
  <c r="BD151" i="13"/>
  <c r="U151" i="13"/>
  <c r="AB151" i="13"/>
  <c r="AK151" i="13"/>
  <c r="AQ151" i="13"/>
  <c r="AG151" i="13"/>
  <c r="AA151" i="13"/>
  <c r="AZ151" i="13"/>
  <c r="AD151" i="13"/>
  <c r="AY151" i="13"/>
  <c r="BE151" i="13"/>
  <c r="BF151" i="13"/>
  <c r="BG151" i="13"/>
  <c r="BH151" i="13"/>
  <c r="BI151" i="13"/>
  <c r="BJ151" i="13"/>
  <c r="BK151" i="13"/>
  <c r="BL151" i="13"/>
  <c r="BM151" i="13"/>
  <c r="BN151" i="13"/>
  <c r="BO151" i="13"/>
  <c r="BP151" i="13"/>
  <c r="BQ151" i="13"/>
  <c r="BR151" i="13"/>
  <c r="BS151" i="13"/>
  <c r="BT151" i="13"/>
  <c r="BU151" i="13"/>
  <c r="Q7" i="15"/>
  <c r="Q11" i="15" s="1"/>
  <c r="P12" i="17"/>
  <c r="T12" i="14"/>
  <c r="T10" i="14" s="1"/>
  <c r="T20" i="14" s="1"/>
  <c r="P343" i="1"/>
  <c r="P366" i="1"/>
  <c r="R53" i="17" s="1"/>
  <c r="R256" i="1"/>
  <c r="Q361" i="1"/>
  <c r="Q337" i="1"/>
  <c r="Q356" i="1"/>
  <c r="Q351" i="1"/>
  <c r="Q360" i="1"/>
  <c r="Q355" i="1"/>
  <c r="Q357" i="1"/>
  <c r="Q350" i="1"/>
  <c r="Q352" i="1"/>
  <c r="Q332" i="1"/>
  <c r="Q333" i="1"/>
  <c r="Q334" i="1"/>
  <c r="Q327" i="1"/>
  <c r="Q328" i="1"/>
  <c r="Q329" i="1"/>
  <c r="Q338" i="1"/>
  <c r="Q339" i="1"/>
  <c r="Q362" i="1"/>
  <c r="Q271" i="1"/>
  <c r="Q272" i="1"/>
  <c r="Q261" i="1"/>
  <c r="Q270" i="1"/>
  <c r="Q262" i="1"/>
  <c r="Q267" i="1"/>
  <c r="Q260" i="1"/>
  <c r="Q265" i="1"/>
  <c r="Q266" i="1"/>
  <c r="O369" i="1"/>
  <c r="Q52" i="17"/>
  <c r="Q14" i="17"/>
  <c r="Q10" i="17" s="1"/>
  <c r="R7" i="34" s="1"/>
  <c r="R11" i="34" s="1"/>
  <c r="BW175" i="13"/>
  <c r="BW151" i="13"/>
  <c r="BW152" i="13"/>
  <c r="BU201" i="13"/>
  <c r="BV200" i="13"/>
  <c r="BV176" i="13"/>
  <c r="BY96" i="13"/>
  <c r="BX150" i="13"/>
  <c r="BU48" i="13"/>
  <c r="BT49" i="13"/>
  <c r="BT46" i="13"/>
  <c r="N276" i="1"/>
  <c r="N370" i="1" s="1"/>
  <c r="Q81" i="15" l="1"/>
  <c r="R54" i="17"/>
  <c r="I122" i="13"/>
  <c r="H127" i="13"/>
  <c r="H132" i="13" s="1"/>
  <c r="E140" i="13" s="1"/>
  <c r="BV203" i="13" s="1"/>
  <c r="I120" i="13"/>
  <c r="H126" i="13"/>
  <c r="H131" i="13" s="1"/>
  <c r="D140" i="13" s="1"/>
  <c r="BW178" i="13" s="1"/>
  <c r="U202" i="13"/>
  <c r="BA202" i="13"/>
  <c r="AH202" i="13"/>
  <c r="AA202" i="13"/>
  <c r="AN202" i="13"/>
  <c r="BB202" i="13"/>
  <c r="AE202" i="13"/>
  <c r="AT202" i="13"/>
  <c r="BE202" i="13"/>
  <c r="BD202" i="13"/>
  <c r="Y202" i="13"/>
  <c r="W202" i="13"/>
  <c r="AG202" i="13"/>
  <c r="AZ202" i="13"/>
  <c r="AV202" i="13"/>
  <c r="AO202" i="13"/>
  <c r="AF202" i="13"/>
  <c r="AW202" i="13"/>
  <c r="Z202" i="13"/>
  <c r="V202" i="13"/>
  <c r="AB202" i="13"/>
  <c r="X202" i="13"/>
  <c r="AM202" i="13"/>
  <c r="AK202" i="13"/>
  <c r="AU202" i="13"/>
  <c r="BC202" i="13"/>
  <c r="AI202" i="13"/>
  <c r="AS202" i="13"/>
  <c r="T202" i="13"/>
  <c r="T221" i="13" s="1"/>
  <c r="T223" i="13" s="1"/>
  <c r="S17" i="17" s="1"/>
  <c r="R71" i="15" s="1"/>
  <c r="R70" i="15" s="1"/>
  <c r="AX202" i="13"/>
  <c r="AJ202" i="13"/>
  <c r="AR202" i="13"/>
  <c r="AQ202" i="13"/>
  <c r="AY202" i="13"/>
  <c r="AP202" i="13"/>
  <c r="AL202" i="13"/>
  <c r="AD202" i="13"/>
  <c r="AC202" i="13"/>
  <c r="BF202" i="13"/>
  <c r="BG202" i="13"/>
  <c r="BH202" i="13"/>
  <c r="BI202" i="13"/>
  <c r="BJ202" i="13"/>
  <c r="BK202" i="13"/>
  <c r="BL202" i="13"/>
  <c r="BM202" i="13"/>
  <c r="BN202" i="13"/>
  <c r="BO202" i="13"/>
  <c r="BP202" i="13"/>
  <c r="BQ202" i="13"/>
  <c r="BR202" i="13"/>
  <c r="BS202" i="13"/>
  <c r="BT202" i="13"/>
  <c r="T152" i="13"/>
  <c r="T171" i="13" s="1"/>
  <c r="T173" i="13" s="1"/>
  <c r="S15" i="17" s="1"/>
  <c r="R64" i="15" s="1"/>
  <c r="R63" i="15" s="1"/>
  <c r="AW152" i="13"/>
  <c r="AO152" i="13"/>
  <c r="AJ152" i="13"/>
  <c r="AX152" i="13"/>
  <c r="X152" i="13"/>
  <c r="AY152" i="13"/>
  <c r="AC152" i="13"/>
  <c r="W152" i="13"/>
  <c r="AS152" i="13"/>
  <c r="BD152" i="13"/>
  <c r="AR152" i="13"/>
  <c r="AT152" i="13"/>
  <c r="Z152" i="13"/>
  <c r="AU152" i="13"/>
  <c r="AQ152" i="13"/>
  <c r="AL152" i="13"/>
  <c r="AI152" i="13"/>
  <c r="AN152" i="13"/>
  <c r="AK152" i="13"/>
  <c r="BE152" i="13"/>
  <c r="U152" i="13"/>
  <c r="AF152" i="13"/>
  <c r="BC152" i="13"/>
  <c r="AA152" i="13"/>
  <c r="AZ152" i="13"/>
  <c r="AV152" i="13"/>
  <c r="AH152" i="13"/>
  <c r="AE152" i="13"/>
  <c r="AG152" i="13"/>
  <c r="AB152" i="13"/>
  <c r="BB152" i="13"/>
  <c r="BA152" i="13"/>
  <c r="AM152" i="13"/>
  <c r="AP152" i="13"/>
  <c r="BF152" i="13"/>
  <c r="Y152" i="13"/>
  <c r="AD152" i="13"/>
  <c r="V152" i="13"/>
  <c r="BG152" i="13"/>
  <c r="BH152" i="13"/>
  <c r="BI152" i="13"/>
  <c r="BJ152" i="13"/>
  <c r="BK152" i="13"/>
  <c r="BL152" i="13"/>
  <c r="BM152" i="13"/>
  <c r="BN152" i="13"/>
  <c r="BO152" i="13"/>
  <c r="BP152" i="13"/>
  <c r="BQ152" i="13"/>
  <c r="BR152" i="13"/>
  <c r="BS152" i="13"/>
  <c r="BT152" i="13"/>
  <c r="BU152" i="13"/>
  <c r="BV152" i="13"/>
  <c r="AL177" i="13"/>
  <c r="AC177" i="13"/>
  <c r="AT177" i="13"/>
  <c r="AZ177" i="13"/>
  <c r="AS177" i="13"/>
  <c r="AB177" i="13"/>
  <c r="AU177" i="13"/>
  <c r="AX177" i="13"/>
  <c r="AJ177" i="13"/>
  <c r="AY177" i="13"/>
  <c r="T177" i="13"/>
  <c r="T196" i="13" s="1"/>
  <c r="T198" i="13" s="1"/>
  <c r="S16" i="17" s="1"/>
  <c r="R68" i="15" s="1"/>
  <c r="R67" i="15" s="1"/>
  <c r="X177" i="13"/>
  <c r="BD177" i="13"/>
  <c r="AK177" i="13"/>
  <c r="AD177" i="13"/>
  <c r="AG177" i="13"/>
  <c r="BE177" i="13"/>
  <c r="V177" i="13"/>
  <c r="Y177" i="13"/>
  <c r="U177" i="13"/>
  <c r="AA177" i="13"/>
  <c r="AI177" i="13"/>
  <c r="AP177" i="13"/>
  <c r="AE177" i="13"/>
  <c r="AV177" i="13"/>
  <c r="AF177" i="13"/>
  <c r="BA177" i="13"/>
  <c r="AM177" i="13"/>
  <c r="AO177" i="13"/>
  <c r="BC177" i="13"/>
  <c r="BB177" i="13"/>
  <c r="W177" i="13"/>
  <c r="AW177" i="13"/>
  <c r="AH177" i="13"/>
  <c r="AR177" i="13"/>
  <c r="Z177" i="13"/>
  <c r="AN177" i="13"/>
  <c r="AQ177" i="13"/>
  <c r="BF177" i="13"/>
  <c r="BG177" i="13"/>
  <c r="BH177" i="13"/>
  <c r="BI177" i="13"/>
  <c r="BJ177" i="13"/>
  <c r="BK177" i="13"/>
  <c r="BL177" i="13"/>
  <c r="BM177" i="13"/>
  <c r="BN177" i="13"/>
  <c r="BO177" i="13"/>
  <c r="BP177" i="13"/>
  <c r="BQ177" i="13"/>
  <c r="BR177" i="13"/>
  <c r="BS177" i="13"/>
  <c r="BT177" i="13"/>
  <c r="BU177" i="13"/>
  <c r="I118" i="13"/>
  <c r="H125" i="13"/>
  <c r="H130" i="13" s="1"/>
  <c r="C140" i="13" s="1"/>
  <c r="BX153" i="13" s="1"/>
  <c r="R7" i="15"/>
  <c r="R11" i="15" s="1"/>
  <c r="Q12" i="17"/>
  <c r="R14" i="17"/>
  <c r="R10" i="17" s="1"/>
  <c r="S7" i="34" s="1"/>
  <c r="S11" i="34" s="1"/>
  <c r="Q366" i="1"/>
  <c r="S53" i="17" s="1"/>
  <c r="U12" i="14"/>
  <c r="U10" i="14" s="1"/>
  <c r="U20" i="14" s="1"/>
  <c r="P369" i="1"/>
  <c r="R52" i="17"/>
  <c r="Q343" i="1"/>
  <c r="S256" i="1"/>
  <c r="R355" i="1"/>
  <c r="R356" i="1"/>
  <c r="R357" i="1"/>
  <c r="R350" i="1"/>
  <c r="R351" i="1"/>
  <c r="R362" i="1"/>
  <c r="R338" i="1"/>
  <c r="R339" i="1"/>
  <c r="R337" i="1"/>
  <c r="R352" i="1"/>
  <c r="R361" i="1"/>
  <c r="R332" i="1"/>
  <c r="R333" i="1"/>
  <c r="R334" i="1"/>
  <c r="R327" i="1"/>
  <c r="R328" i="1"/>
  <c r="R329" i="1"/>
  <c r="R360" i="1"/>
  <c r="R271" i="1"/>
  <c r="R272" i="1"/>
  <c r="R270" i="1"/>
  <c r="R261" i="1"/>
  <c r="R266" i="1"/>
  <c r="R265" i="1"/>
  <c r="R260" i="1"/>
  <c r="R262" i="1"/>
  <c r="R267" i="1"/>
  <c r="BV201" i="13"/>
  <c r="BV202" i="13"/>
  <c r="BX175" i="13"/>
  <c r="BX151" i="13"/>
  <c r="BX152" i="13"/>
  <c r="BW200" i="13"/>
  <c r="BW176" i="13"/>
  <c r="BW177" i="13"/>
  <c r="BZ96" i="13"/>
  <c r="BY150" i="13"/>
  <c r="BU46" i="13"/>
  <c r="BV48" i="13"/>
  <c r="BU49" i="13"/>
  <c r="O276" i="1"/>
  <c r="O370" i="1" s="1"/>
  <c r="R81" i="15" l="1"/>
  <c r="BE178" i="13"/>
  <c r="Y178" i="13"/>
  <c r="AU178" i="13"/>
  <c r="AA178" i="13"/>
  <c r="BC178" i="13"/>
  <c r="AV178" i="13"/>
  <c r="AE178" i="13"/>
  <c r="AS178" i="13"/>
  <c r="AW178" i="13"/>
  <c r="AG178" i="13"/>
  <c r="V178" i="13"/>
  <c r="X178" i="13"/>
  <c r="AJ178" i="13"/>
  <c r="BA178" i="13"/>
  <c r="BD178" i="13"/>
  <c r="W178" i="13"/>
  <c r="AZ178" i="13"/>
  <c r="AK178" i="13"/>
  <c r="AI178" i="13"/>
  <c r="U178" i="13"/>
  <c r="U196" i="13" s="1"/>
  <c r="U198" i="13" s="1"/>
  <c r="T16" i="17" s="1"/>
  <c r="S68" i="15" s="1"/>
  <c r="S67" i="15" s="1"/>
  <c r="AR178" i="13"/>
  <c r="AQ178" i="13"/>
  <c r="AY178" i="13"/>
  <c r="AX178" i="13"/>
  <c r="AN178" i="13"/>
  <c r="AC178" i="13"/>
  <c r="AM178" i="13"/>
  <c r="AD178" i="13"/>
  <c r="AH178" i="13"/>
  <c r="AB178" i="13"/>
  <c r="AO178" i="13"/>
  <c r="BF178" i="13"/>
  <c r="AT178" i="13"/>
  <c r="Z178" i="13"/>
  <c r="AP178" i="13"/>
  <c r="AF178" i="13"/>
  <c r="BB178" i="13"/>
  <c r="AL178" i="13"/>
  <c r="BG178" i="13"/>
  <c r="BH178" i="13"/>
  <c r="BI178" i="13"/>
  <c r="BJ178" i="13"/>
  <c r="BK178" i="13"/>
  <c r="BL178" i="13"/>
  <c r="BM178" i="13"/>
  <c r="BN178" i="13"/>
  <c r="BO178" i="13"/>
  <c r="BP178" i="13"/>
  <c r="BQ178" i="13"/>
  <c r="BR178" i="13"/>
  <c r="BS178" i="13"/>
  <c r="BT178" i="13"/>
  <c r="BU178" i="13"/>
  <c r="BV178" i="13"/>
  <c r="J122" i="13"/>
  <c r="I127" i="13"/>
  <c r="I132" i="13" s="1"/>
  <c r="E141" i="13" s="1"/>
  <c r="BW204" i="13" s="1"/>
  <c r="BA153" i="13"/>
  <c r="AP153" i="13"/>
  <c r="Y153" i="13"/>
  <c r="AK153" i="13"/>
  <c r="AU153" i="13"/>
  <c r="AZ153" i="13"/>
  <c r="BD153" i="13"/>
  <c r="AL153" i="13"/>
  <c r="AC153" i="13"/>
  <c r="AT153" i="13"/>
  <c r="AG153" i="13"/>
  <c r="BE153" i="13"/>
  <c r="AS153" i="13"/>
  <c r="U153" i="13"/>
  <c r="U171" i="13" s="1"/>
  <c r="U173" i="13" s="1"/>
  <c r="T15" i="17" s="1"/>
  <c r="S64" i="15" s="1"/>
  <c r="S63" i="15" s="1"/>
  <c r="AM153" i="13"/>
  <c r="BF153" i="13"/>
  <c r="AV153" i="13"/>
  <c r="AF153" i="13"/>
  <c r="X153" i="13"/>
  <c r="AI153" i="13"/>
  <c r="Z153" i="13"/>
  <c r="BC153" i="13"/>
  <c r="AQ153" i="13"/>
  <c r="AW153" i="13"/>
  <c r="AX153" i="13"/>
  <c r="AR153" i="13"/>
  <c r="AY153" i="13"/>
  <c r="AA153" i="13"/>
  <c r="AO153" i="13"/>
  <c r="AN153" i="13"/>
  <c r="V153" i="13"/>
  <c r="AH153" i="13"/>
  <c r="AD153" i="13"/>
  <c r="AE153" i="13"/>
  <c r="BB153" i="13"/>
  <c r="AB153" i="13"/>
  <c r="AJ153" i="13"/>
  <c r="W153" i="13"/>
  <c r="BG153" i="13"/>
  <c r="BH153" i="13"/>
  <c r="BI153" i="13"/>
  <c r="BJ153" i="13"/>
  <c r="BK153" i="13"/>
  <c r="BL153" i="13"/>
  <c r="BM153" i="13"/>
  <c r="BN153" i="13"/>
  <c r="BO153" i="13"/>
  <c r="BP153" i="13"/>
  <c r="BQ153" i="13"/>
  <c r="BR153" i="13"/>
  <c r="BS153" i="13"/>
  <c r="BT153" i="13"/>
  <c r="BU153" i="13"/>
  <c r="BV153" i="13"/>
  <c r="BW153" i="13"/>
  <c r="S54" i="17"/>
  <c r="J120" i="13"/>
  <c r="I126" i="13"/>
  <c r="I131" i="13" s="1"/>
  <c r="D141" i="13" s="1"/>
  <c r="I125" i="13"/>
  <c r="I130" i="13" s="1"/>
  <c r="C141" i="13" s="1"/>
  <c r="BY154" i="13" s="1"/>
  <c r="J118" i="13"/>
  <c r="AS203" i="13"/>
  <c r="AZ203" i="13"/>
  <c r="V203" i="13"/>
  <c r="W203" i="13"/>
  <c r="AD203" i="13"/>
  <c r="AY203" i="13"/>
  <c r="AU203" i="13"/>
  <c r="AP203" i="13"/>
  <c r="U203" i="13"/>
  <c r="U221" i="13" s="1"/>
  <c r="U223" i="13" s="1"/>
  <c r="T17" i="17" s="1"/>
  <c r="S71" i="15" s="1"/>
  <c r="S70" i="15" s="1"/>
  <c r="AX203" i="13"/>
  <c r="AB203" i="13"/>
  <c r="AT203" i="13"/>
  <c r="AO203" i="13"/>
  <c r="X203" i="13"/>
  <c r="AC203" i="13"/>
  <c r="AR203" i="13"/>
  <c r="BD203" i="13"/>
  <c r="BA203" i="13"/>
  <c r="BB203" i="13"/>
  <c r="BE203" i="13"/>
  <c r="AL203" i="13"/>
  <c r="BC203" i="13"/>
  <c r="AQ203" i="13"/>
  <c r="AK203" i="13"/>
  <c r="Z203" i="13"/>
  <c r="AM203" i="13"/>
  <c r="AE203" i="13"/>
  <c r="AJ203" i="13"/>
  <c r="AA203" i="13"/>
  <c r="AG203" i="13"/>
  <c r="AV203" i="13"/>
  <c r="Y203" i="13"/>
  <c r="AH203" i="13"/>
  <c r="AW203" i="13"/>
  <c r="AI203" i="13"/>
  <c r="AF203" i="13"/>
  <c r="AN203" i="13"/>
  <c r="BF203" i="13"/>
  <c r="BG203" i="13"/>
  <c r="BH203" i="13"/>
  <c r="BI203" i="13"/>
  <c r="BJ203" i="13"/>
  <c r="BK203" i="13"/>
  <c r="BL203" i="13"/>
  <c r="BM203" i="13"/>
  <c r="BN203" i="13"/>
  <c r="BO203" i="13"/>
  <c r="BP203" i="13"/>
  <c r="BQ203" i="13"/>
  <c r="BR203" i="13"/>
  <c r="BS203" i="13"/>
  <c r="BT203" i="13"/>
  <c r="BU203" i="13"/>
  <c r="S7" i="15"/>
  <c r="S11" i="15" s="1"/>
  <c r="R12" i="17"/>
  <c r="R343" i="1"/>
  <c r="Q369" i="1"/>
  <c r="S52" i="17"/>
  <c r="S14" i="17"/>
  <c r="S10" i="17" s="1"/>
  <c r="T7" i="34" s="1"/>
  <c r="T11" i="34" s="1"/>
  <c r="V12" i="14"/>
  <c r="V10" i="14" s="1"/>
  <c r="V20" i="14" s="1"/>
  <c r="R366" i="1"/>
  <c r="T53" i="17" s="1"/>
  <c r="T256" i="1"/>
  <c r="S352" i="1"/>
  <c r="S361" i="1"/>
  <c r="S338" i="1"/>
  <c r="S332" i="1"/>
  <c r="S333" i="1"/>
  <c r="S334" i="1"/>
  <c r="S327" i="1"/>
  <c r="S328" i="1"/>
  <c r="S360" i="1"/>
  <c r="S362" i="1"/>
  <c r="S355" i="1"/>
  <c r="S357" i="1"/>
  <c r="S350" i="1"/>
  <c r="S337" i="1"/>
  <c r="S329" i="1"/>
  <c r="S356" i="1"/>
  <c r="S351" i="1"/>
  <c r="S339" i="1"/>
  <c r="S271" i="1"/>
  <c r="S272" i="1"/>
  <c r="S270" i="1"/>
  <c r="S261" i="1"/>
  <c r="S266" i="1"/>
  <c r="S267" i="1"/>
  <c r="S262" i="1"/>
  <c r="S260" i="1"/>
  <c r="S265" i="1"/>
  <c r="BX200" i="13"/>
  <c r="BX176" i="13"/>
  <c r="BX177" i="13"/>
  <c r="BX178" i="13"/>
  <c r="BX179" i="13"/>
  <c r="BY175" i="13"/>
  <c r="BY151" i="13"/>
  <c r="BY152" i="13"/>
  <c r="BY153" i="13"/>
  <c r="BW201" i="13"/>
  <c r="BW202" i="13"/>
  <c r="BW203" i="13"/>
  <c r="CA96" i="13"/>
  <c r="BZ150" i="13"/>
  <c r="BW48" i="13"/>
  <c r="BV46" i="13"/>
  <c r="BV49" i="13"/>
  <c r="P276" i="1"/>
  <c r="P370" i="1" s="1"/>
  <c r="S81" i="15" l="1"/>
  <c r="T54" i="17"/>
  <c r="K122" i="13"/>
  <c r="J127" i="13"/>
  <c r="J132" i="13" s="1"/>
  <c r="E142" i="13" s="1"/>
  <c r="BX205" i="13" s="1"/>
  <c r="AN179" i="13"/>
  <c r="AH179" i="13"/>
  <c r="AV179" i="13"/>
  <c r="AC179" i="13"/>
  <c r="AW179" i="13"/>
  <c r="AE179" i="13"/>
  <c r="AY179" i="13"/>
  <c r="AK179" i="13"/>
  <c r="V179" i="13"/>
  <c r="V196" i="13" s="1"/>
  <c r="V198" i="13" s="1"/>
  <c r="U16" i="17" s="1"/>
  <c r="T68" i="15" s="1"/>
  <c r="T67" i="15" s="1"/>
  <c r="BG179" i="13"/>
  <c r="AQ179" i="13"/>
  <c r="BB179" i="13"/>
  <c r="BF179" i="13"/>
  <c r="AP179" i="13"/>
  <c r="BC179" i="13"/>
  <c r="AD179" i="13"/>
  <c r="AS179" i="13"/>
  <c r="W179" i="13"/>
  <c r="AM179" i="13"/>
  <c r="X179" i="13"/>
  <c r="Z179" i="13"/>
  <c r="AB179" i="13"/>
  <c r="AU179" i="13"/>
  <c r="AJ179" i="13"/>
  <c r="AZ179" i="13"/>
  <c r="Y179" i="13"/>
  <c r="AG179" i="13"/>
  <c r="AF179" i="13"/>
  <c r="AO179" i="13"/>
  <c r="BE179" i="13"/>
  <c r="AT179" i="13"/>
  <c r="AX179" i="13"/>
  <c r="AI179" i="13"/>
  <c r="BD179" i="13"/>
  <c r="AA179" i="13"/>
  <c r="BA179" i="13"/>
  <c r="AR179" i="13"/>
  <c r="AL179" i="13"/>
  <c r="BH179" i="13"/>
  <c r="BI179" i="13"/>
  <c r="BJ179" i="13"/>
  <c r="BK179" i="13"/>
  <c r="BL179" i="13"/>
  <c r="BM179" i="13"/>
  <c r="BN179" i="13"/>
  <c r="BO179" i="13"/>
  <c r="BP179" i="13"/>
  <c r="BQ179" i="13"/>
  <c r="BR179" i="13"/>
  <c r="BS179" i="13"/>
  <c r="BT179" i="13"/>
  <c r="BU179" i="13"/>
  <c r="BV179" i="13"/>
  <c r="BW179" i="13"/>
  <c r="K120" i="13"/>
  <c r="J126" i="13"/>
  <c r="J131" i="13" s="1"/>
  <c r="D142" i="13" s="1"/>
  <c r="AK154" i="13"/>
  <c r="AJ154" i="13"/>
  <c r="AG154" i="13"/>
  <c r="BC154" i="13"/>
  <c r="AI154" i="13"/>
  <c r="AX154" i="13"/>
  <c r="X154" i="13"/>
  <c r="V154" i="13"/>
  <c r="V171" i="13" s="1"/>
  <c r="V173" i="13" s="1"/>
  <c r="U15" i="17" s="1"/>
  <c r="T64" i="15" s="1"/>
  <c r="T63" i="15" s="1"/>
  <c r="W154" i="13"/>
  <c r="AQ154" i="13"/>
  <c r="BB154" i="13"/>
  <c r="AB154" i="13"/>
  <c r="AR154" i="13"/>
  <c r="AM154" i="13"/>
  <c r="AY154" i="13"/>
  <c r="AU154" i="13"/>
  <c r="AA154" i="13"/>
  <c r="AZ154" i="13"/>
  <c r="AP154" i="13"/>
  <c r="BA154" i="13"/>
  <c r="BF154" i="13"/>
  <c r="BE154" i="13"/>
  <c r="AV154" i="13"/>
  <c r="AE154" i="13"/>
  <c r="AC154" i="13"/>
  <c r="BD154" i="13"/>
  <c r="BG154" i="13"/>
  <c r="AW154" i="13"/>
  <c r="AL154" i="13"/>
  <c r="AD154" i="13"/>
  <c r="AT154" i="13"/>
  <c r="AF154" i="13"/>
  <c r="Z154" i="13"/>
  <c r="AN154" i="13"/>
  <c r="AH154" i="13"/>
  <c r="AS154" i="13"/>
  <c r="AO154" i="13"/>
  <c r="Y154" i="13"/>
  <c r="BH154" i="13"/>
  <c r="BI154" i="13"/>
  <c r="BJ154" i="13"/>
  <c r="BK154" i="13"/>
  <c r="BL154" i="13"/>
  <c r="BM154" i="13"/>
  <c r="BN154" i="13"/>
  <c r="BO154" i="13"/>
  <c r="BP154" i="13"/>
  <c r="BQ154" i="13"/>
  <c r="BR154" i="13"/>
  <c r="BS154" i="13"/>
  <c r="BT154" i="13"/>
  <c r="BU154" i="13"/>
  <c r="BV154" i="13"/>
  <c r="BW154" i="13"/>
  <c r="BX154" i="13"/>
  <c r="J125" i="13"/>
  <c r="J130" i="13" s="1"/>
  <c r="C142" i="13" s="1"/>
  <c r="K118" i="13"/>
  <c r="AC204" i="13"/>
  <c r="AP204" i="13"/>
  <c r="AR204" i="13"/>
  <c r="AM204" i="13"/>
  <c r="W204" i="13"/>
  <c r="Y204" i="13"/>
  <c r="AI204" i="13"/>
  <c r="BC204" i="13"/>
  <c r="V204" i="13"/>
  <c r="V221" i="13" s="1"/>
  <c r="V223" i="13" s="1"/>
  <c r="AN204" i="13"/>
  <c r="AW204" i="13"/>
  <c r="AJ204" i="13"/>
  <c r="AA204" i="13"/>
  <c r="AL204" i="13"/>
  <c r="BD204" i="13"/>
  <c r="AV204" i="13"/>
  <c r="AZ204" i="13"/>
  <c r="AH204" i="13"/>
  <c r="X204" i="13"/>
  <c r="AX204" i="13"/>
  <c r="AU204" i="13"/>
  <c r="BE204" i="13"/>
  <c r="AY204" i="13"/>
  <c r="AS204" i="13"/>
  <c r="BA204" i="13"/>
  <c r="Z204" i="13"/>
  <c r="AQ204" i="13"/>
  <c r="AT204" i="13"/>
  <c r="AK204" i="13"/>
  <c r="BB204" i="13"/>
  <c r="AD204" i="13"/>
  <c r="AB204" i="13"/>
  <c r="AE204" i="13"/>
  <c r="AO204" i="13"/>
  <c r="BF204" i="13"/>
  <c r="AG204" i="13"/>
  <c r="AF204" i="13"/>
  <c r="BG204" i="13"/>
  <c r="BH204" i="13"/>
  <c r="BI204" i="13"/>
  <c r="BJ204" i="13"/>
  <c r="BK204" i="13"/>
  <c r="BL204" i="13"/>
  <c r="BM204" i="13"/>
  <c r="BN204" i="13"/>
  <c r="BO204" i="13"/>
  <c r="BP204" i="13"/>
  <c r="BQ204" i="13"/>
  <c r="BR204" i="13"/>
  <c r="BS204" i="13"/>
  <c r="BT204" i="13"/>
  <c r="BU204" i="13"/>
  <c r="BV204" i="13"/>
  <c r="T7" i="15"/>
  <c r="T11" i="15" s="1"/>
  <c r="S12" i="17"/>
  <c r="T14" i="17"/>
  <c r="T10" i="17" s="1"/>
  <c r="U7" i="34" s="1"/>
  <c r="U11" i="34" s="1"/>
  <c r="W12" i="14"/>
  <c r="W10" i="14" s="1"/>
  <c r="W20" i="14" s="1"/>
  <c r="S366" i="1"/>
  <c r="U53" i="17" s="1"/>
  <c r="U256" i="1"/>
  <c r="T355" i="1"/>
  <c r="T356" i="1"/>
  <c r="T357" i="1"/>
  <c r="T350" i="1"/>
  <c r="T351" i="1"/>
  <c r="T352" i="1"/>
  <c r="T360" i="1"/>
  <c r="T339" i="1"/>
  <c r="T332" i="1"/>
  <c r="T337" i="1"/>
  <c r="T362" i="1"/>
  <c r="T333" i="1"/>
  <c r="T328" i="1"/>
  <c r="T334" i="1"/>
  <c r="T329" i="1"/>
  <c r="T361" i="1"/>
  <c r="T338" i="1"/>
  <c r="T327" i="1"/>
  <c r="T271" i="1"/>
  <c r="T272" i="1"/>
  <c r="T261" i="1"/>
  <c r="T270" i="1"/>
  <c r="T260" i="1"/>
  <c r="T267" i="1"/>
  <c r="T262" i="1"/>
  <c r="T265" i="1"/>
  <c r="T266" i="1"/>
  <c r="S343" i="1"/>
  <c r="R369" i="1"/>
  <c r="T52" i="17"/>
  <c r="BZ175" i="13"/>
  <c r="BZ151" i="13"/>
  <c r="BZ152" i="13"/>
  <c r="BZ153" i="13"/>
  <c r="BZ154" i="13"/>
  <c r="BY200" i="13"/>
  <c r="BY176" i="13"/>
  <c r="BY177" i="13"/>
  <c r="BY178" i="13"/>
  <c r="BY179" i="13"/>
  <c r="BX201" i="13"/>
  <c r="BX202" i="13"/>
  <c r="BX203" i="13"/>
  <c r="BX204" i="13"/>
  <c r="CB96" i="13"/>
  <c r="CB150" i="13" s="1"/>
  <c r="CA150" i="13"/>
  <c r="BW46" i="13"/>
  <c r="BW49" i="13"/>
  <c r="BX48" i="13"/>
  <c r="Q276" i="1"/>
  <c r="Q370" i="1" s="1"/>
  <c r="T81" i="15" l="1"/>
  <c r="U54" i="17"/>
  <c r="U17" i="17"/>
  <c r="T71" i="15" s="1"/>
  <c r="T70" i="15" s="1"/>
  <c r="BB180" i="13"/>
  <c r="AS180" i="13"/>
  <c r="AP180" i="13"/>
  <c r="AM180" i="13"/>
  <c r="BA180" i="13"/>
  <c r="AN180" i="13"/>
  <c r="AB180" i="13"/>
  <c r="BF180" i="13"/>
  <c r="X180" i="13"/>
  <c r="Z180" i="13"/>
  <c r="AL180" i="13"/>
  <c r="AE180" i="13"/>
  <c r="AX180" i="13"/>
  <c r="AG180" i="13"/>
  <c r="AC180" i="13"/>
  <c r="AZ180" i="13"/>
  <c r="W180" i="13"/>
  <c r="W196" i="13" s="1"/>
  <c r="W198" i="13" s="1"/>
  <c r="V16" i="17" s="1"/>
  <c r="U68" i="15" s="1"/>
  <c r="U67" i="15" s="1"/>
  <c r="AF180" i="13"/>
  <c r="BE180" i="13"/>
  <c r="AH180" i="13"/>
  <c r="AO180" i="13"/>
  <c r="Y180" i="13"/>
  <c r="AI180" i="13"/>
  <c r="BC180" i="13"/>
  <c r="AR180" i="13"/>
  <c r="AY180" i="13"/>
  <c r="AV180" i="13"/>
  <c r="AU180" i="13"/>
  <c r="AJ180" i="13"/>
  <c r="BH180" i="13"/>
  <c r="BD180" i="13"/>
  <c r="AT180" i="13"/>
  <c r="BG180" i="13"/>
  <c r="AK180" i="13"/>
  <c r="AA180" i="13"/>
  <c r="AW180" i="13"/>
  <c r="AD180" i="13"/>
  <c r="AQ180" i="13"/>
  <c r="BI180" i="13"/>
  <c r="BJ180" i="13"/>
  <c r="BK180" i="13"/>
  <c r="BL180" i="13"/>
  <c r="BM180" i="13"/>
  <c r="BN180" i="13"/>
  <c r="BO180" i="13"/>
  <c r="BP180" i="13"/>
  <c r="BQ180" i="13"/>
  <c r="BR180" i="13"/>
  <c r="BS180" i="13"/>
  <c r="BT180" i="13"/>
  <c r="BU180" i="13"/>
  <c r="BV180" i="13"/>
  <c r="BW180" i="13"/>
  <c r="BX180" i="13"/>
  <c r="K126" i="13"/>
  <c r="K131" i="13" s="1"/>
  <c r="D143" i="13" s="1"/>
  <c r="BZ189" i="13" s="1"/>
  <c r="L120" i="13"/>
  <c r="BC205" i="13"/>
  <c r="AN205" i="13"/>
  <c r="AQ205" i="13"/>
  <c r="AS205" i="13"/>
  <c r="X205" i="13"/>
  <c r="AI205" i="13"/>
  <c r="AW205" i="13"/>
  <c r="AX205" i="13"/>
  <c r="AJ205" i="13"/>
  <c r="AA205" i="13"/>
  <c r="AB205" i="13"/>
  <c r="AF205" i="13"/>
  <c r="BD205" i="13"/>
  <c r="BG205" i="13"/>
  <c r="AT205" i="13"/>
  <c r="Y205" i="13"/>
  <c r="AV205" i="13"/>
  <c r="AO205" i="13"/>
  <c r="AR205" i="13"/>
  <c r="AZ205" i="13"/>
  <c r="AM205" i="13"/>
  <c r="BF205" i="13"/>
  <c r="AG205" i="13"/>
  <c r="BB205" i="13"/>
  <c r="W205" i="13"/>
  <c r="W221" i="13" s="1"/>
  <c r="W223" i="13" s="1"/>
  <c r="V17" i="17" s="1"/>
  <c r="U71" i="15" s="1"/>
  <c r="U70" i="15" s="1"/>
  <c r="BA205" i="13"/>
  <c r="BE205" i="13"/>
  <c r="AK205" i="13"/>
  <c r="AE205" i="13"/>
  <c r="AH205" i="13"/>
  <c r="AD205" i="13"/>
  <c r="AY205" i="13"/>
  <c r="AU205" i="13"/>
  <c r="AC205" i="13"/>
  <c r="AL205" i="13"/>
  <c r="AP205" i="13"/>
  <c r="Z205" i="13"/>
  <c r="BH205" i="13"/>
  <c r="BI205" i="13"/>
  <c r="BJ205" i="13"/>
  <c r="BK205" i="13"/>
  <c r="BL205" i="13"/>
  <c r="BM205" i="13"/>
  <c r="BN205" i="13"/>
  <c r="BO205" i="13"/>
  <c r="BP205" i="13"/>
  <c r="BQ205" i="13"/>
  <c r="BR205" i="13"/>
  <c r="BS205" i="13"/>
  <c r="BT205" i="13"/>
  <c r="BU205" i="13"/>
  <c r="BV205" i="13"/>
  <c r="BW205" i="13"/>
  <c r="AK155" i="13"/>
  <c r="AD155" i="13"/>
  <c r="AP155" i="13"/>
  <c r="X155" i="13"/>
  <c r="BA155" i="13"/>
  <c r="AS155" i="13"/>
  <c r="AX155" i="13"/>
  <c r="AH155" i="13"/>
  <c r="AJ155" i="13"/>
  <c r="BH155" i="13"/>
  <c r="AT155" i="13"/>
  <c r="AA155" i="13"/>
  <c r="AB155" i="13"/>
  <c r="BF155" i="13"/>
  <c r="BC155" i="13"/>
  <c r="AW155" i="13"/>
  <c r="AN155" i="13"/>
  <c r="AL155" i="13"/>
  <c r="Y155" i="13"/>
  <c r="W155" i="13"/>
  <c r="W171" i="13" s="1"/>
  <c r="W173" i="13" s="1"/>
  <c r="V15" i="17" s="1"/>
  <c r="U64" i="15" s="1"/>
  <c r="U63" i="15" s="1"/>
  <c r="U81" i="15" s="1"/>
  <c r="AZ155" i="13"/>
  <c r="AU155" i="13"/>
  <c r="AV155" i="13"/>
  <c r="AC155" i="13"/>
  <c r="AY155" i="13"/>
  <c r="AR155" i="13"/>
  <c r="AQ155" i="13"/>
  <c r="AI155" i="13"/>
  <c r="AO155" i="13"/>
  <c r="BD155" i="13"/>
  <c r="BG155" i="13"/>
  <c r="AF155" i="13"/>
  <c r="Z155" i="13"/>
  <c r="BE155" i="13"/>
  <c r="AG155" i="13"/>
  <c r="AM155" i="13"/>
  <c r="AE155" i="13"/>
  <c r="BB155" i="13"/>
  <c r="BI155" i="13"/>
  <c r="BJ155" i="13"/>
  <c r="BK155" i="13"/>
  <c r="BL155" i="13"/>
  <c r="BM155" i="13"/>
  <c r="BN155" i="13"/>
  <c r="BO155" i="13"/>
  <c r="BP155" i="13"/>
  <c r="BQ155" i="13"/>
  <c r="BR155" i="13"/>
  <c r="BS155" i="13"/>
  <c r="BT155" i="13"/>
  <c r="BU155" i="13"/>
  <c r="BV155" i="13"/>
  <c r="BW155" i="13"/>
  <c r="BX155" i="13"/>
  <c r="BY155" i="13"/>
  <c r="BY180" i="13"/>
  <c r="L122" i="13"/>
  <c r="K127" i="13"/>
  <c r="K132" i="13" s="1"/>
  <c r="E143" i="13" s="1"/>
  <c r="BY206" i="13" s="1"/>
  <c r="BZ155" i="13"/>
  <c r="L118" i="13"/>
  <c r="K125" i="13"/>
  <c r="K130" i="13" s="1"/>
  <c r="C143" i="13" s="1"/>
  <c r="CB163" i="13" s="1"/>
  <c r="U7" i="15"/>
  <c r="U11" i="15" s="1"/>
  <c r="T12" i="17"/>
  <c r="S369" i="1"/>
  <c r="U52" i="17"/>
  <c r="T366" i="1"/>
  <c r="V53" i="17" s="1"/>
  <c r="V256" i="1"/>
  <c r="U361" i="1"/>
  <c r="U337" i="1"/>
  <c r="U355" i="1"/>
  <c r="U357" i="1"/>
  <c r="U350" i="1"/>
  <c r="U362" i="1"/>
  <c r="U356" i="1"/>
  <c r="U351" i="1"/>
  <c r="U338" i="1"/>
  <c r="U339" i="1"/>
  <c r="U333" i="1"/>
  <c r="U334" i="1"/>
  <c r="U327" i="1"/>
  <c r="U328" i="1"/>
  <c r="U329" i="1"/>
  <c r="U360" i="1"/>
  <c r="U332" i="1"/>
  <c r="U352" i="1"/>
  <c r="U271" i="1"/>
  <c r="U272" i="1"/>
  <c r="U270" i="1"/>
  <c r="U261" i="1"/>
  <c r="U265" i="1"/>
  <c r="U262" i="1"/>
  <c r="U260" i="1"/>
  <c r="U266" i="1"/>
  <c r="U267" i="1"/>
  <c r="X12" i="14"/>
  <c r="X10" i="14" s="1"/>
  <c r="X20" i="14" s="1"/>
  <c r="T343" i="1"/>
  <c r="CB175" i="13"/>
  <c r="CB151" i="13"/>
  <c r="CB152" i="13"/>
  <c r="CB153" i="13"/>
  <c r="CB154" i="13"/>
  <c r="CB155" i="13"/>
  <c r="BY201" i="13"/>
  <c r="BY203" i="13"/>
  <c r="BY202" i="13"/>
  <c r="BY204" i="13"/>
  <c r="BY205" i="13"/>
  <c r="CA175" i="13"/>
  <c r="CA151" i="13"/>
  <c r="CA152" i="13"/>
  <c r="CA153" i="13"/>
  <c r="CA154" i="13"/>
  <c r="CA155" i="13"/>
  <c r="BZ200" i="13"/>
  <c r="BZ176" i="13"/>
  <c r="BZ177" i="13"/>
  <c r="BZ178" i="13"/>
  <c r="BZ179" i="13"/>
  <c r="BZ180" i="13"/>
  <c r="BY48" i="13"/>
  <c r="BX46" i="13"/>
  <c r="BX49" i="13"/>
  <c r="R276" i="1"/>
  <c r="R370" i="1" s="1"/>
  <c r="BZ183" i="13" l="1"/>
  <c r="BZ185" i="13"/>
  <c r="CA170" i="13"/>
  <c r="BZ190" i="13"/>
  <c r="BZ182" i="13"/>
  <c r="CB164" i="13"/>
  <c r="CB170" i="13"/>
  <c r="CA169" i="13"/>
  <c r="BZ188" i="13"/>
  <c r="BZ193" i="13"/>
  <c r="BZ192" i="13"/>
  <c r="BZ194" i="13"/>
  <c r="BZ195" i="13"/>
  <c r="BZ186" i="13"/>
  <c r="BZ184" i="13"/>
  <c r="BZ181" i="13"/>
  <c r="CA161" i="13"/>
  <c r="CB157" i="13"/>
  <c r="BZ187" i="13"/>
  <c r="BZ191" i="13"/>
  <c r="CA167" i="13"/>
  <c r="CB156" i="13"/>
  <c r="CA159" i="13"/>
  <c r="CA165" i="13"/>
  <c r="CA166" i="13"/>
  <c r="CB161" i="13"/>
  <c r="CB169" i="13"/>
  <c r="CB159" i="13"/>
  <c r="CB168" i="13"/>
  <c r="CA156" i="13"/>
  <c r="CA160" i="13"/>
  <c r="CA157" i="13"/>
  <c r="CA163" i="13"/>
  <c r="CB167" i="13"/>
  <c r="CB158" i="13"/>
  <c r="CB162" i="13"/>
  <c r="CB160" i="13"/>
  <c r="CA162" i="13"/>
  <c r="CA164" i="13"/>
  <c r="CA158" i="13"/>
  <c r="CA168" i="13"/>
  <c r="CB165" i="13"/>
  <c r="CB166" i="13"/>
  <c r="U14" i="17"/>
  <c r="U10" i="17" s="1"/>
  <c r="C144" i="13"/>
  <c r="AL157" i="13"/>
  <c r="AN157" i="13"/>
  <c r="AE156" i="13"/>
  <c r="AW156" i="13"/>
  <c r="AO159" i="13"/>
  <c r="AE161" i="13"/>
  <c r="AO163" i="13"/>
  <c r="AM165" i="13"/>
  <c r="AM156" i="13"/>
  <c r="AG156" i="13"/>
  <c r="BF158" i="13"/>
  <c r="BH160" i="13"/>
  <c r="BA163" i="13"/>
  <c r="BF166" i="13"/>
  <c r="AY169" i="13"/>
  <c r="AX156" i="13"/>
  <c r="BC158" i="13"/>
  <c r="AS160" i="13"/>
  <c r="AM162" i="13"/>
  <c r="AK164" i="13"/>
  <c r="AM166" i="13"/>
  <c r="AS168" i="13"/>
  <c r="BC170" i="13"/>
  <c r="AY159" i="13"/>
  <c r="AF163" i="13"/>
  <c r="AX168" i="13"/>
  <c r="BE158" i="13"/>
  <c r="AQ156" i="13"/>
  <c r="AS157" i="13"/>
  <c r="AR160" i="13"/>
  <c r="AK163" i="13"/>
  <c r="AU165" i="13"/>
  <c r="AZ168" i="13"/>
  <c r="BF170" i="13"/>
  <c r="Z158" i="13"/>
  <c r="BB159" i="13"/>
  <c r="AV161" i="13"/>
  <c r="BF163" i="13"/>
  <c r="BH165" i="13"/>
  <c r="AW168" i="13"/>
  <c r="BG170" i="13"/>
  <c r="AA159" i="13"/>
  <c r="BE162" i="13"/>
  <c r="AZ166" i="13"/>
  <c r="AU156" i="13"/>
  <c r="BI157" i="13"/>
  <c r="BE159" i="13"/>
  <c r="BB157" i="13"/>
  <c r="AD158" i="13"/>
  <c r="AJ160" i="13"/>
  <c r="AP162" i="13"/>
  <c r="AN164" i="13"/>
  <c r="AL166" i="13"/>
  <c r="Z157" i="13"/>
  <c r="AI157" i="13"/>
  <c r="AW159" i="13"/>
  <c r="AL162" i="13"/>
  <c r="AQ165" i="13"/>
  <c r="BI167" i="13"/>
  <c r="BB170" i="13"/>
  <c r="BE157" i="13"/>
  <c r="AX159" i="13"/>
  <c r="AR161" i="13"/>
  <c r="AL163" i="13"/>
  <c r="AN165" i="13"/>
  <c r="AP167" i="13"/>
  <c r="AZ169" i="13"/>
  <c r="BH157" i="13"/>
  <c r="AL161" i="13"/>
  <c r="BI165" i="13"/>
  <c r="AV156" i="13"/>
  <c r="AU160" i="13"/>
  <c r="AX157" i="13"/>
  <c r="AG159" i="13"/>
  <c r="BC161" i="13"/>
  <c r="AF164" i="13"/>
  <c r="AW167" i="13"/>
  <c r="BC169" i="13"/>
  <c r="BD156" i="13"/>
  <c r="BG158" i="13"/>
  <c r="AW160" i="13"/>
  <c r="BG162" i="13"/>
  <c r="BE164" i="13"/>
  <c r="BG166" i="13"/>
  <c r="BD169" i="13"/>
  <c r="AB157" i="13"/>
  <c r="AL160" i="13"/>
  <c r="BC164" i="13"/>
  <c r="BF168" i="13"/>
  <c r="AQ157" i="13"/>
  <c r="AG161" i="13"/>
  <c r="BD157" i="13"/>
  <c r="AF160" i="13"/>
  <c r="BB162" i="13"/>
  <c r="BG165" i="13"/>
  <c r="AR168" i="13"/>
  <c r="X156" i="13"/>
  <c r="X171" i="13" s="1"/>
  <c r="X173" i="13" s="1"/>
  <c r="W15" i="17" s="1"/>
  <c r="V64" i="15" s="1"/>
  <c r="V63" i="15" s="1"/>
  <c r="AI158" i="13"/>
  <c r="AO160" i="13"/>
  <c r="AI162" i="13"/>
  <c r="AT158" i="13"/>
  <c r="BE163" i="13"/>
  <c r="BG156" i="13"/>
  <c r="AC159" i="13"/>
  <c r="AV164" i="13"/>
  <c r="AL170" i="13"/>
  <c r="AH159" i="13"/>
  <c r="BC162" i="13"/>
  <c r="BC166" i="13"/>
  <c r="AJ156" i="13"/>
  <c r="AU164" i="13"/>
  <c r="AJ159" i="13"/>
  <c r="AP158" i="13"/>
  <c r="BI163" i="13"/>
  <c r="AM169" i="13"/>
  <c r="AQ158" i="13"/>
  <c r="AQ162" i="13"/>
  <c r="AQ166" i="13"/>
  <c r="AT156" i="13"/>
  <c r="AN163" i="13"/>
  <c r="AS170" i="13"/>
  <c r="BC160" i="13"/>
  <c r="AC158" i="13"/>
  <c r="BB158" i="13"/>
  <c r="AH162" i="13"/>
  <c r="AX166" i="13"/>
  <c r="AU169" i="13"/>
  <c r="AZ157" i="13"/>
  <c r="BE160" i="13"/>
  <c r="AH163" i="13"/>
  <c r="AJ165" i="13"/>
  <c r="AL167" i="13"/>
  <c r="AV169" i="13"/>
  <c r="AN158" i="13"/>
  <c r="BA165" i="13"/>
  <c r="BI170" i="13"/>
  <c r="BH159" i="13"/>
  <c r="AY163" i="13"/>
  <c r="BD167" i="13"/>
  <c r="BC157" i="13"/>
  <c r="AP161" i="13"/>
  <c r="AO165" i="13"/>
  <c r="AK157" i="13"/>
  <c r="BA161" i="13"/>
  <c r="AH165" i="13"/>
  <c r="AR170" i="13"/>
  <c r="BH164" i="13"/>
  <c r="Y157" i="13"/>
  <c r="AT163" i="13"/>
  <c r="AM157" i="13"/>
  <c r="AO158" i="13"/>
  <c r="BG168" i="13"/>
  <c r="AR157" i="13"/>
  <c r="BE170" i="13"/>
  <c r="BH170" i="13"/>
  <c r="AU157" i="13"/>
  <c r="AL165" i="13"/>
  <c r="AV159" i="13"/>
  <c r="AK168" i="13"/>
  <c r="AN167" i="13"/>
  <c r="AB158" i="13"/>
  <c r="AA156" i="13"/>
  <c r="AX162" i="13"/>
  <c r="BI156" i="13"/>
  <c r="AS164" i="13"/>
  <c r="BB161" i="13"/>
  <c r="AE160" i="13"/>
  <c r="AV167" i="13"/>
  <c r="AD156" i="13"/>
  <c r="AX161" i="13"/>
  <c r="BG167" i="13"/>
  <c r="AP156" i="13"/>
  <c r="AS161" i="13"/>
  <c r="AZ160" i="13"/>
  <c r="BD164" i="13"/>
  <c r="AT157" i="13"/>
  <c r="AN160" i="13"/>
  <c r="AH166" i="13"/>
  <c r="AC156" i="13"/>
  <c r="AC160" i="13"/>
  <c r="BB163" i="13"/>
  <c r="BF167" i="13"/>
  <c r="AV158" i="13"/>
  <c r="AR166" i="13"/>
  <c r="BE161" i="13"/>
  <c r="BA159" i="13"/>
  <c r="AZ164" i="13"/>
  <c r="AP170" i="13"/>
  <c r="AL159" i="13"/>
  <c r="AP163" i="13"/>
  <c r="AT167" i="13"/>
  <c r="BD158" i="13"/>
  <c r="AK165" i="13"/>
  <c r="BF156" i="13"/>
  <c r="AI156" i="13"/>
  <c r="BB156" i="13"/>
  <c r="AS159" i="13"/>
  <c r="AW163" i="13"/>
  <c r="AO167" i="13"/>
  <c r="AX170" i="13"/>
  <c r="AY158" i="13"/>
  <c r="AN161" i="13"/>
  <c r="AX163" i="13"/>
  <c r="AZ165" i="13"/>
  <c r="BB167" i="13"/>
  <c r="AY170" i="13"/>
  <c r="AQ159" i="13"/>
  <c r="AO162" i="13"/>
  <c r="AJ166" i="13"/>
  <c r="AK156" i="13"/>
  <c r="AM160" i="13"/>
  <c r="AH164" i="13"/>
  <c r="AQ168" i="13"/>
  <c r="AJ158" i="13"/>
  <c r="BI162" i="13"/>
  <c r="AQ167" i="13"/>
  <c r="BA158" i="13"/>
  <c r="AF162" i="13"/>
  <c r="BE166" i="13"/>
  <c r="AY156" i="13"/>
  <c r="AT166" i="13"/>
  <c r="AU158" i="13"/>
  <c r="BI164" i="13"/>
  <c r="AG162" i="13"/>
  <c r="AR162" i="13"/>
  <c r="BA169" i="13"/>
  <c r="AR158" i="13"/>
  <c r="AS158" i="13"/>
  <c r="AX158" i="13"/>
  <c r="AF158" i="13"/>
  <c r="AZ158" i="13"/>
  <c r="AL164" i="13"/>
  <c r="AV163" i="13"/>
  <c r="AP160" i="13"/>
  <c r="AY160" i="13"/>
  <c r="BF157" i="13"/>
  <c r="AJ164" i="13"/>
  <c r="AE158" i="13"/>
  <c r="BA168" i="13"/>
  <c r="BH166" i="13"/>
  <c r="BF164" i="13"/>
  <c r="AY168" i="13"/>
  <c r="AG157" i="13"/>
  <c r="AS162" i="13"/>
  <c r="BB168" i="13"/>
  <c r="AV157" i="13"/>
  <c r="AU161" i="13"/>
  <c r="BC165" i="13"/>
  <c r="BH156" i="13"/>
  <c r="AY161" i="13"/>
  <c r="AS167" i="13"/>
  <c r="AJ157" i="13"/>
  <c r="BI160" i="13"/>
  <c r="BA164" i="13"/>
  <c r="BI168" i="13"/>
  <c r="AD160" i="13"/>
  <c r="AP169" i="13"/>
  <c r="AD157" i="13"/>
  <c r="AI161" i="13"/>
  <c r="AP166" i="13"/>
  <c r="AH156" i="13"/>
  <c r="AG160" i="13"/>
  <c r="AO164" i="13"/>
  <c r="AN169" i="13"/>
  <c r="BG159" i="13"/>
  <c r="AM167" i="13"/>
  <c r="AG158" i="13"/>
  <c r="BC156" i="13"/>
  <c r="AC157" i="13"/>
  <c r="BD160" i="13"/>
  <c r="AR164" i="13"/>
  <c r="BE167" i="13"/>
  <c r="AS156" i="13"/>
  <c r="AD159" i="13"/>
  <c r="BD161" i="13"/>
  <c r="AG164" i="13"/>
  <c r="AI166" i="13"/>
  <c r="AO168" i="13"/>
  <c r="Y156" i="13"/>
  <c r="BB160" i="13"/>
  <c r="BD163" i="13"/>
  <c r="BC167" i="13"/>
  <c r="AW158" i="13"/>
  <c r="AW161" i="13"/>
  <c r="BB165" i="13"/>
  <c r="BI169" i="13"/>
  <c r="AU159" i="13"/>
  <c r="AR163" i="13"/>
  <c r="AT169" i="13"/>
  <c r="AF159" i="13"/>
  <c r="AM163" i="13"/>
  <c r="AR167" i="13"/>
  <c r="BI159" i="13"/>
  <c r="AQ169" i="13"/>
  <c r="BF159" i="13"/>
  <c r="AX167" i="13"/>
  <c r="AU167" i="13"/>
  <c r="AI163" i="13"/>
  <c r="BD170" i="13"/>
  <c r="BA162" i="13"/>
  <c r="BI161" i="13"/>
  <c r="AS163" i="13"/>
  <c r="AS165" i="13"/>
  <c r="BH163" i="13"/>
  <c r="BD168" i="13"/>
  <c r="BH162" i="13"/>
  <c r="AT168" i="13"/>
  <c r="AP165" i="13"/>
  <c r="AY157" i="13"/>
  <c r="BA167" i="13"/>
  <c r="AP159" i="13"/>
  <c r="BE156" i="13"/>
  <c r="BF169" i="13"/>
  <c r="AS169" i="13"/>
  <c r="AA158" i="13"/>
  <c r="AJ163" i="13"/>
  <c r="BB169" i="13"/>
  <c r="AK158" i="13"/>
  <c r="AX165" i="13"/>
  <c r="AO169" i="13"/>
  <c r="AZ163" i="13"/>
  <c r="AN159" i="13"/>
  <c r="BC168" i="13"/>
  <c r="BG161" i="13"/>
  <c r="AU166" i="13"/>
  <c r="AO161" i="13"/>
  <c r="AM159" i="13"/>
  <c r="AI167" i="13"/>
  <c r="AC161" i="13"/>
  <c r="AV160" i="13"/>
  <c r="AN156" i="13"/>
  <c r="AZ159" i="13"/>
  <c r="AK169" i="13"/>
  <c r="AK162" i="13"/>
  <c r="AL169" i="13"/>
  <c r="AK161" i="13"/>
  <c r="AJ167" i="13"/>
  <c r="BB166" i="13"/>
  <c r="AM158" i="13"/>
  <c r="AW162" i="13"/>
  <c r="AJ168" i="13"/>
  <c r="AQ170" i="13"/>
  <c r="AP157" i="13"/>
  <c r="BH168" i="13"/>
  <c r="AW164" i="13"/>
  <c r="AD161" i="13"/>
  <c r="AJ162" i="13"/>
  <c r="BG164" i="13"/>
  <c r="AW169" i="13"/>
  <c r="AU170" i="13"/>
  <c r="AG165" i="13"/>
  <c r="AV166" i="13"/>
  <c r="AM168" i="13"/>
  <c r="AI159" i="13"/>
  <c r="AX160" i="13"/>
  <c r="AN162" i="13"/>
  <c r="AZ170" i="13"/>
  <c r="AN166" i="13"/>
  <c r="BF165" i="13"/>
  <c r="BG169" i="13"/>
  <c r="AT160" i="13"/>
  <c r="AZ156" i="13"/>
  <c r="AL168" i="13"/>
  <c r="AU163" i="13"/>
  <c r="AK167" i="13"/>
  <c r="BG163" i="13"/>
  <c r="BC159" i="13"/>
  <c r="AY167" i="13"/>
  <c r="BC163" i="13"/>
  <c r="BF162" i="13"/>
  <c r="AI165" i="13"/>
  <c r="AB159" i="13"/>
  <c r="AO156" i="13"/>
  <c r="BA160" i="13"/>
  <c r="AU168" i="13"/>
  <c r="AB160" i="13"/>
  <c r="AW165" i="13"/>
  <c r="BH158" i="13"/>
  <c r="AL158" i="13"/>
  <c r="BH161" i="13"/>
  <c r="AF157" i="13"/>
  <c r="AO157" i="13"/>
  <c r="AT161" i="13"/>
  <c r="AH158" i="13"/>
  <c r="AE157" i="13"/>
  <c r="AY166" i="13"/>
  <c r="AM164" i="13"/>
  <c r="AK166" i="13"/>
  <c r="BA156" i="13"/>
  <c r="AM161" i="13"/>
  <c r="BA170" i="13"/>
  <c r="BH167" i="13"/>
  <c r="AK160" i="13"/>
  <c r="AK159" i="13"/>
  <c r="BA157" i="13"/>
  <c r="AI164" i="13"/>
  <c r="AW166" i="13"/>
  <c r="AE159" i="13"/>
  <c r="BG157" i="13"/>
  <c r="BE169" i="13"/>
  <c r="AJ161" i="13"/>
  <c r="Z156" i="13"/>
  <c r="AH160" i="13"/>
  <c r="BI158" i="13"/>
  <c r="AH157" i="13"/>
  <c r="AZ161" i="13"/>
  <c r="AX164" i="13"/>
  <c r="AH161" i="13"/>
  <c r="AO170" i="13"/>
  <c r="AT164" i="13"/>
  <c r="AT162" i="13"/>
  <c r="AW157" i="13"/>
  <c r="BB164" i="13"/>
  <c r="AQ163" i="13"/>
  <c r="AN170" i="13"/>
  <c r="AQ164" i="13"/>
  <c r="AP164" i="13"/>
  <c r="AY165" i="13"/>
  <c r="BD166" i="13"/>
  <c r="AB156" i="13"/>
  <c r="AG163" i="13"/>
  <c r="BD165" i="13"/>
  <c r="AL156" i="13"/>
  <c r="AF161" i="13"/>
  <c r="AX169" i="13"/>
  <c r="AQ161" i="13"/>
  <c r="AT159" i="13"/>
  <c r="BE168" i="13"/>
  <c r="AP168" i="13"/>
  <c r="AV170" i="13"/>
  <c r="AQ160" i="13"/>
  <c r="BI166" i="13"/>
  <c r="AN168" i="13"/>
  <c r="AT165" i="13"/>
  <c r="AT170" i="13"/>
  <c r="BA166" i="13"/>
  <c r="AW170" i="13"/>
  <c r="AZ167" i="13"/>
  <c r="BF161" i="13"/>
  <c r="AV162" i="13"/>
  <c r="AR156" i="13"/>
  <c r="AU162" i="13"/>
  <c r="AZ162" i="13"/>
  <c r="AY164" i="13"/>
  <c r="AI160" i="13"/>
  <c r="AD162" i="13"/>
  <c r="AV165" i="13"/>
  <c r="AS166" i="13"/>
  <c r="BE165" i="13"/>
  <c r="AA157" i="13"/>
  <c r="AO166" i="13"/>
  <c r="AV168" i="13"/>
  <c r="AM170" i="13"/>
  <c r="AR165" i="13"/>
  <c r="AR159" i="13"/>
  <c r="AY162" i="13"/>
  <c r="BF160" i="13"/>
  <c r="AE162" i="13"/>
  <c r="AF156" i="13"/>
  <c r="BG160" i="13"/>
  <c r="AE163" i="13"/>
  <c r="AR169" i="13"/>
  <c r="BD162" i="13"/>
  <c r="BH169" i="13"/>
  <c r="BD159" i="13"/>
  <c r="BJ170" i="13"/>
  <c r="BJ161" i="13"/>
  <c r="BJ156" i="13"/>
  <c r="BJ167" i="13"/>
  <c r="BJ164" i="13"/>
  <c r="BJ169" i="13"/>
  <c r="BJ165" i="13"/>
  <c r="BJ159" i="13"/>
  <c r="BJ166" i="13"/>
  <c r="BJ158" i="13"/>
  <c r="BJ157" i="13"/>
  <c r="BJ163" i="13"/>
  <c r="BJ168" i="13"/>
  <c r="BJ160" i="13"/>
  <c r="BJ162" i="13"/>
  <c r="BK160" i="13"/>
  <c r="BK165" i="13"/>
  <c r="BK169" i="13"/>
  <c r="BK170" i="13"/>
  <c r="BK163" i="13"/>
  <c r="BK162" i="13"/>
  <c r="BK167" i="13"/>
  <c r="BK159" i="13"/>
  <c r="BK161" i="13"/>
  <c r="BK164" i="13"/>
  <c r="BK166" i="13"/>
  <c r="BK158" i="13"/>
  <c r="BK168" i="13"/>
  <c r="BK156" i="13"/>
  <c r="BK157" i="13"/>
  <c r="BL160" i="13"/>
  <c r="BL170" i="13"/>
  <c r="BL168" i="13"/>
  <c r="BL156" i="13"/>
  <c r="BL162" i="13"/>
  <c r="BL161" i="13"/>
  <c r="BL157" i="13"/>
  <c r="BL163" i="13"/>
  <c r="BL166" i="13"/>
  <c r="BL169" i="13"/>
  <c r="BL164" i="13"/>
  <c r="BL165" i="13"/>
  <c r="BL159" i="13"/>
  <c r="BL158" i="13"/>
  <c r="BL167" i="13"/>
  <c r="BM157" i="13"/>
  <c r="BM166" i="13"/>
  <c r="BM167" i="13"/>
  <c r="BM169" i="13"/>
  <c r="BM161" i="13"/>
  <c r="BM159" i="13"/>
  <c r="BM163" i="13"/>
  <c r="BM168" i="13"/>
  <c r="BM162" i="13"/>
  <c r="BM158" i="13"/>
  <c r="BM160" i="13"/>
  <c r="BM164" i="13"/>
  <c r="BM156" i="13"/>
  <c r="BM170" i="13"/>
  <c r="BM165" i="13"/>
  <c r="BN157" i="13"/>
  <c r="BN159" i="13"/>
  <c r="BN169" i="13"/>
  <c r="BN167" i="13"/>
  <c r="BN162" i="13"/>
  <c r="BN164" i="13"/>
  <c r="BN158" i="13"/>
  <c r="BN160" i="13"/>
  <c r="BN168" i="13"/>
  <c r="BN170" i="13"/>
  <c r="BN161" i="13"/>
  <c r="BN166" i="13"/>
  <c r="BN156" i="13"/>
  <c r="BN165" i="13"/>
  <c r="BN163" i="13"/>
  <c r="BO166" i="13"/>
  <c r="BO167" i="13"/>
  <c r="BO158" i="13"/>
  <c r="BO156" i="13"/>
  <c r="BO163" i="13"/>
  <c r="BO157" i="13"/>
  <c r="BO169" i="13"/>
  <c r="BO160" i="13"/>
  <c r="BO164" i="13"/>
  <c r="BO161" i="13"/>
  <c r="BO162" i="13"/>
  <c r="BO159" i="13"/>
  <c r="BO168" i="13"/>
  <c r="BO170" i="13"/>
  <c r="BO165" i="13"/>
  <c r="BP159" i="13"/>
  <c r="BP156" i="13"/>
  <c r="BP157" i="13"/>
  <c r="BP170" i="13"/>
  <c r="BP166" i="13"/>
  <c r="BP165" i="13"/>
  <c r="BP160" i="13"/>
  <c r="BP167" i="13"/>
  <c r="BP161" i="13"/>
  <c r="BP162" i="13"/>
  <c r="BP168" i="13"/>
  <c r="BP158" i="13"/>
  <c r="BP164" i="13"/>
  <c r="BP169" i="13"/>
  <c r="BP163" i="13"/>
  <c r="BQ158" i="13"/>
  <c r="BQ156" i="13"/>
  <c r="BQ164" i="13"/>
  <c r="BQ157" i="13"/>
  <c r="BQ163" i="13"/>
  <c r="BQ165" i="13"/>
  <c r="BQ167" i="13"/>
  <c r="BQ166" i="13"/>
  <c r="BQ168" i="13"/>
  <c r="BQ161" i="13"/>
  <c r="BQ159" i="13"/>
  <c r="BQ170" i="13"/>
  <c r="BQ169" i="13"/>
  <c r="BQ162" i="13"/>
  <c r="BQ160" i="13"/>
  <c r="BR161" i="13"/>
  <c r="BR157" i="13"/>
  <c r="BR168" i="13"/>
  <c r="BR166" i="13"/>
  <c r="BR160" i="13"/>
  <c r="BR159" i="13"/>
  <c r="BR163" i="13"/>
  <c r="BR167" i="13"/>
  <c r="BR169" i="13"/>
  <c r="BR164" i="13"/>
  <c r="BR162" i="13"/>
  <c r="BR158" i="13"/>
  <c r="BR165" i="13"/>
  <c r="BR170" i="13"/>
  <c r="BR156" i="13"/>
  <c r="BS157" i="13"/>
  <c r="BS161" i="13"/>
  <c r="BS160" i="13"/>
  <c r="BS156" i="13"/>
  <c r="BS167" i="13"/>
  <c r="BS158" i="13"/>
  <c r="BS159" i="13"/>
  <c r="BS165" i="13"/>
  <c r="BS163" i="13"/>
  <c r="BS170" i="13"/>
  <c r="BS166" i="13"/>
  <c r="BS169" i="13"/>
  <c r="BS168" i="13"/>
  <c r="BS164" i="13"/>
  <c r="BS162" i="13"/>
  <c r="BT165" i="13"/>
  <c r="BT159" i="13"/>
  <c r="BT167" i="13"/>
  <c r="BT157" i="13"/>
  <c r="BT164" i="13"/>
  <c r="BT170" i="13"/>
  <c r="BT162" i="13"/>
  <c r="BT160" i="13"/>
  <c r="BT156" i="13"/>
  <c r="BT168" i="13"/>
  <c r="BT163" i="13"/>
  <c r="BT161" i="13"/>
  <c r="BT158" i="13"/>
  <c r="BT166" i="13"/>
  <c r="BT169" i="13"/>
  <c r="BU165" i="13"/>
  <c r="BU167" i="13"/>
  <c r="BU170" i="13"/>
  <c r="BU161" i="13"/>
  <c r="BU159" i="13"/>
  <c r="BU166" i="13"/>
  <c r="BU160" i="13"/>
  <c r="BU162" i="13"/>
  <c r="BU157" i="13"/>
  <c r="BU169" i="13"/>
  <c r="BU164" i="13"/>
  <c r="BU156" i="13"/>
  <c r="BU168" i="13"/>
  <c r="BU163" i="13"/>
  <c r="BU158" i="13"/>
  <c r="BV158" i="13"/>
  <c r="BV156" i="13"/>
  <c r="BV165" i="13"/>
  <c r="BV170" i="13"/>
  <c r="BV161" i="13"/>
  <c r="BV162" i="13"/>
  <c r="BV168" i="13"/>
  <c r="BV166" i="13"/>
  <c r="BV159" i="13"/>
  <c r="BV169" i="13"/>
  <c r="BV164" i="13"/>
  <c r="BV167" i="13"/>
  <c r="BV157" i="13"/>
  <c r="BV160" i="13"/>
  <c r="BV163" i="13"/>
  <c r="BW166" i="13"/>
  <c r="BW167" i="13"/>
  <c r="BW161" i="13"/>
  <c r="BW165" i="13"/>
  <c r="BW164" i="13"/>
  <c r="BW157" i="13"/>
  <c r="BW159" i="13"/>
  <c r="BW163" i="13"/>
  <c r="BW170" i="13"/>
  <c r="BW169" i="13"/>
  <c r="BW168" i="13"/>
  <c r="BW160" i="13"/>
  <c r="BW156" i="13"/>
  <c r="BW162" i="13"/>
  <c r="BW158" i="13"/>
  <c r="BX164" i="13"/>
  <c r="BX167" i="13"/>
  <c r="BX165" i="13"/>
  <c r="BX163" i="13"/>
  <c r="BX157" i="13"/>
  <c r="BX156" i="13"/>
  <c r="BX161" i="13"/>
  <c r="BX169" i="13"/>
  <c r="BX160" i="13"/>
  <c r="BX170" i="13"/>
  <c r="BX166" i="13"/>
  <c r="BX159" i="13"/>
  <c r="BX158" i="13"/>
  <c r="BX168" i="13"/>
  <c r="BX162" i="13"/>
  <c r="BY159" i="13"/>
  <c r="BY162" i="13"/>
  <c r="BY169" i="13"/>
  <c r="BY168" i="13"/>
  <c r="BY156" i="13"/>
  <c r="BY170" i="13"/>
  <c r="BY165" i="13"/>
  <c r="BY158" i="13"/>
  <c r="BY161" i="13"/>
  <c r="BY166" i="13"/>
  <c r="BY160" i="13"/>
  <c r="BY164" i="13"/>
  <c r="BY163" i="13"/>
  <c r="BY167" i="13"/>
  <c r="BY157" i="13"/>
  <c r="BZ162" i="13"/>
  <c r="BZ161" i="13"/>
  <c r="BZ158" i="13"/>
  <c r="BZ160" i="13"/>
  <c r="BZ156" i="13"/>
  <c r="BZ169" i="13"/>
  <c r="BZ168" i="13"/>
  <c r="BZ159" i="13"/>
  <c r="BZ165" i="13"/>
  <c r="BZ157" i="13"/>
  <c r="BZ166" i="13"/>
  <c r="BZ163" i="13"/>
  <c r="BZ164" i="13"/>
  <c r="BZ170" i="13"/>
  <c r="BZ167" i="13"/>
  <c r="AB206" i="13"/>
  <c r="BD206" i="13"/>
  <c r="AH206" i="13"/>
  <c r="BH206" i="13"/>
  <c r="AD206" i="13"/>
  <c r="AW206" i="13"/>
  <c r="AP206" i="13"/>
  <c r="AS206" i="13"/>
  <c r="BG206" i="13"/>
  <c r="Z206" i="13"/>
  <c r="AQ206" i="13"/>
  <c r="AZ206" i="13"/>
  <c r="AV206" i="13"/>
  <c r="AU206" i="13"/>
  <c r="BF206" i="13"/>
  <c r="AE206" i="13"/>
  <c r="AX206" i="13"/>
  <c r="AG206" i="13"/>
  <c r="AN206" i="13"/>
  <c r="AM206" i="13"/>
  <c r="AT206" i="13"/>
  <c r="AK206" i="13"/>
  <c r="AF206" i="13"/>
  <c r="AA206" i="13"/>
  <c r="BB206" i="13"/>
  <c r="AR206" i="13"/>
  <c r="AO206" i="13"/>
  <c r="AJ206" i="13"/>
  <c r="BE206" i="13"/>
  <c r="AY206" i="13"/>
  <c r="AI206" i="13"/>
  <c r="BC206" i="13"/>
  <c r="BA206" i="13"/>
  <c r="Y206" i="13"/>
  <c r="AC206" i="13"/>
  <c r="X206" i="13"/>
  <c r="X221" i="13" s="1"/>
  <c r="X223" i="13" s="1"/>
  <c r="W17" i="17" s="1"/>
  <c r="V71" i="15" s="1"/>
  <c r="V70" i="15" s="1"/>
  <c r="AL206" i="13"/>
  <c r="BI206" i="13"/>
  <c r="BJ206" i="13"/>
  <c r="BK206" i="13"/>
  <c r="BL206" i="13"/>
  <c r="BM206" i="13"/>
  <c r="BN206" i="13"/>
  <c r="BO206" i="13"/>
  <c r="BP206" i="13"/>
  <c r="BQ206" i="13"/>
  <c r="BR206" i="13"/>
  <c r="BS206" i="13"/>
  <c r="BT206" i="13"/>
  <c r="BU206" i="13"/>
  <c r="BV206" i="13"/>
  <c r="BW206" i="13"/>
  <c r="BX206" i="13"/>
  <c r="L126" i="13"/>
  <c r="L131" i="13" s="1"/>
  <c r="M120" i="13"/>
  <c r="L125" i="13"/>
  <c r="L130" i="13" s="1"/>
  <c r="M118" i="13"/>
  <c r="M122" i="13"/>
  <c r="L127" i="13"/>
  <c r="L132" i="13" s="1"/>
  <c r="BZ207" i="13" s="1"/>
  <c r="V54" i="17"/>
  <c r="D144" i="13"/>
  <c r="AW194" i="13"/>
  <c r="BH191" i="13"/>
  <c r="BF189" i="13"/>
  <c r="AV187" i="13"/>
  <c r="BB185" i="13"/>
  <c r="AA184" i="13"/>
  <c r="AO182" i="13"/>
  <c r="AY195" i="13"/>
  <c r="BC191" i="13"/>
  <c r="BB188" i="13"/>
  <c r="AR186" i="13"/>
  <c r="AL184" i="13"/>
  <c r="Z182" i="13"/>
  <c r="BG194" i="13"/>
  <c r="AP192" i="13"/>
  <c r="BF188" i="13"/>
  <c r="AL186" i="13"/>
  <c r="AT183" i="13"/>
  <c r="AH188" i="13"/>
  <c r="AL183" i="13"/>
  <c r="AO191" i="13"/>
  <c r="BC187" i="13"/>
  <c r="AK181" i="13"/>
  <c r="AZ195" i="13"/>
  <c r="AP193" i="13"/>
  <c r="AN191" i="13"/>
  <c r="AL189" i="13"/>
  <c r="AR187" i="13"/>
  <c r="AX185" i="13"/>
  <c r="AV183" i="13"/>
  <c r="AT181" i="13"/>
  <c r="AU193" i="13"/>
  <c r="AJ190" i="13"/>
  <c r="AG187" i="13"/>
  <c r="BB184" i="13"/>
  <c r="AP182" i="13"/>
  <c r="BB194" i="13"/>
  <c r="BG191" i="13"/>
  <c r="BA188" i="13"/>
  <c r="AL193" i="13"/>
  <c r="AH189" i="13"/>
  <c r="AT185" i="13"/>
  <c r="AW182" i="13"/>
  <c r="AR188" i="13"/>
  <c r="AB184" i="13"/>
  <c r="AS195" i="13"/>
  <c r="BB191" i="13"/>
  <c r="AK185" i="13"/>
  <c r="AY182" i="13"/>
  <c r="BB190" i="13"/>
  <c r="AW195" i="13"/>
  <c r="BI185" i="13"/>
  <c r="AU192" i="13"/>
  <c r="BA186" i="13"/>
  <c r="AS182" i="13"/>
  <c r="BE193" i="13"/>
  <c r="AL188" i="13"/>
  <c r="AK183" i="13"/>
  <c r="AQ194" i="13"/>
  <c r="AY190" i="13"/>
  <c r="BG185" i="13"/>
  <c r="AT182" i="13"/>
  <c r="BA191" i="13"/>
  <c r="AW183" i="13"/>
  <c r="BI192" i="13"/>
  <c r="AX184" i="13"/>
  <c r="AV191" i="13"/>
  <c r="AZ187" i="13"/>
  <c r="AN183" i="13"/>
  <c r="AJ193" i="13"/>
  <c r="BA189" i="13"/>
  <c r="BF183" i="13"/>
  <c r="AJ189" i="13"/>
  <c r="AQ185" i="13"/>
  <c r="BC181" i="13"/>
  <c r="AW189" i="13"/>
  <c r="BD195" i="13"/>
  <c r="BG192" i="13"/>
  <c r="BE190" i="13"/>
  <c r="BG188" i="13"/>
  <c r="AW186" i="13"/>
  <c r="BG184" i="13"/>
  <c r="AJ183" i="13"/>
  <c r="AX181" i="13"/>
  <c r="AZ193" i="13"/>
  <c r="AP190" i="13"/>
  <c r="BG187" i="13"/>
  <c r="AB185" i="13"/>
  <c r="AE183" i="13"/>
  <c r="AN181" i="13"/>
  <c r="BI193" i="13"/>
  <c r="AT190" i="13"/>
  <c r="AU187" i="13"/>
  <c r="BF184" i="13"/>
  <c r="AI182" i="13"/>
  <c r="AY186" i="13"/>
  <c r="AK193" i="13"/>
  <c r="AS189" i="13"/>
  <c r="AN184" i="13"/>
  <c r="AZ194" i="13"/>
  <c r="AS194" i="13"/>
  <c r="AM192" i="13"/>
  <c r="AK190" i="13"/>
  <c r="AM188" i="13"/>
  <c r="AS186" i="13"/>
  <c r="BC184" i="13"/>
  <c r="BA182" i="13"/>
  <c r="AT195" i="13"/>
  <c r="AX191" i="13"/>
  <c r="AW188" i="13"/>
  <c r="AM186" i="13"/>
  <c r="AU183" i="13"/>
  <c r="AI181" i="13"/>
  <c r="BF192" i="13"/>
  <c r="AN190" i="13"/>
  <c r="AV195" i="13"/>
  <c r="AJ191" i="13"/>
  <c r="AN187" i="13"/>
  <c r="BH183" i="13"/>
  <c r="BH194" i="13"/>
  <c r="BC186" i="13"/>
  <c r="BF182" i="13"/>
  <c r="AY193" i="13"/>
  <c r="AP187" i="13"/>
  <c r="BE183" i="13"/>
  <c r="BF194" i="13"/>
  <c r="BG183" i="13"/>
  <c r="AX190" i="13"/>
  <c r="AR195" i="13"/>
  <c r="AU188" i="13"/>
  <c r="AE184" i="13"/>
  <c r="BE195" i="13"/>
  <c r="BI191" i="13"/>
  <c r="AX186" i="13"/>
  <c r="X181" i="13"/>
  <c r="X196" i="13" s="1"/>
  <c r="X198" i="13" s="1"/>
  <c r="AV192" i="13"/>
  <c r="AK187" i="13"/>
  <c r="BA184" i="13"/>
  <c r="BA195" i="13"/>
  <c r="AZ185" i="13"/>
  <c r="AO181" i="13"/>
  <c r="BF186" i="13"/>
  <c r="AK194" i="13"/>
  <c r="AT189" i="13"/>
  <c r="BF185" i="13"/>
  <c r="AC182" i="13"/>
  <c r="AM191" i="13"/>
  <c r="AG185" i="13"/>
  <c r="AS181" i="13"/>
  <c r="BA187" i="13"/>
  <c r="AI183" i="13"/>
  <c r="AW193" i="13"/>
  <c r="AQ192" i="13"/>
  <c r="AQ188" i="13"/>
  <c r="AQ184" i="13"/>
  <c r="AH181" i="13"/>
  <c r="AV189" i="13"/>
  <c r="BH184" i="13"/>
  <c r="BC195" i="13"/>
  <c r="AZ189" i="13"/>
  <c r="AK184" i="13"/>
  <c r="AD184" i="13"/>
  <c r="AZ188" i="13"/>
  <c r="BC193" i="13"/>
  <c r="BD191" i="13"/>
  <c r="BH187" i="13"/>
  <c r="AM184" i="13"/>
  <c r="AR194" i="13"/>
  <c r="BB187" i="13"/>
  <c r="Z183" i="13"/>
  <c r="AK192" i="13"/>
  <c r="BE194" i="13"/>
  <c r="BE186" i="13"/>
  <c r="AK189" i="13"/>
  <c r="AC181" i="13"/>
  <c r="AQ186" i="13"/>
  <c r="AM193" i="13"/>
  <c r="AI189" i="13"/>
  <c r="AJ187" i="13"/>
  <c r="BC194" i="13"/>
  <c r="BC185" i="13"/>
  <c r="AW191" i="13"/>
  <c r="AY183" i="13"/>
  <c r="AZ184" i="13"/>
  <c r="AY185" i="13"/>
  <c r="AE188" i="13"/>
  <c r="BB181" i="13"/>
  <c r="AR184" i="13"/>
  <c r="AV186" i="13"/>
  <c r="AO192" i="13"/>
  <c r="AE185" i="13"/>
  <c r="BH190" i="13"/>
  <c r="AJ186" i="13"/>
  <c r="AG189" i="13"/>
  <c r="AJ184" i="13"/>
  <c r="AQ195" i="13"/>
  <c r="AT191" i="13"/>
  <c r="AS185" i="13"/>
  <c r="BA181" i="13"/>
  <c r="AG182" i="13"/>
  <c r="BH181" i="13"/>
  <c r="BG193" i="13"/>
  <c r="BI188" i="13"/>
  <c r="AT184" i="13"/>
  <c r="BD192" i="13"/>
  <c r="AZ186" i="13"/>
  <c r="AV182" i="13"/>
  <c r="AO186" i="13"/>
  <c r="AH186" i="13"/>
  <c r="AG181" i="13"/>
  <c r="AX192" i="13"/>
  <c r="AP194" i="13"/>
  <c r="AD187" i="13"/>
  <c r="BE188" i="13"/>
  <c r="AH184" i="13"/>
  <c r="AG190" i="13"/>
  <c r="AS191" i="13"/>
  <c r="BB186" i="13"/>
  <c r="BD188" i="13"/>
  <c r="BG181" i="13"/>
  <c r="AL190" i="13"/>
  <c r="AM182" i="13"/>
  <c r="AR190" i="13"/>
  <c r="BG182" i="13"/>
  <c r="AR191" i="13"/>
  <c r="AF187" i="13"/>
  <c r="AZ183" i="13"/>
  <c r="AX194" i="13"/>
  <c r="AG188" i="13"/>
  <c r="BA183" i="13"/>
  <c r="AL194" i="13"/>
  <c r="AK188" i="13"/>
  <c r="BD182" i="13"/>
  <c r="BC182" i="13"/>
  <c r="AC185" i="13"/>
  <c r="BI194" i="13"/>
  <c r="BA190" i="13"/>
  <c r="BI186" i="13"/>
  <c r="AF183" i="13"/>
  <c r="AW192" i="13"/>
  <c r="BH186" i="13"/>
  <c r="BD181" i="13"/>
  <c r="AL191" i="13"/>
  <c r="AY192" i="13"/>
  <c r="AI184" i="13"/>
  <c r="AW187" i="13"/>
  <c r="AV194" i="13"/>
  <c r="AF184" i="13"/>
  <c r="AM189" i="13"/>
  <c r="BI184" i="13"/>
  <c r="AP185" i="13"/>
  <c r="BH192" i="13"/>
  <c r="AZ182" i="13"/>
  <c r="BE189" i="13"/>
  <c r="AM181" i="13"/>
  <c r="AR182" i="13"/>
  <c r="BH195" i="13"/>
  <c r="AK186" i="13"/>
  <c r="AL192" i="13"/>
  <c r="AE182" i="13"/>
  <c r="AP184" i="13"/>
  <c r="AS188" i="13"/>
  <c r="BG195" i="13"/>
  <c r="BD189" i="13"/>
  <c r="AR193" i="13"/>
  <c r="AN188" i="13"/>
  <c r="AQ183" i="13"/>
  <c r="AN194" i="13"/>
  <c r="BC190" i="13"/>
  <c r="BD184" i="13"/>
  <c r="AI192" i="13"/>
  <c r="AM194" i="13"/>
  <c r="AZ192" i="13"/>
  <c r="AC184" i="13"/>
  <c r="AY187" i="13"/>
  <c r="AG183" i="13"/>
  <c r="AI191" i="13"/>
  <c r="BD185" i="13"/>
  <c r="AQ181" i="13"/>
  <c r="BF181" i="13"/>
  <c r="BF187" i="13"/>
  <c r="AP191" i="13"/>
  <c r="AS187" i="13"/>
  <c r="BG190" i="13"/>
  <c r="AI186" i="13"/>
  <c r="AX187" i="13"/>
  <c r="AC183" i="13"/>
  <c r="BD187" i="13"/>
  <c r="AW184" i="13"/>
  <c r="AV184" i="13"/>
  <c r="AO184" i="13"/>
  <c r="AU195" i="13"/>
  <c r="BE185" i="13"/>
  <c r="AU181" i="13"/>
  <c r="AN189" i="13"/>
  <c r="AI188" i="13"/>
  <c r="AU191" i="13"/>
  <c r="AR183" i="13"/>
  <c r="AS183" i="13"/>
  <c r="AI190" i="13"/>
  <c r="BB193" i="13"/>
  <c r="AU186" i="13"/>
  <c r="AP189" i="13"/>
  <c r="Y182" i="13"/>
  <c r="AW185" i="13"/>
  <c r="AQ191" i="13"/>
  <c r="AT187" i="13"/>
  <c r="BF195" i="13"/>
  <c r="BC188" i="13"/>
  <c r="AD181" i="13"/>
  <c r="AG184" i="13"/>
  <c r="AF188" i="13"/>
  <c r="AP181" i="13"/>
  <c r="BD190" i="13"/>
  <c r="AT194" i="13"/>
  <c r="AL181" i="13"/>
  <c r="AS193" i="13"/>
  <c r="AQ190" i="13"/>
  <c r="BI190" i="13"/>
  <c r="BH188" i="13"/>
  <c r="AB181" i="13"/>
  <c r="AV193" i="13"/>
  <c r="BF191" i="13"/>
  <c r="Y181" i="13"/>
  <c r="AE186" i="13"/>
  <c r="AY184" i="13"/>
  <c r="AA183" i="13"/>
  <c r="AU185" i="13"/>
  <c r="BI187" i="13"/>
  <c r="AZ191" i="13"/>
  <c r="AO183" i="13"/>
  <c r="AA181" i="13"/>
  <c r="BA193" i="13"/>
  <c r="AF181" i="13"/>
  <c r="AO189" i="13"/>
  <c r="AH183" i="13"/>
  <c r="BB183" i="13"/>
  <c r="AX183" i="13"/>
  <c r="BH182" i="13"/>
  <c r="AJ182" i="13"/>
  <c r="AY189" i="13"/>
  <c r="AM185" i="13"/>
  <c r="AN195" i="13"/>
  <c r="AG186" i="13"/>
  <c r="BB192" i="13"/>
  <c r="AU182" i="13"/>
  <c r="BG186" i="13"/>
  <c r="AN192" i="13"/>
  <c r="BF193" i="13"/>
  <c r="AC186" i="13"/>
  <c r="BF190" i="13"/>
  <c r="AX195" i="13"/>
  <c r="AW190" i="13"/>
  <c r="BH185" i="13"/>
  <c r="AD183" i="13"/>
  <c r="BA194" i="13"/>
  <c r="AF189" i="13"/>
  <c r="AF186" i="13"/>
  <c r="AL195" i="13"/>
  <c r="AU184" i="13"/>
  <c r="BI195" i="13"/>
  <c r="AI187" i="13"/>
  <c r="AO188" i="13"/>
  <c r="AO187" i="13"/>
  <c r="AQ193" i="13"/>
  <c r="BI183" i="13"/>
  <c r="AZ190" i="13"/>
  <c r="BB182" i="13"/>
  <c r="AB182" i="13"/>
  <c r="AS184" i="13"/>
  <c r="AO193" i="13"/>
  <c r="AN186" i="13"/>
  <c r="BC189" i="13"/>
  <c r="AP186" i="13"/>
  <c r="AD185" i="13"/>
  <c r="AN182" i="13"/>
  <c r="AJ192" i="13"/>
  <c r="BB195" i="13"/>
  <c r="AR192" i="13"/>
  <c r="AT188" i="13"/>
  <c r="AO185" i="13"/>
  <c r="AP195" i="13"/>
  <c r="AE187" i="13"/>
  <c r="AT193" i="13"/>
  <c r="AL185" i="13"/>
  <c r="AH191" i="13"/>
  <c r="BI181" i="13"/>
  <c r="AV185" i="13"/>
  <c r="AM190" i="13"/>
  <c r="BC192" i="13"/>
  <c r="AH185" i="13"/>
  <c r="AQ189" i="13"/>
  <c r="BD193" i="13"/>
  <c r="AY188" i="13"/>
  <c r="AP183" i="13"/>
  <c r="AW181" i="13"/>
  <c r="AS190" i="13"/>
  <c r="AQ187" i="13"/>
  <c r="AF185" i="13"/>
  <c r="AY191" i="13"/>
  <c r="BI182" i="13"/>
  <c r="AP188" i="13"/>
  <c r="AD186" i="13"/>
  <c r="AH187" i="13"/>
  <c r="BD186" i="13"/>
  <c r="AS192" i="13"/>
  <c r="AL182" i="13"/>
  <c r="AV188" i="13"/>
  <c r="AV181" i="13"/>
  <c r="AJ181" i="13"/>
  <c r="AM183" i="13"/>
  <c r="BG189" i="13"/>
  <c r="AH182" i="13"/>
  <c r="AX188" i="13"/>
  <c r="AI185" i="13"/>
  <c r="AO195" i="13"/>
  <c r="BH193" i="13"/>
  <c r="AK191" i="13"/>
  <c r="BE191" i="13"/>
  <c r="AE181" i="13"/>
  <c r="BE181" i="13"/>
  <c r="BE192" i="13"/>
  <c r="AV190" i="13"/>
  <c r="BH189" i="13"/>
  <c r="AL187" i="13"/>
  <c r="BB189" i="13"/>
  <c r="AB183" i="13"/>
  <c r="AM195" i="13"/>
  <c r="AD182" i="13"/>
  <c r="BI189" i="13"/>
  <c r="AH190" i="13"/>
  <c r="AJ185" i="13"/>
  <c r="BE184" i="13"/>
  <c r="AY194" i="13"/>
  <c r="AN193" i="13"/>
  <c r="AK182" i="13"/>
  <c r="BA192" i="13"/>
  <c r="AU194" i="13"/>
  <c r="BD194" i="13"/>
  <c r="AX189" i="13"/>
  <c r="AO194" i="13"/>
  <c r="AA182" i="13"/>
  <c r="AJ188" i="13"/>
  <c r="AM187" i="13"/>
  <c r="AO190" i="13"/>
  <c r="AR181" i="13"/>
  <c r="AR185" i="13"/>
  <c r="AZ181" i="13"/>
  <c r="AX193" i="13"/>
  <c r="AT192" i="13"/>
  <c r="BE187" i="13"/>
  <c r="BA185" i="13"/>
  <c r="AY181" i="13"/>
  <c r="AF182" i="13"/>
  <c r="AR189" i="13"/>
  <c r="BE182" i="13"/>
  <c r="AU190" i="13"/>
  <c r="AN185" i="13"/>
  <c r="BC183" i="13"/>
  <c r="AX182" i="13"/>
  <c r="Z181" i="13"/>
  <c r="AU189" i="13"/>
  <c r="AT186" i="13"/>
  <c r="BD183" i="13"/>
  <c r="AQ182" i="13"/>
  <c r="BJ194" i="13"/>
  <c r="BJ186" i="13"/>
  <c r="BJ183" i="13"/>
  <c r="BJ187" i="13"/>
  <c r="BJ189" i="13"/>
  <c r="BJ182" i="13"/>
  <c r="BJ190" i="13"/>
  <c r="BJ191" i="13"/>
  <c r="BJ192" i="13"/>
  <c r="BJ185" i="13"/>
  <c r="BJ193" i="13"/>
  <c r="BJ184" i="13"/>
  <c r="BJ181" i="13"/>
  <c r="BJ188" i="13"/>
  <c r="BJ195" i="13"/>
  <c r="BK188" i="13"/>
  <c r="BK192" i="13"/>
  <c r="BK195" i="13"/>
  <c r="BK186" i="13"/>
  <c r="BK190" i="13"/>
  <c r="BK185" i="13"/>
  <c r="BK183" i="13"/>
  <c r="BK184" i="13"/>
  <c r="BK189" i="13"/>
  <c r="BK193" i="13"/>
  <c r="BK182" i="13"/>
  <c r="BK181" i="13"/>
  <c r="BK194" i="13"/>
  <c r="BK191" i="13"/>
  <c r="BK187" i="13"/>
  <c r="BL185" i="13"/>
  <c r="BL187" i="13"/>
  <c r="BL181" i="13"/>
  <c r="BL193" i="13"/>
  <c r="BL190" i="13"/>
  <c r="BL186" i="13"/>
  <c r="BL183" i="13"/>
  <c r="BL192" i="13"/>
  <c r="BL189" i="13"/>
  <c r="BL188" i="13"/>
  <c r="BL194" i="13"/>
  <c r="BL184" i="13"/>
  <c r="BL182" i="13"/>
  <c r="BL195" i="13"/>
  <c r="BL191" i="13"/>
  <c r="BM194" i="13"/>
  <c r="BM185" i="13"/>
  <c r="BM190" i="13"/>
  <c r="BM192" i="13"/>
  <c r="BM191" i="13"/>
  <c r="BM186" i="13"/>
  <c r="BM187" i="13"/>
  <c r="BM183" i="13"/>
  <c r="BM182" i="13"/>
  <c r="BM195" i="13"/>
  <c r="BM181" i="13"/>
  <c r="BM193" i="13"/>
  <c r="BM189" i="13"/>
  <c r="BM184" i="13"/>
  <c r="BM188" i="13"/>
  <c r="BN182" i="13"/>
  <c r="BN186" i="13"/>
  <c r="BN187" i="13"/>
  <c r="BN184" i="13"/>
  <c r="BN189" i="13"/>
  <c r="BN188" i="13"/>
  <c r="BN181" i="13"/>
  <c r="BN190" i="13"/>
  <c r="BN185" i="13"/>
  <c r="BN194" i="13"/>
  <c r="BN192" i="13"/>
  <c r="BN191" i="13"/>
  <c r="BN193" i="13"/>
  <c r="BN183" i="13"/>
  <c r="BN195" i="13"/>
  <c r="BO194" i="13"/>
  <c r="BO182" i="13"/>
  <c r="BO187" i="13"/>
  <c r="BO191" i="13"/>
  <c r="BO183" i="13"/>
  <c r="BO186" i="13"/>
  <c r="BO190" i="13"/>
  <c r="BO184" i="13"/>
  <c r="BO181" i="13"/>
  <c r="BO193" i="13"/>
  <c r="BO195" i="13"/>
  <c r="BO192" i="13"/>
  <c r="BO188" i="13"/>
  <c r="BO189" i="13"/>
  <c r="BO185" i="13"/>
  <c r="BP189" i="13"/>
  <c r="BP186" i="13"/>
  <c r="BP195" i="13"/>
  <c r="BP188" i="13"/>
  <c r="BP183" i="13"/>
  <c r="BP194" i="13"/>
  <c r="BP192" i="13"/>
  <c r="BP185" i="13"/>
  <c r="BP191" i="13"/>
  <c r="BP181" i="13"/>
  <c r="BP190" i="13"/>
  <c r="BP184" i="13"/>
  <c r="BP187" i="13"/>
  <c r="BP193" i="13"/>
  <c r="BP182" i="13"/>
  <c r="BQ192" i="13"/>
  <c r="BQ191" i="13"/>
  <c r="BQ182" i="13"/>
  <c r="BQ184" i="13"/>
  <c r="BQ190" i="13"/>
  <c r="BQ195" i="13"/>
  <c r="BQ193" i="13"/>
  <c r="BQ186" i="13"/>
  <c r="BQ181" i="13"/>
  <c r="BQ189" i="13"/>
  <c r="BQ185" i="13"/>
  <c r="BQ194" i="13"/>
  <c r="BQ183" i="13"/>
  <c r="BQ187" i="13"/>
  <c r="BQ188" i="13"/>
  <c r="BR195" i="13"/>
  <c r="BR186" i="13"/>
  <c r="BR187" i="13"/>
  <c r="BR193" i="13"/>
  <c r="BR189" i="13"/>
  <c r="BR181" i="13"/>
  <c r="BR182" i="13"/>
  <c r="BR194" i="13"/>
  <c r="BR192" i="13"/>
  <c r="BR183" i="13"/>
  <c r="BR191" i="13"/>
  <c r="BR185" i="13"/>
  <c r="BR184" i="13"/>
  <c r="BR188" i="13"/>
  <c r="BR190" i="13"/>
  <c r="BS191" i="13"/>
  <c r="BS184" i="13"/>
  <c r="BS188" i="13"/>
  <c r="BS192" i="13"/>
  <c r="BS183" i="13"/>
  <c r="BS181" i="13"/>
  <c r="BS194" i="13"/>
  <c r="BS182" i="13"/>
  <c r="BS189" i="13"/>
  <c r="BS185" i="13"/>
  <c r="BS186" i="13"/>
  <c r="BS187" i="13"/>
  <c r="BS195" i="13"/>
  <c r="BS193" i="13"/>
  <c r="BS190" i="13"/>
  <c r="BT183" i="13"/>
  <c r="BT187" i="13"/>
  <c r="BT188" i="13"/>
  <c r="BT192" i="13"/>
  <c r="BT193" i="13"/>
  <c r="BT191" i="13"/>
  <c r="BT190" i="13"/>
  <c r="BT181" i="13"/>
  <c r="BT185" i="13"/>
  <c r="BT194" i="13"/>
  <c r="BT186" i="13"/>
  <c r="BT189" i="13"/>
  <c r="BT184" i="13"/>
  <c r="BT182" i="13"/>
  <c r="BT195" i="13"/>
  <c r="BU191" i="13"/>
  <c r="BU189" i="13"/>
  <c r="BU188" i="13"/>
  <c r="BU187" i="13"/>
  <c r="BU181" i="13"/>
  <c r="BU184" i="13"/>
  <c r="BU186" i="13"/>
  <c r="BU182" i="13"/>
  <c r="BU183" i="13"/>
  <c r="BU194" i="13"/>
  <c r="BU190" i="13"/>
  <c r="BU195" i="13"/>
  <c r="BU192" i="13"/>
  <c r="BU185" i="13"/>
  <c r="BU193" i="13"/>
  <c r="BV183" i="13"/>
  <c r="BV193" i="13"/>
  <c r="BV195" i="13"/>
  <c r="BV190" i="13"/>
  <c r="BV189" i="13"/>
  <c r="BV181" i="13"/>
  <c r="BV188" i="13"/>
  <c r="BV191" i="13"/>
  <c r="BV194" i="13"/>
  <c r="BV192" i="13"/>
  <c r="BV186" i="13"/>
  <c r="BV182" i="13"/>
  <c r="BV187" i="13"/>
  <c r="BV185" i="13"/>
  <c r="BV184" i="13"/>
  <c r="BW182" i="13"/>
  <c r="BW188" i="13"/>
  <c r="BW181" i="13"/>
  <c r="BW194" i="13"/>
  <c r="BW191" i="13"/>
  <c r="BW189" i="13"/>
  <c r="BW186" i="13"/>
  <c r="BW193" i="13"/>
  <c r="BW185" i="13"/>
  <c r="BW190" i="13"/>
  <c r="BW192" i="13"/>
  <c r="BW195" i="13"/>
  <c r="BW187" i="13"/>
  <c r="BW183" i="13"/>
  <c r="BW184" i="13"/>
  <c r="BX187" i="13"/>
  <c r="BX189" i="13"/>
  <c r="BX186" i="13"/>
  <c r="BX182" i="13"/>
  <c r="BX185" i="13"/>
  <c r="BX192" i="13"/>
  <c r="BX184" i="13"/>
  <c r="BX191" i="13"/>
  <c r="BX183" i="13"/>
  <c r="BX193" i="13"/>
  <c r="BX188" i="13"/>
  <c r="BX181" i="13"/>
  <c r="BX195" i="13"/>
  <c r="BX194" i="13"/>
  <c r="BX190" i="13"/>
  <c r="BY187" i="13"/>
  <c r="BY191" i="13"/>
  <c r="BY193" i="13"/>
  <c r="BY184" i="13"/>
  <c r="BY188" i="13"/>
  <c r="BY192" i="13"/>
  <c r="BY190" i="13"/>
  <c r="BY182" i="13"/>
  <c r="BY194" i="13"/>
  <c r="BY181" i="13"/>
  <c r="BY185" i="13"/>
  <c r="BY195" i="13"/>
  <c r="BY189" i="13"/>
  <c r="BY183" i="13"/>
  <c r="BY186" i="13"/>
  <c r="V7" i="15"/>
  <c r="V11" i="15" s="1"/>
  <c r="V14" i="17"/>
  <c r="V10" i="17" s="1"/>
  <c r="W7" i="34" s="1"/>
  <c r="W11" i="34" s="1"/>
  <c r="V355" i="1"/>
  <c r="Y355" i="1" s="1"/>
  <c r="V356" i="1"/>
  <c r="Y356" i="1" s="1"/>
  <c r="V357" i="1"/>
  <c r="Y357" i="1" s="1"/>
  <c r="V352" i="1"/>
  <c r="Y352" i="1" s="1"/>
  <c r="V350" i="1"/>
  <c r="V362" i="1"/>
  <c r="Y362" i="1" s="1"/>
  <c r="V338" i="1"/>
  <c r="Y338" i="1" s="1"/>
  <c r="V360" i="1"/>
  <c r="Y360" i="1" s="1"/>
  <c r="V361" i="1"/>
  <c r="Y361" i="1" s="1"/>
  <c r="V332" i="1"/>
  <c r="Y332" i="1" s="1"/>
  <c r="V351" i="1"/>
  <c r="Y351" i="1" s="1"/>
  <c r="V339" i="1"/>
  <c r="Y339" i="1" s="1"/>
  <c r="V333" i="1"/>
  <c r="Y333" i="1" s="1"/>
  <c r="V334" i="1"/>
  <c r="Y334" i="1" s="1"/>
  <c r="V327" i="1"/>
  <c r="V328" i="1"/>
  <c r="Y328" i="1" s="1"/>
  <c r="V329" i="1"/>
  <c r="Y329" i="1" s="1"/>
  <c r="V337" i="1"/>
  <c r="Y337" i="1" s="1"/>
  <c r="V271" i="1"/>
  <c r="Y271" i="1" s="1"/>
  <c r="V272" i="1"/>
  <c r="Y272" i="1" s="1"/>
  <c r="V270" i="1"/>
  <c r="V261" i="1"/>
  <c r="Y261" i="1" s="1"/>
  <c r="V266" i="1"/>
  <c r="Y266" i="1" s="1"/>
  <c r="V267" i="1"/>
  <c r="Y267" i="1" s="1"/>
  <c r="V265" i="1"/>
  <c r="Y265" i="1" s="1"/>
  <c r="V260" i="1"/>
  <c r="Y260" i="1" s="1"/>
  <c r="V262" i="1"/>
  <c r="Y262" i="1" s="1"/>
  <c r="W16" i="17"/>
  <c r="V68" i="15" s="1"/>
  <c r="V67" i="15" s="1"/>
  <c r="T369" i="1"/>
  <c r="V52" i="17"/>
  <c r="Y12" i="14"/>
  <c r="Y10" i="14" s="1"/>
  <c r="Y20" i="14" s="1"/>
  <c r="U343" i="1"/>
  <c r="U366" i="1"/>
  <c r="W53" i="17" s="1"/>
  <c r="BZ201" i="13"/>
  <c r="BZ203" i="13"/>
  <c r="BZ202" i="13"/>
  <c r="BZ204" i="13"/>
  <c r="BZ205" i="13"/>
  <c r="BZ206" i="13"/>
  <c r="CA200" i="13"/>
  <c r="CA176" i="13"/>
  <c r="CA177" i="13"/>
  <c r="CA178" i="13"/>
  <c r="CA179" i="13"/>
  <c r="CA180" i="13"/>
  <c r="CA194" i="13"/>
  <c r="CA187" i="13"/>
  <c r="CA192" i="13"/>
  <c r="CA182" i="13"/>
  <c r="CA185" i="13"/>
  <c r="CA190" i="13"/>
  <c r="CA188" i="13"/>
  <c r="CA184" i="13"/>
  <c r="CA195" i="13"/>
  <c r="CA181" i="13"/>
  <c r="CA191" i="13"/>
  <c r="CA183" i="13"/>
  <c r="CA186" i="13"/>
  <c r="CA193" i="13"/>
  <c r="CA189" i="13"/>
  <c r="CB200" i="13"/>
  <c r="CB176" i="13"/>
  <c r="CB177" i="13"/>
  <c r="CB178" i="13"/>
  <c r="CB179" i="13"/>
  <c r="CB180" i="13"/>
  <c r="CB186" i="13"/>
  <c r="CB181" i="13"/>
  <c r="CB189" i="13"/>
  <c r="CB190" i="13"/>
  <c r="CB187" i="13"/>
  <c r="CB184" i="13"/>
  <c r="CB194" i="13"/>
  <c r="CB193" i="13"/>
  <c r="CB195" i="13"/>
  <c r="CB182" i="13"/>
  <c r="CB185" i="13"/>
  <c r="CB188" i="13"/>
  <c r="CB191" i="13"/>
  <c r="CB183" i="13"/>
  <c r="CB192" i="13"/>
  <c r="BY46" i="13"/>
  <c r="BY49" i="13"/>
  <c r="BZ48" i="13"/>
  <c r="S276" i="1"/>
  <c r="S370" i="1" s="1"/>
  <c r="U12" i="17" l="1"/>
  <c r="V7" i="34"/>
  <c r="V11" i="34" s="1"/>
  <c r="V81" i="15"/>
  <c r="Y171" i="13"/>
  <c r="BE171" i="13"/>
  <c r="BE172" i="13" s="1"/>
  <c r="AW196" i="13"/>
  <c r="AW197" i="13" s="1"/>
  <c r="AL196" i="13"/>
  <c r="AL197" i="13" s="1"/>
  <c r="BJ171" i="13"/>
  <c r="BJ172" i="13" s="1"/>
  <c r="BH196" i="13"/>
  <c r="BH197" i="13" s="1"/>
  <c r="AB196" i="13"/>
  <c r="AB197" i="13" s="1"/>
  <c r="BW171" i="13"/>
  <c r="BW172" i="13" s="1"/>
  <c r="BT171" i="13"/>
  <c r="BT172" i="13" s="1"/>
  <c r="AO196" i="13"/>
  <c r="AO197" i="13" s="1"/>
  <c r="AQ196" i="13"/>
  <c r="AQ197" i="13" s="1"/>
  <c r="BD196" i="13"/>
  <c r="BD197" i="13" s="1"/>
  <c r="BW196" i="13"/>
  <c r="BW197" i="13" s="1"/>
  <c r="BS196" i="13"/>
  <c r="BS197" i="13" s="1"/>
  <c r="BQ196" i="13"/>
  <c r="BQ197" i="13" s="1"/>
  <c r="BP196" i="13"/>
  <c r="BP197" i="13" s="1"/>
  <c r="BL196" i="13"/>
  <c r="BL197" i="13" s="1"/>
  <c r="AH196" i="13"/>
  <c r="AH197" i="13" s="1"/>
  <c r="AC196" i="13"/>
  <c r="AC197" i="13" s="1"/>
  <c r="AE196" i="13"/>
  <c r="AE197" i="13" s="1"/>
  <c r="Z196" i="13"/>
  <c r="Z197" i="13" s="1"/>
  <c r="AS196" i="13"/>
  <c r="AS197" i="13" s="1"/>
  <c r="BU171" i="13"/>
  <c r="BU172" i="13" s="1"/>
  <c r="BS171" i="13"/>
  <c r="BS172" i="13" s="1"/>
  <c r="AE171" i="13"/>
  <c r="AE172" i="13" s="1"/>
  <c r="AM171" i="13"/>
  <c r="AM172" i="13" s="1"/>
  <c r="AW171" i="13"/>
  <c r="AW172" i="13" s="1"/>
  <c r="AO171" i="13"/>
  <c r="AO172" i="13" s="1"/>
  <c r="AZ171" i="13"/>
  <c r="AZ172" i="13" s="1"/>
  <c r="AK171" i="13"/>
  <c r="AK172" i="13" s="1"/>
  <c r="AC171" i="13"/>
  <c r="AC172" i="13" s="1"/>
  <c r="BF171" i="13"/>
  <c r="BF172" i="13" s="1"/>
  <c r="AB171" i="13"/>
  <c r="AB172" i="13" s="1"/>
  <c r="AP196" i="13"/>
  <c r="AP197" i="13" s="1"/>
  <c r="BV196" i="13"/>
  <c r="BV197" i="13" s="1"/>
  <c r="BU196" i="13"/>
  <c r="BU197" i="13" s="1"/>
  <c r="BT196" i="13"/>
  <c r="BT197" i="13" s="1"/>
  <c r="BR196" i="13"/>
  <c r="BR197" i="13" s="1"/>
  <c r="BO196" i="13"/>
  <c r="BO197" i="13" s="1"/>
  <c r="BK196" i="13"/>
  <c r="BK197" i="13" s="1"/>
  <c r="AN196" i="13"/>
  <c r="AN197" i="13" s="1"/>
  <c r="AI196" i="13"/>
  <c r="AI197" i="13" s="1"/>
  <c r="BG196" i="13"/>
  <c r="BG197" i="13" s="1"/>
  <c r="BC196" i="13"/>
  <c r="BC197" i="13" s="1"/>
  <c r="AK196" i="13"/>
  <c r="AK197" i="13" s="1"/>
  <c r="BA196" i="13"/>
  <c r="BA197" i="13" s="1"/>
  <c r="M125" i="13"/>
  <c r="M130" i="13" s="1"/>
  <c r="N118" i="13"/>
  <c r="M126" i="13"/>
  <c r="M131" i="13" s="1"/>
  <c r="N120" i="13"/>
  <c r="BQ171" i="13"/>
  <c r="BQ172" i="13" s="1"/>
  <c r="BO171" i="13"/>
  <c r="BO172" i="13" s="1"/>
  <c r="AD171" i="13"/>
  <c r="AD172" i="13" s="1"/>
  <c r="AV171" i="13"/>
  <c r="AV172" i="13" s="1"/>
  <c r="AU171" i="13"/>
  <c r="AU172" i="13" s="1"/>
  <c r="AQ171" i="13"/>
  <c r="AQ172" i="13" s="1"/>
  <c r="AY171" i="13"/>
  <c r="AY172" i="13" s="1"/>
  <c r="AH171" i="13"/>
  <c r="AH172" i="13" s="1"/>
  <c r="AR171" i="13"/>
  <c r="AR172" i="13" s="1"/>
  <c r="AL171" i="13"/>
  <c r="AL172" i="13" s="1"/>
  <c r="AA171" i="13"/>
  <c r="AA172" i="13" s="1"/>
  <c r="AJ196" i="13"/>
  <c r="AJ197" i="13" s="1"/>
  <c r="AA196" i="13"/>
  <c r="AA197" i="13" s="1"/>
  <c r="BL171" i="13"/>
  <c r="BL172" i="13" s="1"/>
  <c r="BG171" i="13"/>
  <c r="BG172" i="13" s="1"/>
  <c r="BI196" i="13"/>
  <c r="BI197" i="13" s="1"/>
  <c r="AF196" i="13"/>
  <c r="AF197" i="13" s="1"/>
  <c r="AD196" i="13"/>
  <c r="AD197" i="13" s="1"/>
  <c r="AR196" i="13"/>
  <c r="AR197" i="13" s="1"/>
  <c r="Y207" i="13"/>
  <c r="Y221" i="13" s="1"/>
  <c r="Z207" i="13"/>
  <c r="BI207" i="13"/>
  <c r="AF207" i="13"/>
  <c r="BE207" i="13"/>
  <c r="AI207" i="13"/>
  <c r="AS207" i="13"/>
  <c r="AQ207" i="13"/>
  <c r="AY207" i="13"/>
  <c r="AL207" i="13"/>
  <c r="AK207" i="13"/>
  <c r="BF207" i="13"/>
  <c r="AX207" i="13"/>
  <c r="AD207" i="13"/>
  <c r="BG207" i="13"/>
  <c r="AO207" i="13"/>
  <c r="AP207" i="13"/>
  <c r="AV207" i="13"/>
  <c r="BA207" i="13"/>
  <c r="BC207" i="13"/>
  <c r="AE207" i="13"/>
  <c r="AG207" i="13"/>
  <c r="AJ207" i="13"/>
  <c r="BD207" i="13"/>
  <c r="AN207" i="13"/>
  <c r="AM207" i="13"/>
  <c r="AC207" i="13"/>
  <c r="BB207" i="13"/>
  <c r="AT207" i="13"/>
  <c r="AW207" i="13"/>
  <c r="AH207" i="13"/>
  <c r="AR207" i="13"/>
  <c r="AB207" i="13"/>
  <c r="AU207" i="13"/>
  <c r="AA207" i="13"/>
  <c r="AZ207" i="13"/>
  <c r="BH207" i="13"/>
  <c r="BJ207" i="13"/>
  <c r="BK207" i="13"/>
  <c r="BL207" i="13"/>
  <c r="BM207" i="13"/>
  <c r="BN207" i="13"/>
  <c r="BO207" i="13"/>
  <c r="BP207" i="13"/>
  <c r="BQ207" i="13"/>
  <c r="BR207" i="13"/>
  <c r="BS207" i="13"/>
  <c r="BT207" i="13"/>
  <c r="BU207" i="13"/>
  <c r="BV207" i="13"/>
  <c r="BW207" i="13"/>
  <c r="BX207" i="13"/>
  <c r="BY207" i="13"/>
  <c r="W54" i="17"/>
  <c r="BM171" i="13"/>
  <c r="BM172" i="13" s="1"/>
  <c r="BK171" i="13"/>
  <c r="BK172" i="13" s="1"/>
  <c r="AI171" i="13"/>
  <c r="AI172" i="13" s="1"/>
  <c r="AX171" i="13"/>
  <c r="AX172" i="13" s="1"/>
  <c r="AP171" i="13"/>
  <c r="AP172" i="13" s="1"/>
  <c r="BI171" i="13"/>
  <c r="BI172" i="13" s="1"/>
  <c r="AF171" i="13"/>
  <c r="AF172" i="13" s="1"/>
  <c r="BB171" i="13"/>
  <c r="BB172" i="13" s="1"/>
  <c r="BB196" i="13"/>
  <c r="BB197" i="13" s="1"/>
  <c r="AJ171" i="13"/>
  <c r="AJ172" i="13" s="1"/>
  <c r="AS171" i="13"/>
  <c r="AS172" i="13" s="1"/>
  <c r="BN196" i="13"/>
  <c r="BN197" i="13" s="1"/>
  <c r="BM196" i="13"/>
  <c r="BM197" i="13" s="1"/>
  <c r="BJ196" i="13"/>
  <c r="BJ197" i="13" s="1"/>
  <c r="AM196" i="13"/>
  <c r="AM197" i="13" s="1"/>
  <c r="AX196" i="13"/>
  <c r="AX197" i="13" s="1"/>
  <c r="BF196" i="13"/>
  <c r="BF197" i="13" s="1"/>
  <c r="Y196" i="13"/>
  <c r="AU196" i="13"/>
  <c r="AU197" i="13" s="1"/>
  <c r="AG196" i="13"/>
  <c r="AG197" i="13" s="1"/>
  <c r="BE196" i="13"/>
  <c r="BE197" i="13" s="1"/>
  <c r="AV196" i="13"/>
  <c r="AV197" i="13" s="1"/>
  <c r="AT196" i="13"/>
  <c r="AT197" i="13" s="1"/>
  <c r="AZ196" i="13"/>
  <c r="AZ197" i="13" s="1"/>
  <c r="AY196" i="13"/>
  <c r="AY197" i="13" s="1"/>
  <c r="N122" i="13"/>
  <c r="M127" i="13"/>
  <c r="M132" i="13" s="1"/>
  <c r="CB208" i="13" s="1"/>
  <c r="BV171" i="13"/>
  <c r="BV172" i="13" s="1"/>
  <c r="BR171" i="13"/>
  <c r="BR172" i="13" s="1"/>
  <c r="BP171" i="13"/>
  <c r="BP172" i="13" s="1"/>
  <c r="BN171" i="13"/>
  <c r="BN172" i="13" s="1"/>
  <c r="AT171" i="13"/>
  <c r="AT172" i="13" s="1"/>
  <c r="AN171" i="13"/>
  <c r="AN172" i="13" s="1"/>
  <c r="BA171" i="13"/>
  <c r="BA172" i="13" s="1"/>
  <c r="AG171" i="13"/>
  <c r="AG172" i="13" s="1"/>
  <c r="BD171" i="13"/>
  <c r="BD172" i="13" s="1"/>
  <c r="BH171" i="13"/>
  <c r="BH172" i="13" s="1"/>
  <c r="Z171" i="13"/>
  <c r="Z172" i="13" s="1"/>
  <c r="BC171" i="13"/>
  <c r="BC172" i="13" s="1"/>
  <c r="W7" i="15"/>
  <c r="W11" i="15" s="1"/>
  <c r="V12" i="17"/>
  <c r="W14" i="17"/>
  <c r="W10" i="17" s="1"/>
  <c r="X7" i="34" s="1"/>
  <c r="X11" i="34" s="1"/>
  <c r="V343" i="1"/>
  <c r="Y327" i="1"/>
  <c r="U369" i="1"/>
  <c r="W52" i="17"/>
  <c r="Z12" i="14"/>
  <c r="Y270" i="1"/>
  <c r="V366" i="1"/>
  <c r="Y350" i="1"/>
  <c r="CB201" i="13"/>
  <c r="CB202" i="13"/>
  <c r="CB203" i="13"/>
  <c r="CB204" i="13"/>
  <c r="CB205" i="13"/>
  <c r="CB206" i="13"/>
  <c r="CB207" i="13"/>
  <c r="CA201" i="13"/>
  <c r="CA202" i="13"/>
  <c r="CA203" i="13"/>
  <c r="CA204" i="13"/>
  <c r="CA205" i="13"/>
  <c r="CA206" i="13"/>
  <c r="CA207" i="13"/>
  <c r="CA48" i="13"/>
  <c r="BZ46" i="13"/>
  <c r="BZ49" i="13"/>
  <c r="BX196" i="13"/>
  <c r="BX197" i="13" s="1"/>
  <c r="BX171" i="13"/>
  <c r="BX172" i="13" s="1"/>
  <c r="T276" i="1"/>
  <c r="T370" i="1" s="1"/>
  <c r="CA208" i="13" l="1"/>
  <c r="N127" i="13"/>
  <c r="N132" i="13" s="1"/>
  <c r="O122" i="13"/>
  <c r="BI208" i="13"/>
  <c r="BB208" i="13"/>
  <c r="AK208" i="13"/>
  <c r="AO208" i="13"/>
  <c r="AQ208" i="13"/>
  <c r="AD208" i="13"/>
  <c r="BC208" i="13"/>
  <c r="BD208" i="13"/>
  <c r="BJ208" i="13"/>
  <c r="AE208" i="13"/>
  <c r="AF208" i="13"/>
  <c r="AG208" i="13"/>
  <c r="BH208" i="13"/>
  <c r="AM208" i="13"/>
  <c r="AT208" i="13"/>
  <c r="AR208" i="13"/>
  <c r="AI208" i="13"/>
  <c r="AN208" i="13"/>
  <c r="BG208" i="13"/>
  <c r="AY208" i="13"/>
  <c r="AL208" i="13"/>
  <c r="AP208" i="13"/>
  <c r="AH208" i="13"/>
  <c r="AC208" i="13"/>
  <c r="Z208" i="13"/>
  <c r="Z221" i="13" s="1"/>
  <c r="Z222" i="13" s="1"/>
  <c r="AS208" i="13"/>
  <c r="AZ208" i="13"/>
  <c r="AX208" i="13"/>
  <c r="AV208" i="13"/>
  <c r="AU208" i="13"/>
  <c r="AW208" i="13"/>
  <c r="BF208" i="13"/>
  <c r="BA208" i="13"/>
  <c r="BE208" i="13"/>
  <c r="AA208" i="13"/>
  <c r="AJ208" i="13"/>
  <c r="AB208" i="13"/>
  <c r="BK208" i="13"/>
  <c r="BL208" i="13"/>
  <c r="BM208" i="13"/>
  <c r="BN208" i="13"/>
  <c r="BO208" i="13"/>
  <c r="BP208" i="13"/>
  <c r="BQ208" i="13"/>
  <c r="BR208" i="13"/>
  <c r="BS208" i="13"/>
  <c r="BT208" i="13"/>
  <c r="BU208" i="13"/>
  <c r="BV208" i="13"/>
  <c r="BW208" i="13"/>
  <c r="BX208" i="13"/>
  <c r="BY208" i="13"/>
  <c r="BZ208" i="13"/>
  <c r="N126" i="13"/>
  <c r="N131" i="13" s="1"/>
  <c r="O120" i="13"/>
  <c r="O118" i="13"/>
  <c r="N125" i="13"/>
  <c r="N130" i="13" s="1"/>
  <c r="X7" i="15"/>
  <c r="X11" i="15" s="1"/>
  <c r="W12" i="17"/>
  <c r="Z10" i="14"/>
  <c r="E12" i="14"/>
  <c r="E16" i="14" s="1"/>
  <c r="V369" i="1"/>
  <c r="X52" i="17"/>
  <c r="C52" i="17" s="1"/>
  <c r="B344" i="1"/>
  <c r="X53" i="17"/>
  <c r="C53" i="17" s="1"/>
  <c r="B367" i="1"/>
  <c r="BY171" i="13"/>
  <c r="BY172" i="13" s="1"/>
  <c r="CA46" i="13"/>
  <c r="CA49" i="13"/>
  <c r="CB48" i="13"/>
  <c r="BY196" i="13"/>
  <c r="BY197" i="13" s="1"/>
  <c r="U276" i="1"/>
  <c r="U370" i="1" s="1"/>
  <c r="O127" i="13" l="1"/>
  <c r="O132" i="13" s="1"/>
  <c r="P122" i="13"/>
  <c r="AB209" i="13"/>
  <c r="BJ209" i="13"/>
  <c r="AS209" i="13"/>
  <c r="AY209" i="13"/>
  <c r="AM209" i="13"/>
  <c r="AQ209" i="13"/>
  <c r="AV209" i="13"/>
  <c r="BC209" i="13"/>
  <c r="AD209" i="13"/>
  <c r="AX209" i="13"/>
  <c r="AO209" i="13"/>
  <c r="AU209" i="13"/>
  <c r="AZ209" i="13"/>
  <c r="AR209" i="13"/>
  <c r="AE209" i="13"/>
  <c r="AA209" i="13"/>
  <c r="AA221" i="13" s="1"/>
  <c r="AA222" i="13" s="1"/>
  <c r="AP209" i="13"/>
  <c r="AN209" i="13"/>
  <c r="AH209" i="13"/>
  <c r="AT209" i="13"/>
  <c r="AL209" i="13"/>
  <c r="AG209" i="13"/>
  <c r="AJ209" i="13"/>
  <c r="AF209" i="13"/>
  <c r="BE209" i="13"/>
  <c r="BH209" i="13"/>
  <c r="BA209" i="13"/>
  <c r="BI209" i="13"/>
  <c r="AI209" i="13"/>
  <c r="BG209" i="13"/>
  <c r="AK209" i="13"/>
  <c r="AC209" i="13"/>
  <c r="BD209" i="13"/>
  <c r="BB209" i="13"/>
  <c r="AW209" i="13"/>
  <c r="BF209" i="13"/>
  <c r="BK209" i="13"/>
  <c r="BL209" i="13"/>
  <c r="BM209" i="13"/>
  <c r="BN209" i="13"/>
  <c r="BO209" i="13"/>
  <c r="BP209" i="13"/>
  <c r="BQ209" i="13"/>
  <c r="BR209" i="13"/>
  <c r="BS209" i="13"/>
  <c r="BT209" i="13"/>
  <c r="BU209" i="13"/>
  <c r="BV209" i="13"/>
  <c r="BW209" i="13"/>
  <c r="BX209" i="13"/>
  <c r="BY209" i="13"/>
  <c r="BZ209" i="13"/>
  <c r="CB209" i="13"/>
  <c r="CA209" i="13"/>
  <c r="O125" i="13"/>
  <c r="O130" i="13" s="1"/>
  <c r="P118" i="13"/>
  <c r="P120" i="13"/>
  <c r="O126" i="13"/>
  <c r="O131" i="13" s="1"/>
  <c r="D12" i="14"/>
  <c r="D16" i="14"/>
  <c r="D15" i="14"/>
  <c r="D13" i="14"/>
  <c r="D14" i="14"/>
  <c r="Z20" i="14"/>
  <c r="G3" i="14" s="1"/>
  <c r="E10" i="14"/>
  <c r="CB49" i="13"/>
  <c r="CB46" i="13"/>
  <c r="BZ171" i="13"/>
  <c r="BZ172" i="13" s="1"/>
  <c r="BZ196" i="13"/>
  <c r="BZ197" i="13" s="1"/>
  <c r="V276" i="1"/>
  <c r="B277" i="1" s="1"/>
  <c r="P125" i="13" l="1"/>
  <c r="P130" i="13" s="1"/>
  <c r="Q118" i="13"/>
  <c r="P127" i="13"/>
  <c r="P132" i="13" s="1"/>
  <c r="Q122" i="13"/>
  <c r="P126" i="13"/>
  <c r="P131" i="13" s="1"/>
  <c r="Q120" i="13"/>
  <c r="AT210" i="13"/>
  <c r="AL210" i="13"/>
  <c r="BC210" i="13"/>
  <c r="BG210" i="13"/>
  <c r="BA210" i="13"/>
  <c r="BI210" i="13"/>
  <c r="AD210" i="13"/>
  <c r="AJ210" i="13"/>
  <c r="BH210" i="13"/>
  <c r="BK210" i="13"/>
  <c r="AQ210" i="13"/>
  <c r="AM210" i="13"/>
  <c r="AE210" i="13"/>
  <c r="AK210" i="13"/>
  <c r="AP210" i="13"/>
  <c r="AH210" i="13"/>
  <c r="AO210" i="13"/>
  <c r="BB210" i="13"/>
  <c r="AC210" i="13"/>
  <c r="AZ210" i="13"/>
  <c r="BE210" i="13"/>
  <c r="BD210" i="13"/>
  <c r="AF210" i="13"/>
  <c r="AR210" i="13"/>
  <c r="AU210" i="13"/>
  <c r="BF210" i="13"/>
  <c r="AG210" i="13"/>
  <c r="AX210" i="13"/>
  <c r="BJ210" i="13"/>
  <c r="AS210" i="13"/>
  <c r="AI210" i="13"/>
  <c r="AN210" i="13"/>
  <c r="AV210" i="13"/>
  <c r="AW210" i="13"/>
  <c r="AB210" i="13"/>
  <c r="AB221" i="13" s="1"/>
  <c r="AB222" i="13" s="1"/>
  <c r="AY210" i="13"/>
  <c r="BL210" i="13"/>
  <c r="BM210" i="13"/>
  <c r="BN210" i="13"/>
  <c r="BO210" i="13"/>
  <c r="BP210" i="13"/>
  <c r="BQ210" i="13"/>
  <c r="BR210" i="13"/>
  <c r="BS210" i="13"/>
  <c r="BT210" i="13"/>
  <c r="BU210" i="13"/>
  <c r="BV210" i="13"/>
  <c r="BW210" i="13"/>
  <c r="BX210" i="13"/>
  <c r="BY210" i="13"/>
  <c r="BZ210" i="13"/>
  <c r="CB210" i="13"/>
  <c r="CA210" i="13"/>
  <c r="V370" i="1"/>
  <c r="CA196" i="13"/>
  <c r="CA197" i="13" s="1"/>
  <c r="CA171" i="13"/>
  <c r="CA172" i="13" s="1"/>
  <c r="R120" i="13" l="1"/>
  <c r="Q126" i="13"/>
  <c r="Q131" i="13" s="1"/>
  <c r="Q125" i="13"/>
  <c r="Q130" i="13" s="1"/>
  <c r="R118" i="13"/>
  <c r="R122" i="13"/>
  <c r="Q127" i="13"/>
  <c r="Q132" i="13" s="1"/>
  <c r="AD211" i="13"/>
  <c r="AK211" i="13"/>
  <c r="AG211" i="13"/>
  <c r="AI211" i="13"/>
  <c r="AO211" i="13"/>
  <c r="BC211" i="13"/>
  <c r="BM211" i="13"/>
  <c r="AE211" i="13"/>
  <c r="AY211" i="13"/>
  <c r="AR211" i="13"/>
  <c r="BJ211" i="13"/>
  <c r="AP211" i="13"/>
  <c r="AN211" i="13"/>
  <c r="AT211" i="13"/>
  <c r="BG211" i="13"/>
  <c r="BH211" i="13"/>
  <c r="BI211" i="13"/>
  <c r="BK211" i="13"/>
  <c r="AS211" i="13"/>
  <c r="AW211" i="13"/>
  <c r="AZ211" i="13"/>
  <c r="BB211" i="13"/>
  <c r="AL211" i="13"/>
  <c r="AM211" i="13"/>
  <c r="AQ211" i="13"/>
  <c r="AU211" i="13"/>
  <c r="AX211" i="13"/>
  <c r="BE211" i="13"/>
  <c r="BF211" i="13"/>
  <c r="BA211" i="13"/>
  <c r="AC211" i="13"/>
  <c r="AC221" i="13" s="1"/>
  <c r="AC222" i="13" s="1"/>
  <c r="AH211" i="13"/>
  <c r="BL211" i="13"/>
  <c r="AV211" i="13"/>
  <c r="BD211" i="13"/>
  <c r="AF211" i="13"/>
  <c r="AJ211" i="13"/>
  <c r="BN211" i="13"/>
  <c r="BO211" i="13"/>
  <c r="BP211" i="13"/>
  <c r="BQ211" i="13"/>
  <c r="BR211" i="13"/>
  <c r="BS211" i="13"/>
  <c r="BT211" i="13"/>
  <c r="BU211" i="13"/>
  <c r="BV211" i="13"/>
  <c r="BW211" i="13"/>
  <c r="BX211" i="13"/>
  <c r="BY211" i="13"/>
  <c r="BZ211" i="13"/>
  <c r="CB211" i="13"/>
  <c r="CA211" i="13"/>
  <c r="CB171" i="13"/>
  <c r="CB196" i="13"/>
  <c r="CB197" i="13" s="1"/>
  <c r="S122" i="13" l="1"/>
  <c r="R127" i="13"/>
  <c r="R132" i="13" s="1"/>
  <c r="S120" i="13"/>
  <c r="R126" i="13"/>
  <c r="R131" i="13" s="1"/>
  <c r="R125" i="13"/>
  <c r="R130" i="13" s="1"/>
  <c r="S118" i="13"/>
  <c r="AG212" i="13"/>
  <c r="AY212" i="13"/>
  <c r="BJ212" i="13"/>
  <c r="AS212" i="13"/>
  <c r="AK212" i="13"/>
  <c r="AU212" i="13"/>
  <c r="BE212" i="13"/>
  <c r="BI212" i="13"/>
  <c r="AV212" i="13"/>
  <c r="BK212" i="13"/>
  <c r="BB212" i="13"/>
  <c r="AH212" i="13"/>
  <c r="AW212" i="13"/>
  <c r="AP212" i="13"/>
  <c r="BG212" i="13"/>
  <c r="AZ212" i="13"/>
  <c r="BF212" i="13"/>
  <c r="BA212" i="13"/>
  <c r="AQ212" i="13"/>
  <c r="AN212" i="13"/>
  <c r="AT212" i="13"/>
  <c r="BM212" i="13"/>
  <c r="BC212" i="13"/>
  <c r="AE212" i="13"/>
  <c r="AD212" i="13"/>
  <c r="AD221" i="13" s="1"/>
  <c r="AD222" i="13" s="1"/>
  <c r="AF212" i="13"/>
  <c r="AO212" i="13"/>
  <c r="AL212" i="13"/>
  <c r="AM212" i="13"/>
  <c r="BD212" i="13"/>
  <c r="BH212" i="13"/>
  <c r="AR212" i="13"/>
  <c r="BL212" i="13"/>
  <c r="AX212" i="13"/>
  <c r="AI212" i="13"/>
  <c r="AJ212" i="13"/>
  <c r="BN212" i="13"/>
  <c r="BO212" i="13"/>
  <c r="BP212" i="13"/>
  <c r="BQ212" i="13"/>
  <c r="BR212" i="13"/>
  <c r="BS212" i="13"/>
  <c r="BT212" i="13"/>
  <c r="BU212" i="13"/>
  <c r="BV212" i="13"/>
  <c r="BW212" i="13"/>
  <c r="BX212" i="13"/>
  <c r="BY212" i="13"/>
  <c r="BZ212" i="13"/>
  <c r="CB212" i="13"/>
  <c r="CA212" i="13"/>
  <c r="CB172" i="13"/>
  <c r="Y173" i="13" s="1"/>
  <c r="X15" i="17" s="1"/>
  <c r="Y198" i="13"/>
  <c r="X16" i="17" s="1"/>
  <c r="AF213" i="13" l="1"/>
  <c r="AT213" i="13"/>
  <c r="AE213" i="13"/>
  <c r="AE221" i="13" s="1"/>
  <c r="AE222" i="13" s="1"/>
  <c r="AI213" i="13"/>
  <c r="AS213" i="13"/>
  <c r="AJ213" i="13"/>
  <c r="AY213" i="13"/>
  <c r="AG213" i="13"/>
  <c r="BA213" i="13"/>
  <c r="BK213" i="13"/>
  <c r="AZ213" i="13"/>
  <c r="BH213" i="13"/>
  <c r="BN213" i="13"/>
  <c r="AX213" i="13"/>
  <c r="AR213" i="13"/>
  <c r="AP213" i="13"/>
  <c r="AV213" i="13"/>
  <c r="BM213" i="13"/>
  <c r="BG213" i="13"/>
  <c r="AO213" i="13"/>
  <c r="BF213" i="13"/>
  <c r="AN213" i="13"/>
  <c r="AL213" i="13"/>
  <c r="BC213" i="13"/>
  <c r="BE213" i="13"/>
  <c r="BL213" i="13"/>
  <c r="AU213" i="13"/>
  <c r="BD213" i="13"/>
  <c r="AQ213" i="13"/>
  <c r="AK213" i="13"/>
  <c r="AH213" i="13"/>
  <c r="AW213" i="13"/>
  <c r="BI213" i="13"/>
  <c r="AM213" i="13"/>
  <c r="BB213" i="13"/>
  <c r="BJ213" i="13"/>
  <c r="BO213" i="13"/>
  <c r="BP213" i="13"/>
  <c r="BQ213" i="13"/>
  <c r="BR213" i="13"/>
  <c r="BS213" i="13"/>
  <c r="BT213" i="13"/>
  <c r="BU213" i="13"/>
  <c r="BV213" i="13"/>
  <c r="BW213" i="13"/>
  <c r="BX213" i="13"/>
  <c r="BY213" i="13"/>
  <c r="BZ213" i="13"/>
  <c r="CB213" i="13"/>
  <c r="CA213" i="13"/>
  <c r="S125" i="13"/>
  <c r="S130" i="13" s="1"/>
  <c r="T118" i="13"/>
  <c r="S126" i="13"/>
  <c r="S131" i="13" s="1"/>
  <c r="T120" i="13"/>
  <c r="T122" i="13"/>
  <c r="S127" i="13"/>
  <c r="S132" i="13" s="1"/>
  <c r="C16" i="17"/>
  <c r="E67" i="23" s="1"/>
  <c r="W68" i="15"/>
  <c r="W67" i="15" s="1"/>
  <c r="X67" i="15" s="1"/>
  <c r="C78" i="15" s="1"/>
  <c r="C15" i="17"/>
  <c r="E66" i="23" s="1"/>
  <c r="W64" i="15"/>
  <c r="W63" i="15" s="1"/>
  <c r="X63" i="15" l="1"/>
  <c r="C77" i="15" s="1"/>
  <c r="W81" i="15"/>
  <c r="C82" i="15" s="1"/>
  <c r="BI214" i="13"/>
  <c r="BH214" i="13"/>
  <c r="BF214" i="13"/>
  <c r="BE214" i="13"/>
  <c r="AW214" i="13"/>
  <c r="AY214" i="13"/>
  <c r="AI214" i="13"/>
  <c r="BK214" i="13"/>
  <c r="AJ214" i="13"/>
  <c r="AS214" i="13"/>
  <c r="AF214" i="13"/>
  <c r="AF221" i="13" s="1"/>
  <c r="AF222" i="13" s="1"/>
  <c r="BA214" i="13"/>
  <c r="BD214" i="13"/>
  <c r="BN214" i="13"/>
  <c r="AV214" i="13"/>
  <c r="AZ214" i="13"/>
  <c r="BC214" i="13"/>
  <c r="BJ214" i="13"/>
  <c r="AR214" i="13"/>
  <c r="AO214" i="13"/>
  <c r="AM214" i="13"/>
  <c r="BB214" i="13"/>
  <c r="AP214" i="13"/>
  <c r="AX214" i="13"/>
  <c r="AT214" i="13"/>
  <c r="BG214" i="13"/>
  <c r="BM214" i="13"/>
  <c r="AL214" i="13"/>
  <c r="AQ214" i="13"/>
  <c r="BL214" i="13"/>
  <c r="AH214" i="13"/>
  <c r="AN214" i="13"/>
  <c r="AG214" i="13"/>
  <c r="AU214" i="13"/>
  <c r="AK214" i="13"/>
  <c r="BO214" i="13"/>
  <c r="BP214" i="13"/>
  <c r="BQ214" i="13"/>
  <c r="BR214" i="13"/>
  <c r="BS214" i="13"/>
  <c r="BT214" i="13"/>
  <c r="BU214" i="13"/>
  <c r="BV214" i="13"/>
  <c r="BW214" i="13"/>
  <c r="BX214" i="13"/>
  <c r="BY214" i="13"/>
  <c r="BZ214" i="13"/>
  <c r="CB214" i="13"/>
  <c r="CA214" i="13"/>
  <c r="T125" i="13"/>
  <c r="T130" i="13" s="1"/>
  <c r="U118" i="13"/>
  <c r="U122" i="13"/>
  <c r="T127" i="13"/>
  <c r="T132" i="13" s="1"/>
  <c r="U120" i="13"/>
  <c r="T126" i="13"/>
  <c r="T131" i="13" s="1"/>
  <c r="E70" i="23"/>
  <c r="G173" i="23" s="1"/>
  <c r="C18" i="17"/>
  <c r="E79" i="23"/>
  <c r="E133" i="23"/>
  <c r="C3" i="27" s="1"/>
  <c r="F133" i="23"/>
  <c r="G133" i="23"/>
  <c r="H133" i="23"/>
  <c r="H134" i="23" l="1"/>
  <c r="F3" i="27"/>
  <c r="G134" i="23"/>
  <c r="E3" i="27"/>
  <c r="F134" i="23"/>
  <c r="D3" i="27"/>
  <c r="G174" i="23"/>
  <c r="E5" i="27"/>
  <c r="E13" i="27" s="1"/>
  <c r="E22" i="27" s="1"/>
  <c r="E43" i="27" s="1"/>
  <c r="C11" i="27"/>
  <c r="C20" i="27" s="1"/>
  <c r="C41" i="27" s="1"/>
  <c r="AZ215" i="13"/>
  <c r="AW215" i="13"/>
  <c r="AN215" i="13"/>
  <c r="BO215" i="13"/>
  <c r="AV215" i="13"/>
  <c r="BM215" i="13"/>
  <c r="BE215" i="13"/>
  <c r="AG215" i="13"/>
  <c r="AG221" i="13" s="1"/>
  <c r="AG222" i="13" s="1"/>
  <c r="AL215" i="13"/>
  <c r="AJ215" i="13"/>
  <c r="AX215" i="13"/>
  <c r="BK215" i="13"/>
  <c r="BP215" i="13"/>
  <c r="AS215" i="13"/>
  <c r="AP215" i="13"/>
  <c r="BH215" i="13"/>
  <c r="BL215" i="13"/>
  <c r="AM215" i="13"/>
  <c r="AO215" i="13"/>
  <c r="AT215" i="13"/>
  <c r="AH215" i="13"/>
  <c r="BF215" i="13"/>
  <c r="BG215" i="13"/>
  <c r="AI215" i="13"/>
  <c r="AY215" i="13"/>
  <c r="AK215" i="13"/>
  <c r="BN215" i="13"/>
  <c r="BB215" i="13"/>
  <c r="BQ215" i="13"/>
  <c r="BA215" i="13"/>
  <c r="BI215" i="13"/>
  <c r="BD215" i="13"/>
  <c r="AR215" i="13"/>
  <c r="BC215" i="13"/>
  <c r="BJ215" i="13"/>
  <c r="AQ215" i="13"/>
  <c r="AU215" i="13"/>
  <c r="BR215" i="13"/>
  <c r="BS215" i="13"/>
  <c r="BT215" i="13"/>
  <c r="BU215" i="13"/>
  <c r="BV215" i="13"/>
  <c r="BW215" i="13"/>
  <c r="BX215" i="13"/>
  <c r="BY215" i="13"/>
  <c r="BZ215" i="13"/>
  <c r="CA215" i="13"/>
  <c r="CB215" i="13"/>
  <c r="V122" i="13"/>
  <c r="U127" i="13"/>
  <c r="U132" i="13" s="1"/>
  <c r="U126" i="13"/>
  <c r="U131" i="13" s="1"/>
  <c r="V120" i="13"/>
  <c r="V118" i="13"/>
  <c r="U125" i="13"/>
  <c r="U130" i="13" s="1"/>
  <c r="E173" i="23"/>
  <c r="C5" i="27" s="1"/>
  <c r="C13" i="27" s="1"/>
  <c r="E20" i="27" s="1"/>
  <c r="E41" i="27" s="1"/>
  <c r="H173" i="23"/>
  <c r="E83" i="23"/>
  <c r="F173" i="23"/>
  <c r="E134" i="23"/>
  <c r="D133" i="23"/>
  <c r="D134" i="23" l="1"/>
  <c r="F174" i="23"/>
  <c r="D5" i="27"/>
  <c r="D13" i="27" s="1"/>
  <c r="E21" i="27" s="1"/>
  <c r="E42" i="27" s="1"/>
  <c r="E11" i="27"/>
  <c r="C22" i="27" s="1"/>
  <c r="C43" i="27" s="1"/>
  <c r="H174" i="23"/>
  <c r="F5" i="27"/>
  <c r="F13" i="27" s="1"/>
  <c r="E23" i="27" s="1"/>
  <c r="E44" i="27" s="1"/>
  <c r="D11" i="27"/>
  <c r="C21" i="27" s="1"/>
  <c r="C42" i="27" s="1"/>
  <c r="F11" i="27"/>
  <c r="C23" i="27" s="1"/>
  <c r="C44" i="27" s="1"/>
  <c r="D173" i="23"/>
  <c r="AI216" i="13"/>
  <c r="BE216" i="13"/>
  <c r="AS216" i="13"/>
  <c r="AT216" i="13"/>
  <c r="AH216" i="13"/>
  <c r="AH221" i="13" s="1"/>
  <c r="AH222" i="13" s="1"/>
  <c r="BM216" i="13"/>
  <c r="AO216" i="13"/>
  <c r="BB216" i="13"/>
  <c r="BD216" i="13"/>
  <c r="AN216" i="13"/>
  <c r="AY216" i="13"/>
  <c r="BA216" i="13"/>
  <c r="BN216" i="13"/>
  <c r="BP216" i="13"/>
  <c r="AU216" i="13"/>
  <c r="BI216" i="13"/>
  <c r="BJ216" i="13"/>
  <c r="BG216" i="13"/>
  <c r="BK216" i="13"/>
  <c r="BO216" i="13"/>
  <c r="AW216" i="13"/>
  <c r="AX216" i="13"/>
  <c r="BL216" i="13"/>
  <c r="AV216" i="13"/>
  <c r="AM216" i="13"/>
  <c r="AK216" i="13"/>
  <c r="AP216" i="13"/>
  <c r="AZ216" i="13"/>
  <c r="AJ216" i="13"/>
  <c r="BR216" i="13"/>
  <c r="AQ216" i="13"/>
  <c r="BH216" i="13"/>
  <c r="AR216" i="13"/>
  <c r="BC216" i="13"/>
  <c r="BF216" i="13"/>
  <c r="AL216" i="13"/>
  <c r="BQ216" i="13"/>
  <c r="BS216" i="13"/>
  <c r="BT216" i="13"/>
  <c r="BU216" i="13"/>
  <c r="BV216" i="13"/>
  <c r="BW216" i="13"/>
  <c r="BX216" i="13"/>
  <c r="BY216" i="13"/>
  <c r="BZ216" i="13"/>
  <c r="CB216" i="13"/>
  <c r="CA216" i="13"/>
  <c r="W118" i="13"/>
  <c r="V125" i="13"/>
  <c r="V130" i="13" s="1"/>
  <c r="W122" i="13"/>
  <c r="V127" i="13"/>
  <c r="V132" i="13" s="1"/>
  <c r="W120" i="13"/>
  <c r="V126" i="13"/>
  <c r="V131" i="13" s="1"/>
  <c r="E174" i="23"/>
  <c r="D174" i="23" l="1"/>
  <c r="AR217" i="13"/>
  <c r="AJ217" i="13"/>
  <c r="AT217" i="13"/>
  <c r="BN217" i="13"/>
  <c r="BD217" i="13"/>
  <c r="BE217" i="13"/>
  <c r="BG217" i="13"/>
  <c r="BP217" i="13"/>
  <c r="BM217" i="13"/>
  <c r="BC217" i="13"/>
  <c r="AZ217" i="13"/>
  <c r="AP217" i="13"/>
  <c r="BJ217" i="13"/>
  <c r="BO217" i="13"/>
  <c r="AV217" i="13"/>
  <c r="BF217" i="13"/>
  <c r="BB217" i="13"/>
  <c r="AQ217" i="13"/>
  <c r="AO217" i="13"/>
  <c r="BR217" i="13"/>
  <c r="BI217" i="13"/>
  <c r="AK217" i="13"/>
  <c r="AX217" i="13"/>
  <c r="AI217" i="13"/>
  <c r="AI221" i="13" s="1"/>
  <c r="AI222" i="13" s="1"/>
  <c r="BQ217" i="13"/>
  <c r="AW217" i="13"/>
  <c r="BK217" i="13"/>
  <c r="AU217" i="13"/>
  <c r="AL217" i="13"/>
  <c r="BA217" i="13"/>
  <c r="AM217" i="13"/>
  <c r="AS217" i="13"/>
  <c r="BL217" i="13"/>
  <c r="AN217" i="13"/>
  <c r="BH217" i="13"/>
  <c r="AY217" i="13"/>
  <c r="BS217" i="13"/>
  <c r="BT217" i="13"/>
  <c r="BU217" i="13"/>
  <c r="BV217" i="13"/>
  <c r="BW217" i="13"/>
  <c r="BX217" i="13"/>
  <c r="BY217" i="13"/>
  <c r="BZ217" i="13"/>
  <c r="CB217" i="13"/>
  <c r="CA217" i="13"/>
  <c r="X122" i="13"/>
  <c r="W127" i="13"/>
  <c r="W132" i="13" s="1"/>
  <c r="X120" i="13"/>
  <c r="W126" i="13"/>
  <c r="W131" i="13" s="1"/>
  <c r="X118" i="13"/>
  <c r="W125" i="13"/>
  <c r="W130" i="13" s="1"/>
  <c r="X126" i="13" l="1"/>
  <c r="X131" i="13" s="1"/>
  <c r="Y120" i="13"/>
  <c r="X125" i="13"/>
  <c r="X130" i="13" s="1"/>
  <c r="Y118" i="13"/>
  <c r="Y122" i="13"/>
  <c r="X127" i="13"/>
  <c r="X132" i="13" s="1"/>
  <c r="AJ218" i="13"/>
  <c r="AJ221" i="13" s="1"/>
  <c r="AJ222" i="13" s="1"/>
  <c r="BE218" i="13"/>
  <c r="BQ218" i="13"/>
  <c r="BN218" i="13"/>
  <c r="BS218" i="13"/>
  <c r="AP218" i="13"/>
  <c r="AM218" i="13"/>
  <c r="BJ218" i="13"/>
  <c r="BO218" i="13"/>
  <c r="AR218" i="13"/>
  <c r="AT218" i="13"/>
  <c r="BL218" i="13"/>
  <c r="AL218" i="13"/>
  <c r="BG218" i="13"/>
  <c r="AN218" i="13"/>
  <c r="BM218" i="13"/>
  <c r="AK218" i="13"/>
  <c r="AY218" i="13"/>
  <c r="BF218" i="13"/>
  <c r="BH218" i="13"/>
  <c r="AV218" i="13"/>
  <c r="BP218" i="13"/>
  <c r="BD218" i="13"/>
  <c r="AW218" i="13"/>
  <c r="AS218" i="13"/>
  <c r="BB218" i="13"/>
  <c r="BC218" i="13"/>
  <c r="BK218" i="13"/>
  <c r="AU218" i="13"/>
  <c r="BA218" i="13"/>
  <c r="AQ218" i="13"/>
  <c r="BI218" i="13"/>
  <c r="BR218" i="13"/>
  <c r="AX218" i="13"/>
  <c r="AZ218" i="13"/>
  <c r="AO218" i="13"/>
  <c r="BT218" i="13"/>
  <c r="BU218" i="13"/>
  <c r="BV218" i="13"/>
  <c r="BW218" i="13"/>
  <c r="BX218" i="13"/>
  <c r="BY218" i="13"/>
  <c r="BZ218" i="13"/>
  <c r="CB218" i="13"/>
  <c r="CA218" i="13"/>
  <c r="Y125" i="13" l="1"/>
  <c r="Y130" i="13" s="1"/>
  <c r="Z118" i="13"/>
  <c r="BQ219" i="13"/>
  <c r="BP219" i="13"/>
  <c r="AO219" i="13"/>
  <c r="BT219" i="13"/>
  <c r="AR219" i="13"/>
  <c r="AW219" i="13"/>
  <c r="AP219" i="13"/>
  <c r="BC219" i="13"/>
  <c r="AS219" i="13"/>
  <c r="BA219" i="13"/>
  <c r="BR219" i="13"/>
  <c r="BG219" i="13"/>
  <c r="AT219" i="13"/>
  <c r="AQ219" i="13"/>
  <c r="BE219" i="13"/>
  <c r="AZ219" i="13"/>
  <c r="BI219" i="13"/>
  <c r="BM219" i="13"/>
  <c r="BK219" i="13"/>
  <c r="AM219" i="13"/>
  <c r="BD219" i="13"/>
  <c r="AX219" i="13"/>
  <c r="BS219" i="13"/>
  <c r="BN219" i="13"/>
  <c r="AK219" i="13"/>
  <c r="AK221" i="13" s="1"/>
  <c r="AK222" i="13" s="1"/>
  <c r="BO219" i="13"/>
  <c r="BL219" i="13"/>
  <c r="BU219" i="13"/>
  <c r="AV219" i="13"/>
  <c r="BF219" i="13"/>
  <c r="AN219" i="13"/>
  <c r="AL219" i="13"/>
  <c r="BH219" i="13"/>
  <c r="BB219" i="13"/>
  <c r="AU219" i="13"/>
  <c r="AY219" i="13"/>
  <c r="BJ219" i="13"/>
  <c r="BV219" i="13"/>
  <c r="BW219" i="13"/>
  <c r="BX219" i="13"/>
  <c r="BY219" i="13"/>
  <c r="BZ219" i="13"/>
  <c r="CB219" i="13"/>
  <c r="CA219" i="13"/>
  <c r="Z120" i="13"/>
  <c r="Y126" i="13"/>
  <c r="Y131" i="13" s="1"/>
  <c r="Y127" i="13"/>
  <c r="Y132" i="13" s="1"/>
  <c r="Z122" i="13"/>
  <c r="AA120" i="13" l="1"/>
  <c r="Z126" i="13"/>
  <c r="Z131" i="13" s="1"/>
  <c r="Z125" i="13"/>
  <c r="Z130" i="13" s="1"/>
  <c r="AA118" i="13"/>
  <c r="Z127" i="13"/>
  <c r="Z132" i="13" s="1"/>
  <c r="AA122" i="13"/>
  <c r="AV220" i="13"/>
  <c r="AV221" i="13" s="1"/>
  <c r="AV222" i="13" s="1"/>
  <c r="AS220" i="13"/>
  <c r="AS221" i="13" s="1"/>
  <c r="AS222" i="13" s="1"/>
  <c r="BI220" i="13"/>
  <c r="BI221" i="13" s="1"/>
  <c r="BI222" i="13" s="1"/>
  <c r="BF220" i="13"/>
  <c r="BF221" i="13" s="1"/>
  <c r="BF222" i="13" s="1"/>
  <c r="AM220" i="13"/>
  <c r="AM221" i="13" s="1"/>
  <c r="AM222" i="13" s="1"/>
  <c r="BU220" i="13"/>
  <c r="BU221" i="13" s="1"/>
  <c r="BU222" i="13" s="1"/>
  <c r="AY220" i="13"/>
  <c r="AY221" i="13" s="1"/>
  <c r="AY222" i="13" s="1"/>
  <c r="AR220" i="13"/>
  <c r="AR221" i="13" s="1"/>
  <c r="AR222" i="13" s="1"/>
  <c r="BJ220" i="13"/>
  <c r="BJ221" i="13" s="1"/>
  <c r="BJ222" i="13" s="1"/>
  <c r="BQ220" i="13"/>
  <c r="BQ221" i="13" s="1"/>
  <c r="BQ222" i="13" s="1"/>
  <c r="BD220" i="13"/>
  <c r="BD221" i="13" s="1"/>
  <c r="BD222" i="13" s="1"/>
  <c r="BV220" i="13"/>
  <c r="BV221" i="13" s="1"/>
  <c r="BV222" i="13" s="1"/>
  <c r="AT220" i="13"/>
  <c r="AT221" i="13" s="1"/>
  <c r="AT222" i="13" s="1"/>
  <c r="BR220" i="13"/>
  <c r="BR221" i="13" s="1"/>
  <c r="BR222" i="13" s="1"/>
  <c r="BO220" i="13"/>
  <c r="BO221" i="13" s="1"/>
  <c r="BO222" i="13" s="1"/>
  <c r="BG220" i="13"/>
  <c r="BG221" i="13" s="1"/>
  <c r="BG222" i="13" s="1"/>
  <c r="AW220" i="13"/>
  <c r="AW221" i="13" s="1"/>
  <c r="AW222" i="13" s="1"/>
  <c r="AO220" i="13"/>
  <c r="AO221" i="13" s="1"/>
  <c r="AO222" i="13" s="1"/>
  <c r="BB220" i="13"/>
  <c r="BB221" i="13" s="1"/>
  <c r="BB222" i="13" s="1"/>
  <c r="BT220" i="13"/>
  <c r="BT221" i="13" s="1"/>
  <c r="BT222" i="13" s="1"/>
  <c r="BM220" i="13"/>
  <c r="BM221" i="13" s="1"/>
  <c r="BM222" i="13" s="1"/>
  <c r="BK220" i="13"/>
  <c r="BK221" i="13" s="1"/>
  <c r="BK222" i="13" s="1"/>
  <c r="BN220" i="13"/>
  <c r="BN221" i="13" s="1"/>
  <c r="BN222" i="13" s="1"/>
  <c r="AL220" i="13"/>
  <c r="AL221" i="13" s="1"/>
  <c r="AL222" i="13" s="1"/>
  <c r="BS220" i="13"/>
  <c r="BS221" i="13" s="1"/>
  <c r="BS222" i="13" s="1"/>
  <c r="BA220" i="13"/>
  <c r="BA221" i="13" s="1"/>
  <c r="BA222" i="13" s="1"/>
  <c r="AQ220" i="13"/>
  <c r="AQ221" i="13" s="1"/>
  <c r="AQ222" i="13" s="1"/>
  <c r="AU220" i="13"/>
  <c r="AU221" i="13" s="1"/>
  <c r="AU222" i="13" s="1"/>
  <c r="BC220" i="13"/>
  <c r="BC221" i="13" s="1"/>
  <c r="BC222" i="13" s="1"/>
  <c r="AP220" i="13"/>
  <c r="AP221" i="13" s="1"/>
  <c r="AP222" i="13" s="1"/>
  <c r="AN220" i="13"/>
  <c r="AN221" i="13" s="1"/>
  <c r="AN222" i="13" s="1"/>
  <c r="AX220" i="13"/>
  <c r="AX221" i="13" s="1"/>
  <c r="AX222" i="13" s="1"/>
  <c r="AZ220" i="13"/>
  <c r="AZ221" i="13" s="1"/>
  <c r="AZ222" i="13" s="1"/>
  <c r="BL220" i="13"/>
  <c r="BL221" i="13" s="1"/>
  <c r="BL222" i="13" s="1"/>
  <c r="BP220" i="13"/>
  <c r="BP221" i="13" s="1"/>
  <c r="BP222" i="13" s="1"/>
  <c r="BE220" i="13"/>
  <c r="BE221" i="13" s="1"/>
  <c r="BE222" i="13" s="1"/>
  <c r="BH220" i="13"/>
  <c r="BH221" i="13" s="1"/>
  <c r="BH222" i="13" s="1"/>
  <c r="BW220" i="13"/>
  <c r="BW221" i="13" s="1"/>
  <c r="BW222" i="13" s="1"/>
  <c r="BX220" i="13"/>
  <c r="BX221" i="13" s="1"/>
  <c r="BX222" i="13" s="1"/>
  <c r="BY220" i="13"/>
  <c r="BY221" i="13" s="1"/>
  <c r="BY222" i="13" s="1"/>
  <c r="BZ220" i="13"/>
  <c r="BZ221" i="13" s="1"/>
  <c r="BZ222" i="13" s="1"/>
  <c r="CA220" i="13"/>
  <c r="CA221" i="13" s="1"/>
  <c r="CA222" i="13" s="1"/>
  <c r="CB220" i="13"/>
  <c r="CB221" i="13" s="1"/>
  <c r="CB222" i="13" s="1"/>
  <c r="AA125" i="13" l="1"/>
  <c r="AA130" i="13" s="1"/>
  <c r="AB118" i="13"/>
  <c r="AB122" i="13"/>
  <c r="AA127" i="13"/>
  <c r="AA132" i="13" s="1"/>
  <c r="Y223" i="13"/>
  <c r="AB120" i="13"/>
  <c r="AA126" i="13"/>
  <c r="AA131" i="13" s="1"/>
  <c r="AB127" i="13" l="1"/>
  <c r="AB132" i="13" s="1"/>
  <c r="AC122" i="13"/>
  <c r="AB126" i="13"/>
  <c r="AB131" i="13" s="1"/>
  <c r="AC120" i="13"/>
  <c r="AC118" i="13"/>
  <c r="AB125" i="13"/>
  <c r="AB130" i="13" s="1"/>
  <c r="X17" i="17"/>
  <c r="X54" i="17"/>
  <c r="C54" i="17" s="1"/>
  <c r="C17" i="17" l="1"/>
  <c r="E72" i="23" s="1"/>
  <c r="W71" i="15"/>
  <c r="W70" i="15" s="1"/>
  <c r="X70" i="15" s="1"/>
  <c r="C79" i="15" s="1"/>
  <c r="X14" i="17"/>
  <c r="AC127" i="13"/>
  <c r="AC132" i="13" s="1"/>
  <c r="AD122" i="13"/>
  <c r="AC126" i="13"/>
  <c r="AC131" i="13" s="1"/>
  <c r="AD120" i="13"/>
  <c r="AD118" i="13"/>
  <c r="AC125" i="13"/>
  <c r="AC130" i="13" s="1"/>
  <c r="AE118" i="13" l="1"/>
  <c r="AD125" i="13"/>
  <c r="AD130" i="13" s="1"/>
  <c r="AE120" i="13"/>
  <c r="AD126" i="13"/>
  <c r="AD131" i="13" s="1"/>
  <c r="C14" i="17"/>
  <c r="X10" i="17"/>
  <c r="Y7" i="34" s="1"/>
  <c r="AD127" i="13"/>
  <c r="AD132" i="13" s="1"/>
  <c r="AE122" i="13"/>
  <c r="E123" i="23"/>
  <c r="C6" i="27" s="1"/>
  <c r="C14" i="27" s="1"/>
  <c r="F20" i="27" s="1"/>
  <c r="D32" i="27" s="1"/>
  <c r="F123" i="23"/>
  <c r="H123" i="23"/>
  <c r="E85" i="23"/>
  <c r="G123" i="23"/>
  <c r="Y11" i="34" l="1"/>
  <c r="D7" i="34"/>
  <c r="D24" i="33" s="1"/>
  <c r="G124" i="23"/>
  <c r="G215" i="23" s="1"/>
  <c r="E6" i="27"/>
  <c r="E14" i="27" s="1"/>
  <c r="F22" i="27" s="1"/>
  <c r="D34" i="27" s="1"/>
  <c r="H124" i="23"/>
  <c r="H215" i="23" s="1"/>
  <c r="F6" i="27"/>
  <c r="F14" i="27" s="1"/>
  <c r="F23" i="27" s="1"/>
  <c r="D35" i="27" s="1"/>
  <c r="F124" i="23"/>
  <c r="I215" i="23" s="1"/>
  <c r="D6" i="27"/>
  <c r="D14" i="27" s="1"/>
  <c r="F21" i="27" s="1"/>
  <c r="D33" i="27" s="1"/>
  <c r="AF122" i="13"/>
  <c r="AE127" i="13"/>
  <c r="AE132" i="13" s="1"/>
  <c r="AE126" i="13"/>
  <c r="AE131" i="13" s="1"/>
  <c r="AF120" i="13"/>
  <c r="X12" i="17"/>
  <c r="C10" i="17"/>
  <c r="Y7" i="15"/>
  <c r="D7" i="15" s="1"/>
  <c r="E124" i="23"/>
  <c r="E215" i="23" s="1"/>
  <c r="D123" i="23"/>
  <c r="AE125" i="13"/>
  <c r="AE130" i="13" s="1"/>
  <c r="AF118" i="13"/>
  <c r="D11" i="34" l="1"/>
  <c r="I2" i="34"/>
  <c r="D17" i="33" s="1"/>
  <c r="F215" i="23"/>
  <c r="AG120" i="13"/>
  <c r="AF126" i="13"/>
  <c r="AF131" i="13" s="1"/>
  <c r="AF125" i="13"/>
  <c r="AF130" i="13" s="1"/>
  <c r="AG118" i="13"/>
  <c r="Y11" i="15"/>
  <c r="C35" i="17"/>
  <c r="C37" i="17"/>
  <c r="C39" i="17"/>
  <c r="C38" i="17"/>
  <c r="C36" i="17"/>
  <c r="AF127" i="13"/>
  <c r="AF132" i="13" s="1"/>
  <c r="AG122" i="13"/>
  <c r="C40" i="17" l="1"/>
  <c r="AH118" i="13"/>
  <c r="AG125" i="13"/>
  <c r="AG130" i="13" s="1"/>
  <c r="D12" i="26"/>
  <c r="C7" i="15"/>
  <c r="AG127" i="13"/>
  <c r="AG132" i="13" s="1"/>
  <c r="AH122" i="13"/>
  <c r="D11" i="15"/>
  <c r="I2" i="15"/>
  <c r="D11" i="26" s="1"/>
  <c r="AH120" i="13"/>
  <c r="AG126" i="13"/>
  <c r="AG131" i="13" s="1"/>
  <c r="D31" i="26" l="1"/>
  <c r="E183" i="23"/>
  <c r="AH127" i="13"/>
  <c r="AH132" i="13" s="1"/>
  <c r="AI122" i="13"/>
  <c r="AH126" i="13"/>
  <c r="AH131" i="13" s="1"/>
  <c r="AI120" i="13"/>
  <c r="AI118" i="13"/>
  <c r="AH125" i="13"/>
  <c r="AH130" i="13" s="1"/>
  <c r="E184" i="23" l="1"/>
  <c r="C7" i="27"/>
  <c r="C15" i="27" s="1"/>
  <c r="B26" i="27" s="1"/>
  <c r="AJ122" i="13"/>
  <c r="AI127" i="13"/>
  <c r="AI132" i="13" s="1"/>
  <c r="AJ118" i="13"/>
  <c r="AI125" i="13"/>
  <c r="AI130" i="13" s="1"/>
  <c r="AJ120" i="13"/>
  <c r="AI126" i="13"/>
  <c r="AI131" i="13" s="1"/>
  <c r="AJ125" i="13" l="1"/>
  <c r="AJ130" i="13" s="1"/>
  <c r="AK118" i="13"/>
  <c r="AK120" i="13"/>
  <c r="AJ126" i="13"/>
  <c r="AJ131" i="13" s="1"/>
  <c r="AK122" i="13"/>
  <c r="AJ127" i="13"/>
  <c r="AJ132" i="13" s="1"/>
  <c r="AL120" i="13" l="1"/>
  <c r="AK126" i="13"/>
  <c r="AK131" i="13" s="1"/>
  <c r="AL118" i="13"/>
  <c r="AK125" i="13"/>
  <c r="AK130" i="13" s="1"/>
  <c r="AL122" i="13"/>
  <c r="AK127" i="13"/>
  <c r="AK132" i="13" s="1"/>
  <c r="AL125" i="13" l="1"/>
  <c r="AL130" i="13" s="1"/>
  <c r="AM118" i="13"/>
  <c r="AL127" i="13"/>
  <c r="AL132" i="13" s="1"/>
  <c r="AM122" i="13"/>
  <c r="AL126" i="13"/>
  <c r="AL131" i="13" s="1"/>
  <c r="AM120" i="13"/>
  <c r="AM127" i="13" l="1"/>
  <c r="AM132" i="13" s="1"/>
  <c r="AN122" i="13"/>
  <c r="AM126" i="13"/>
  <c r="AM131" i="13" s="1"/>
  <c r="AN120" i="13"/>
  <c r="AN118" i="13"/>
  <c r="AM125" i="13"/>
  <c r="AM130" i="13" s="1"/>
  <c r="AO120" i="13" l="1"/>
  <c r="AN126" i="13"/>
  <c r="AN131" i="13" s="1"/>
  <c r="AN127" i="13"/>
  <c r="AN132" i="13" s="1"/>
  <c r="AO122" i="13"/>
  <c r="AO118" i="13"/>
  <c r="AN125" i="13"/>
  <c r="AN130" i="13" s="1"/>
  <c r="AP122" i="13" l="1"/>
  <c r="AO127" i="13"/>
  <c r="AO132" i="13" s="1"/>
  <c r="AO125" i="13"/>
  <c r="AO130" i="13" s="1"/>
  <c r="AP118" i="13"/>
  <c r="AO126" i="13"/>
  <c r="AO131" i="13" s="1"/>
  <c r="AP120" i="13"/>
  <c r="AQ118" i="13" l="1"/>
  <c r="AP125" i="13"/>
  <c r="AP130" i="13" s="1"/>
  <c r="AP126" i="13"/>
  <c r="AP131" i="13" s="1"/>
  <c r="AQ120" i="13"/>
  <c r="AQ122" i="13"/>
  <c r="AP127" i="13"/>
  <c r="AP132" i="13" s="1"/>
  <c r="AR120" i="13" l="1"/>
  <c r="AQ126" i="13"/>
  <c r="AQ131" i="13" s="1"/>
  <c r="AR122" i="13"/>
  <c r="AQ127" i="13"/>
  <c r="AQ132" i="13" s="1"/>
  <c r="AR118" i="13"/>
  <c r="AQ125" i="13"/>
  <c r="AQ130" i="13" s="1"/>
  <c r="AS122" i="13" l="1"/>
  <c r="AR127" i="13"/>
  <c r="AR132" i="13" s="1"/>
  <c r="AS118" i="13"/>
  <c r="AR125" i="13"/>
  <c r="AR130" i="13" s="1"/>
  <c r="AS120" i="13"/>
  <c r="AR126" i="13"/>
  <c r="AR131" i="13" s="1"/>
  <c r="AS125" i="13" l="1"/>
  <c r="AS130" i="13" s="1"/>
  <c r="AT118" i="13"/>
  <c r="AT120" i="13"/>
  <c r="AS126" i="13"/>
  <c r="AS131" i="13" s="1"/>
  <c r="AS127" i="13"/>
  <c r="AS132" i="13" s="1"/>
  <c r="AT122" i="13"/>
  <c r="AT126" i="13" l="1"/>
  <c r="AT131" i="13" s="1"/>
  <c r="AU120" i="13"/>
  <c r="AT127" i="13"/>
  <c r="AT132" i="13" s="1"/>
  <c r="AU122" i="13"/>
  <c r="AU118" i="13"/>
  <c r="AT125" i="13"/>
  <c r="AT130" i="13" s="1"/>
  <c r="AV122" i="13" l="1"/>
  <c r="AU127" i="13"/>
  <c r="AU132" i="13" s="1"/>
  <c r="AV120" i="13"/>
  <c r="AU126" i="13"/>
  <c r="AU131" i="13" s="1"/>
  <c r="AU125" i="13"/>
  <c r="AU130" i="13" s="1"/>
  <c r="AV118" i="13"/>
  <c r="AV126" i="13" l="1"/>
  <c r="AV131" i="13" s="1"/>
  <c r="AW120" i="13"/>
  <c r="AV125" i="13"/>
  <c r="AV130" i="13" s="1"/>
  <c r="AW118" i="13"/>
  <c r="AW122" i="13"/>
  <c r="AV127" i="13"/>
  <c r="AV132" i="13" s="1"/>
  <c r="AW125" i="13" l="1"/>
  <c r="AW130" i="13" s="1"/>
  <c r="AX118" i="13"/>
  <c r="AW126" i="13"/>
  <c r="AW131" i="13" s="1"/>
  <c r="AX120" i="13"/>
  <c r="AW127" i="13"/>
  <c r="AW132" i="13" s="1"/>
  <c r="AX122" i="13"/>
  <c r="AY120" i="13" l="1"/>
  <c r="AX126" i="13"/>
  <c r="AX131" i="13" s="1"/>
  <c r="AY122" i="13"/>
  <c r="AX127" i="13"/>
  <c r="AX132" i="13" s="1"/>
  <c r="AX125" i="13"/>
  <c r="AX130" i="13" s="1"/>
  <c r="AY118" i="13"/>
  <c r="AY127" i="13" l="1"/>
  <c r="AY132" i="13" s="1"/>
  <c r="AZ122" i="13"/>
  <c r="AZ118" i="13"/>
  <c r="AY125" i="13"/>
  <c r="AY130" i="13" s="1"/>
  <c r="AZ120" i="13"/>
  <c r="AY126" i="13"/>
  <c r="AY131" i="13" s="1"/>
  <c r="AZ125" i="13" l="1"/>
  <c r="AZ130" i="13" s="1"/>
  <c r="BA118" i="13"/>
  <c r="BA122" i="13"/>
  <c r="AZ127" i="13"/>
  <c r="AZ132" i="13" s="1"/>
  <c r="AZ126" i="13"/>
  <c r="AZ131" i="13" s="1"/>
  <c r="BA120" i="13"/>
  <c r="BB122" i="13" l="1"/>
  <c r="BA127" i="13"/>
  <c r="BA132" i="13" s="1"/>
  <c r="BB120" i="13"/>
  <c r="BA126" i="13"/>
  <c r="BA131" i="13" s="1"/>
  <c r="BB118" i="13"/>
  <c r="BA125" i="13"/>
  <c r="BA130" i="13" s="1"/>
  <c r="BC120" i="13" l="1"/>
  <c r="BB126" i="13"/>
  <c r="BB131" i="13" s="1"/>
  <c r="BC118" i="13"/>
  <c r="BB125" i="13"/>
  <c r="BB130" i="13" s="1"/>
  <c r="BC122" i="13"/>
  <c r="BB127" i="13"/>
  <c r="BB132" i="13" s="1"/>
  <c r="BD118" i="13" l="1"/>
  <c r="BC125" i="13"/>
  <c r="BC130" i="13" s="1"/>
  <c r="BD122" i="13"/>
  <c r="BC127" i="13"/>
  <c r="BC132" i="13" s="1"/>
  <c r="BC126" i="13"/>
  <c r="BC131" i="13" s="1"/>
  <c r="BD120" i="13"/>
  <c r="BE122" i="13" l="1"/>
  <c r="BD127" i="13"/>
  <c r="BD132" i="13" s="1"/>
  <c r="BE120" i="13"/>
  <c r="BD126" i="13"/>
  <c r="BD131" i="13" s="1"/>
  <c r="BD125" i="13"/>
  <c r="BD130" i="13" s="1"/>
  <c r="BE118" i="13"/>
  <c r="BF120" i="13" l="1"/>
  <c r="BE126" i="13"/>
  <c r="BE131" i="13" s="1"/>
  <c r="BF118" i="13"/>
  <c r="BE125" i="13"/>
  <c r="BE130" i="13" s="1"/>
  <c r="BF122" i="13"/>
  <c r="BE127" i="13"/>
  <c r="BE132" i="13" s="1"/>
  <c r="BF125" i="13" l="1"/>
  <c r="BF130" i="13" s="1"/>
  <c r="BG118" i="13"/>
  <c r="BG122" i="13"/>
  <c r="BF127" i="13"/>
  <c r="BF132" i="13" s="1"/>
  <c r="BG120" i="13"/>
  <c r="BF126" i="13"/>
  <c r="BF131" i="13" s="1"/>
  <c r="BH122" i="13" l="1"/>
  <c r="BG127" i="13"/>
  <c r="BG132" i="13" s="1"/>
  <c r="BH118" i="13"/>
  <c r="BG125" i="13"/>
  <c r="BG130" i="13" s="1"/>
  <c r="BG126" i="13"/>
  <c r="BG131" i="13" s="1"/>
  <c r="BH120" i="13"/>
  <c r="BH125" i="13" l="1"/>
  <c r="BH130" i="13" s="1"/>
  <c r="BI118" i="13"/>
  <c r="BH126" i="13"/>
  <c r="BH131" i="13" s="1"/>
  <c r="BI120" i="13"/>
  <c r="BI122" i="13"/>
  <c r="BH127" i="13"/>
  <c r="BH132" i="13" s="1"/>
  <c r="BI126" i="13" l="1"/>
  <c r="BI131" i="13" s="1"/>
  <c r="BJ120" i="13"/>
  <c r="BI125" i="13"/>
  <c r="BI130" i="13" s="1"/>
  <c r="BJ118" i="13"/>
  <c r="BI127" i="13"/>
  <c r="BI132" i="13" s="1"/>
  <c r="BJ122" i="13"/>
  <c r="H78" i="23"/>
  <c r="H113" i="23"/>
  <c r="G113" i="23"/>
  <c r="G114" i="23" l="1"/>
  <c r="G213" i="23" s="1"/>
  <c r="E2" i="27"/>
  <c r="E10" i="27" s="1"/>
  <c r="B22" i="27" s="1"/>
  <c r="B34" i="27" s="1"/>
  <c r="H114" i="23"/>
  <c r="H213" i="23" s="1"/>
  <c r="F2" i="27"/>
  <c r="F10" i="27" s="1"/>
  <c r="B23" i="27" s="1"/>
  <c r="B35" i="27" s="1"/>
  <c r="BJ127" i="13"/>
  <c r="BJ132" i="13" s="1"/>
  <c r="BK122" i="13"/>
  <c r="BK120" i="13"/>
  <c r="BJ126" i="13"/>
  <c r="BJ131" i="13" s="1"/>
  <c r="BK118" i="13"/>
  <c r="BJ125" i="13"/>
  <c r="BJ130" i="13" s="1"/>
  <c r="E114" i="23"/>
  <c r="D113" i="23"/>
  <c r="E213" i="23" l="1"/>
  <c r="F115" i="23"/>
  <c r="F213" i="23" s="1"/>
  <c r="BL120" i="13"/>
  <c r="BK126" i="13"/>
  <c r="BK131" i="13" s="1"/>
  <c r="BK127" i="13"/>
  <c r="BK132" i="13" s="1"/>
  <c r="BL122" i="13"/>
  <c r="BK125" i="13"/>
  <c r="BK130" i="13" s="1"/>
  <c r="BL118" i="13"/>
  <c r="E80" i="23"/>
  <c r="F143" i="23"/>
  <c r="G153" i="23"/>
  <c r="G154" i="23" s="1"/>
  <c r="G214" i="23" s="1"/>
  <c r="H143" i="23"/>
  <c r="E143" i="23"/>
  <c r="C4" i="27" s="1"/>
  <c r="E153" i="23"/>
  <c r="E154" i="23" s="1"/>
  <c r="E214" i="23" s="1"/>
  <c r="H153" i="23"/>
  <c r="H154" i="23" s="1"/>
  <c r="H214" i="23" s="1"/>
  <c r="F153" i="23"/>
  <c r="F154" i="23" s="1"/>
  <c r="I214" i="23" s="1"/>
  <c r="G143" i="23"/>
  <c r="F144" i="23" l="1"/>
  <c r="D4" i="27"/>
  <c r="G144" i="23"/>
  <c r="E4" i="27"/>
  <c r="C12" i="27"/>
  <c r="D20" i="27" s="1"/>
  <c r="D41" i="27" s="1"/>
  <c r="C16" i="27"/>
  <c r="C32" i="27" s="1"/>
  <c r="F214" i="23"/>
  <c r="H144" i="23"/>
  <c r="F4" i="27"/>
  <c r="BL127" i="13"/>
  <c r="BL132" i="13" s="1"/>
  <c r="BM122" i="13"/>
  <c r="BL125" i="13"/>
  <c r="BL130" i="13" s="1"/>
  <c r="BM118" i="13"/>
  <c r="BL126" i="13"/>
  <c r="BL131" i="13" s="1"/>
  <c r="BM120" i="13"/>
  <c r="E144" i="23"/>
  <c r="D143" i="23"/>
  <c r="D153" i="23" s="1"/>
  <c r="D144" i="23" l="1"/>
  <c r="D154" i="23" s="1"/>
  <c r="F12" i="27"/>
  <c r="D23" i="27" s="1"/>
  <c r="D44" i="27" s="1"/>
  <c r="F16" i="27"/>
  <c r="C35" i="27" s="1"/>
  <c r="E12" i="27"/>
  <c r="D22" i="27" s="1"/>
  <c r="D43" i="27" s="1"/>
  <c r="E16" i="27"/>
  <c r="C34" i="27" s="1"/>
  <c r="D12" i="27"/>
  <c r="D21" i="27" s="1"/>
  <c r="D42" i="27" s="1"/>
  <c r="D16" i="27"/>
  <c r="C33" i="27" s="1"/>
  <c r="BM126" i="13"/>
  <c r="BM131" i="13" s="1"/>
  <c r="BN120" i="13"/>
  <c r="BN122" i="13"/>
  <c r="BM127" i="13"/>
  <c r="BM132" i="13" s="1"/>
  <c r="BM125" i="13"/>
  <c r="BM130" i="13" s="1"/>
  <c r="BN118" i="13"/>
  <c r="G183" i="23"/>
  <c r="E7" i="27" s="1"/>
  <c r="E15" i="27" s="1"/>
  <c r="B28" i="27" s="1"/>
  <c r="H183" i="23"/>
  <c r="F7" i="27" s="1"/>
  <c r="F15" i="27" s="1"/>
  <c r="B29" i="27" s="1"/>
  <c r="F183" i="23"/>
  <c r="D7" i="27" s="1"/>
  <c r="D15" i="27" s="1"/>
  <c r="B27" i="27" s="1"/>
  <c r="BN127" i="13" l="1"/>
  <c r="BN132" i="13" s="1"/>
  <c r="BO122" i="13"/>
  <c r="BO118" i="13"/>
  <c r="BN125" i="13"/>
  <c r="BN130" i="13" s="1"/>
  <c r="BO120" i="13"/>
  <c r="BN126" i="13"/>
  <c r="BN131" i="13" s="1"/>
  <c r="F184" i="23"/>
  <c r="H184" i="23"/>
  <c r="I26" i="26" s="1"/>
  <c r="I27" i="26" s="1"/>
  <c r="G184" i="23"/>
  <c r="H26" i="26" s="1"/>
  <c r="H27" i="26" s="1"/>
  <c r="D183" i="23"/>
  <c r="F31" i="26" s="1"/>
  <c r="F26" i="26"/>
  <c r="F27" i="26" s="1"/>
  <c r="BO127" i="13" l="1"/>
  <c r="BO132" i="13" s="1"/>
  <c r="BP122" i="13"/>
  <c r="BO125" i="13"/>
  <c r="BO130" i="13" s="1"/>
  <c r="BP118" i="13"/>
  <c r="BO126" i="13"/>
  <c r="BO131" i="13" s="1"/>
  <c r="BP120" i="13"/>
  <c r="H31" i="26"/>
  <c r="M31" i="26" s="1"/>
  <c r="I31" i="26"/>
  <c r="N31" i="26" s="1"/>
  <c r="G31" i="26"/>
  <c r="L31" i="26" s="1"/>
  <c r="G26" i="26"/>
  <c r="G27" i="26" s="1"/>
  <c r="D27" i="26" s="1"/>
  <c r="D184" i="23"/>
  <c r="BP125" i="13" l="1"/>
  <c r="BP130" i="13" s="1"/>
  <c r="BQ118" i="13"/>
  <c r="BP126" i="13"/>
  <c r="BP131" i="13" s="1"/>
  <c r="BQ120" i="13"/>
  <c r="BQ122" i="13"/>
  <c r="BP127" i="13"/>
  <c r="BP132" i="13" s="1"/>
  <c r="D26" i="26"/>
  <c r="BR120" i="13" l="1"/>
  <c r="BQ126" i="13"/>
  <c r="BQ131" i="13" s="1"/>
  <c r="BQ125" i="13"/>
  <c r="BQ130" i="13" s="1"/>
  <c r="BR118" i="13"/>
  <c r="BR122" i="13"/>
  <c r="BQ127" i="13"/>
  <c r="BQ132" i="13" s="1"/>
  <c r="BR125" i="13" l="1"/>
  <c r="BR130" i="13" s="1"/>
  <c r="BS118" i="13"/>
  <c r="BS122" i="13"/>
  <c r="BR127" i="13"/>
  <c r="BR132" i="13" s="1"/>
  <c r="BR126" i="13"/>
  <c r="BR131" i="13" s="1"/>
  <c r="BS120" i="13"/>
  <c r="BS127" i="13" l="1"/>
  <c r="BS132" i="13" s="1"/>
  <c r="BT122" i="13"/>
  <c r="BT120" i="13"/>
  <c r="BS126" i="13"/>
  <c r="BS131" i="13" s="1"/>
  <c r="BS125" i="13"/>
  <c r="BS130" i="13" s="1"/>
  <c r="BT118" i="13"/>
  <c r="BU120" i="13" l="1"/>
  <c r="BT126" i="13"/>
  <c r="BT131" i="13" s="1"/>
  <c r="BT125" i="13"/>
  <c r="BT130" i="13" s="1"/>
  <c r="BU118" i="13"/>
  <c r="BT127" i="13"/>
  <c r="BT132" i="13" s="1"/>
  <c r="BU122" i="13"/>
  <c r="BU125" i="13" l="1"/>
  <c r="BU130" i="13" s="1"/>
  <c r="BV118" i="13"/>
  <c r="BV122" i="13"/>
  <c r="BU127" i="13"/>
  <c r="BU132" i="13" s="1"/>
  <c r="BV120" i="13"/>
  <c r="BU126" i="13"/>
  <c r="BU131" i="13" s="1"/>
  <c r="BW118" i="13" l="1"/>
  <c r="BV125" i="13"/>
  <c r="BV130" i="13" s="1"/>
  <c r="BW122" i="13"/>
  <c r="BV127" i="13"/>
  <c r="BV132" i="13" s="1"/>
  <c r="BW120" i="13"/>
  <c r="BV126" i="13"/>
  <c r="BV131" i="13" s="1"/>
  <c r="BX122" i="13" l="1"/>
  <c r="BW127" i="13"/>
  <c r="BW132" i="13" s="1"/>
  <c r="BW126" i="13"/>
  <c r="BW131" i="13" s="1"/>
  <c r="BX120" i="13"/>
  <c r="BW125" i="13"/>
  <c r="BW130" i="13" s="1"/>
  <c r="BX118" i="13"/>
  <c r="BY120" i="13" l="1"/>
  <c r="BX126" i="13"/>
  <c r="BX131" i="13" s="1"/>
  <c r="BX125" i="13"/>
  <c r="BX130" i="13" s="1"/>
  <c r="BY118" i="13"/>
  <c r="BY122" i="13"/>
  <c r="BX127" i="13"/>
  <c r="BX132" i="13" s="1"/>
  <c r="BZ118" i="13" l="1"/>
  <c r="BY125" i="13"/>
  <c r="BY130" i="13" s="1"/>
  <c r="BY127" i="13"/>
  <c r="BY132" i="13" s="1"/>
  <c r="BZ122" i="13"/>
  <c r="BZ120" i="13"/>
  <c r="BY126" i="13"/>
  <c r="BY131" i="13" s="1"/>
  <c r="CA122" i="13" l="1"/>
  <c r="BZ127" i="13"/>
  <c r="BZ132" i="13" s="1"/>
  <c r="CA120" i="13"/>
  <c r="BZ126" i="13"/>
  <c r="BZ131" i="13" s="1"/>
  <c r="BZ125" i="13"/>
  <c r="BZ130" i="13" s="1"/>
  <c r="CA118" i="13"/>
  <c r="CB120" i="13" l="1"/>
  <c r="CB126" i="13" s="1"/>
  <c r="CB131" i="13" s="1"/>
  <c r="CA126" i="13"/>
  <c r="CA131" i="13" s="1"/>
  <c r="CB118" i="13"/>
  <c r="CB125" i="13" s="1"/>
  <c r="CB130" i="13" s="1"/>
  <c r="CA125" i="13"/>
  <c r="CA130" i="13" s="1"/>
  <c r="CA127" i="13"/>
  <c r="CA132" i="13" s="1"/>
  <c r="CB122" i="13"/>
  <c r="CB127" i="13" s="1"/>
  <c r="CB132" i="13" s="1"/>
</calcChain>
</file>

<file path=xl/comments1.xml><?xml version="1.0" encoding="utf-8"?>
<comments xmlns="http://schemas.openxmlformats.org/spreadsheetml/2006/main">
  <authors>
    <author>andersonsc</author>
  </authors>
  <commentList>
    <comment ref="G18" authorId="0" shapeId="0">
      <text>
        <r>
          <rPr>
            <b/>
            <sz val="8"/>
            <color indexed="81"/>
            <rFont val="Tahoma"/>
            <family val="2"/>
          </rPr>
          <t>MCC:</t>
        </r>
        <r>
          <rPr>
            <sz val="8"/>
            <color indexed="81"/>
            <rFont val="Tahoma"/>
            <family val="2"/>
          </rPr>
          <t xml:space="preserve">
"1" = $12.6m (smaller option)
"0" = $15.6m (larger, former option)</t>
        </r>
      </text>
    </comment>
  </commentList>
</comments>
</file>

<file path=xl/comments2.xml><?xml version="1.0" encoding="utf-8"?>
<comments xmlns="http://schemas.openxmlformats.org/spreadsheetml/2006/main">
  <authors>
    <author>Osborne, Stefan R (DPE/EE-EA)</author>
  </authors>
  <commentList>
    <comment ref="H158" authorId="0" shapeId="0">
      <text>
        <r>
          <rPr>
            <b/>
            <sz val="9"/>
            <color indexed="81"/>
            <rFont val="Tahoma"/>
            <family val="2"/>
          </rPr>
          <t>MCC:</t>
        </r>
        <r>
          <rPr>
            <sz val="9"/>
            <color indexed="81"/>
            <rFont val="Tahoma"/>
            <family val="2"/>
          </rPr>
          <t xml:space="preserve">
='bodreferencedisability weights'!O59</t>
        </r>
      </text>
    </comment>
    <comment ref="P158" authorId="0" shapeId="0">
      <text>
        <r>
          <rPr>
            <b/>
            <sz val="9"/>
            <color indexed="81"/>
            <rFont val="Tahoma"/>
            <family val="2"/>
          </rPr>
          <t>MCC:</t>
        </r>
        <r>
          <rPr>
            <sz val="9"/>
            <color indexed="81"/>
            <rFont val="Tahoma"/>
            <family val="2"/>
          </rPr>
          <t xml:space="preserve">
='bodreferencedisability weights'!O159</t>
        </r>
      </text>
    </comment>
    <comment ref="X158" authorId="0" shapeId="0">
      <text>
        <r>
          <rPr>
            <b/>
            <sz val="9"/>
            <color indexed="81"/>
            <rFont val="Tahoma"/>
            <family val="2"/>
          </rPr>
          <t>MCC:</t>
        </r>
        <r>
          <rPr>
            <sz val="9"/>
            <color indexed="81"/>
            <rFont val="Tahoma"/>
            <family val="2"/>
          </rPr>
          <t xml:space="preserve">
='bodreferencedisability weights'!O111</t>
        </r>
      </text>
    </comment>
    <comment ref="H160" authorId="0" shapeId="0">
      <text>
        <r>
          <rPr>
            <b/>
            <sz val="9"/>
            <color indexed="81"/>
            <rFont val="Tahoma"/>
            <family val="2"/>
          </rPr>
          <t>MCC:</t>
        </r>
        <r>
          <rPr>
            <sz val="9"/>
            <color indexed="81"/>
            <rFont val="Tahoma"/>
            <family val="2"/>
          </rPr>
          <t xml:space="preserve">
='bodreferencedisability weights'!P59</t>
        </r>
      </text>
    </comment>
    <comment ref="P160" authorId="0" shapeId="0">
      <text>
        <r>
          <rPr>
            <b/>
            <sz val="9"/>
            <color indexed="81"/>
            <rFont val="Tahoma"/>
            <family val="2"/>
          </rPr>
          <t>MCC:</t>
        </r>
        <r>
          <rPr>
            <sz val="9"/>
            <color indexed="81"/>
            <rFont val="Tahoma"/>
            <family val="2"/>
          </rPr>
          <t xml:space="preserve">
='bodreferencedisability weights'!P159</t>
        </r>
      </text>
    </comment>
    <comment ref="H162" authorId="0" shapeId="0">
      <text>
        <r>
          <rPr>
            <b/>
            <sz val="9"/>
            <color indexed="81"/>
            <rFont val="Tahoma"/>
            <family val="2"/>
          </rPr>
          <t>MCC:</t>
        </r>
        <r>
          <rPr>
            <sz val="9"/>
            <color indexed="81"/>
            <rFont val="Tahoma"/>
            <family val="2"/>
          </rPr>
          <t xml:space="preserve">
='bodreferencedisability weights'!Q59</t>
        </r>
      </text>
    </comment>
    <comment ref="P162" authorId="0" shapeId="0">
      <text>
        <r>
          <rPr>
            <b/>
            <sz val="9"/>
            <color indexed="81"/>
            <rFont val="Tahoma"/>
            <family val="2"/>
          </rPr>
          <t>MCC:</t>
        </r>
        <r>
          <rPr>
            <sz val="9"/>
            <color indexed="81"/>
            <rFont val="Tahoma"/>
            <family val="2"/>
          </rPr>
          <t xml:space="preserve">
='bodreferencedisability weights'!Q159</t>
        </r>
      </text>
    </comment>
    <comment ref="X162" authorId="0" shapeId="0">
      <text>
        <r>
          <rPr>
            <b/>
            <sz val="9"/>
            <color indexed="81"/>
            <rFont val="Tahoma"/>
            <family val="2"/>
          </rPr>
          <t>MCC:</t>
        </r>
        <r>
          <rPr>
            <sz val="9"/>
            <color indexed="81"/>
            <rFont val="Tahoma"/>
            <family val="2"/>
          </rPr>
          <t xml:space="preserve">
='bodreferencedisability weights'!Q111</t>
        </r>
      </text>
    </comment>
    <comment ref="H171" authorId="0" shapeId="0">
      <text>
        <r>
          <rPr>
            <b/>
            <sz val="9"/>
            <color indexed="81"/>
            <rFont val="Tahoma"/>
            <family val="2"/>
          </rPr>
          <t>MCC
:</t>
        </r>
        <r>
          <rPr>
            <sz val="9"/>
            <color indexed="81"/>
            <rFont val="Tahoma"/>
            <family val="2"/>
          </rPr>
          <t xml:space="preserve">
='bodreferencedisability weights'!S59</t>
        </r>
      </text>
    </comment>
    <comment ref="P171" authorId="0" shapeId="0">
      <text>
        <r>
          <rPr>
            <b/>
            <sz val="9"/>
            <color indexed="81"/>
            <rFont val="Tahoma"/>
            <family val="2"/>
          </rPr>
          <t>MCC:</t>
        </r>
        <r>
          <rPr>
            <sz val="9"/>
            <color indexed="81"/>
            <rFont val="Tahoma"/>
            <family val="2"/>
          </rPr>
          <t xml:space="preserve">
='bodreferencedisability weights'!S159</t>
        </r>
      </text>
    </comment>
    <comment ref="P204" authorId="0" shapeId="0">
      <text>
        <r>
          <rPr>
            <b/>
            <sz val="9"/>
            <color indexed="81"/>
            <rFont val="Tahoma"/>
            <family val="2"/>
          </rPr>
          <t>MCC:</t>
        </r>
        <r>
          <rPr>
            <sz val="9"/>
            <color indexed="81"/>
            <rFont val="Tahoma"/>
            <family val="2"/>
          </rPr>
          <t xml:space="preserve">
='bodreferencedisability weights'!O99</t>
        </r>
      </text>
    </comment>
    <comment ref="X204" authorId="0" shapeId="0">
      <text>
        <r>
          <rPr>
            <b/>
            <sz val="9"/>
            <color indexed="81"/>
            <rFont val="Tahoma"/>
            <family val="2"/>
          </rPr>
          <t>MCC:</t>
        </r>
        <r>
          <rPr>
            <sz val="9"/>
            <color indexed="81"/>
            <rFont val="Tahoma"/>
            <family val="2"/>
          </rPr>
          <t xml:space="preserve">
='bodreferencedisability weights'!O123</t>
        </r>
      </text>
    </comment>
    <comment ref="P206" authorId="0" shapeId="0">
      <text>
        <r>
          <rPr>
            <b/>
            <sz val="9"/>
            <color indexed="81"/>
            <rFont val="Tahoma"/>
            <family val="2"/>
          </rPr>
          <t>MCC:</t>
        </r>
        <r>
          <rPr>
            <sz val="9"/>
            <color indexed="81"/>
            <rFont val="Tahoma"/>
            <family val="2"/>
          </rPr>
          <t xml:space="preserve">
='bodreferencedisability weights'!P99</t>
        </r>
      </text>
    </comment>
    <comment ref="X206" authorId="0" shapeId="0">
      <text>
        <r>
          <rPr>
            <b/>
            <sz val="9"/>
            <color indexed="81"/>
            <rFont val="Tahoma"/>
            <family val="2"/>
          </rPr>
          <t>MCC:</t>
        </r>
        <r>
          <rPr>
            <sz val="9"/>
            <color indexed="81"/>
            <rFont val="Tahoma"/>
            <family val="2"/>
          </rPr>
          <t xml:space="preserve">
='bodreferencedisability weights'!P123</t>
        </r>
      </text>
    </comment>
    <comment ref="P208" authorId="0" shapeId="0">
      <text>
        <r>
          <rPr>
            <b/>
            <sz val="9"/>
            <color indexed="81"/>
            <rFont val="Tahoma"/>
            <family val="2"/>
          </rPr>
          <t>Osborne, Stefan R (DPE/EE-EA):</t>
        </r>
        <r>
          <rPr>
            <sz val="9"/>
            <color indexed="81"/>
            <rFont val="Tahoma"/>
            <family val="2"/>
          </rPr>
          <t xml:space="preserve">
='bodreferencedisability weights'!Q99</t>
        </r>
      </text>
    </comment>
    <comment ref="X208" authorId="0" shapeId="0">
      <text>
        <r>
          <rPr>
            <b/>
            <sz val="9"/>
            <color indexed="81"/>
            <rFont val="Tahoma"/>
            <family val="2"/>
          </rPr>
          <t>MCC:</t>
        </r>
        <r>
          <rPr>
            <sz val="9"/>
            <color indexed="81"/>
            <rFont val="Tahoma"/>
            <family val="2"/>
          </rPr>
          <t xml:space="preserve">
='bodreferencedisability weights'!Q123</t>
        </r>
      </text>
    </comment>
    <comment ref="P214" authorId="0" shapeId="0">
      <text>
        <r>
          <rPr>
            <b/>
            <sz val="9"/>
            <color indexed="81"/>
            <rFont val="Tahoma"/>
            <family val="2"/>
          </rPr>
          <t>MCC:</t>
        </r>
        <r>
          <rPr>
            <sz val="9"/>
            <color indexed="81"/>
            <rFont val="Tahoma"/>
            <family val="2"/>
          </rPr>
          <t xml:space="preserve">
='bodreferencedisability weights'!R99</t>
        </r>
      </text>
    </comment>
    <comment ref="X214" authorId="0" shapeId="0">
      <text>
        <r>
          <rPr>
            <b/>
            <sz val="9"/>
            <color indexed="81"/>
            <rFont val="Tahoma"/>
            <family val="2"/>
          </rPr>
          <t>MCC:</t>
        </r>
        <r>
          <rPr>
            <sz val="9"/>
            <color indexed="81"/>
            <rFont val="Tahoma"/>
            <family val="2"/>
          </rPr>
          <t xml:space="preserve">
='bodreferencedisability weights'!R123</t>
        </r>
      </text>
    </comment>
    <comment ref="X217" authorId="0" shapeId="0">
      <text>
        <r>
          <rPr>
            <b/>
            <sz val="9"/>
            <color indexed="81"/>
            <rFont val="Tahoma"/>
            <family val="2"/>
          </rPr>
          <t>MCC:</t>
        </r>
        <r>
          <rPr>
            <sz val="9"/>
            <color indexed="81"/>
            <rFont val="Tahoma"/>
            <family val="2"/>
          </rPr>
          <t xml:space="preserve">
='bodreferencedisability weights'!S123</t>
        </r>
      </text>
    </comment>
    <comment ref="P218" authorId="0" shapeId="0">
      <text>
        <r>
          <rPr>
            <b/>
            <sz val="9"/>
            <color indexed="81"/>
            <rFont val="Tahoma"/>
            <family val="2"/>
          </rPr>
          <t>MCC:</t>
        </r>
        <r>
          <rPr>
            <sz val="9"/>
            <color indexed="81"/>
            <rFont val="Tahoma"/>
            <family val="2"/>
          </rPr>
          <t xml:space="preserve">
='bodreferencedisability weights'!S99</t>
        </r>
      </text>
    </comment>
  </commentList>
</comments>
</file>

<file path=xl/comments3.xml><?xml version="1.0" encoding="utf-8"?>
<comments xmlns="http://schemas.openxmlformats.org/spreadsheetml/2006/main">
  <authors>
    <author>andersonsc</author>
  </authors>
  <commentList>
    <comment ref="M43" authorId="0" shapeId="0">
      <text>
        <r>
          <rPr>
            <b/>
            <sz val="8"/>
            <color indexed="81"/>
            <rFont val="Tahoma"/>
            <family val="2"/>
          </rPr>
          <t>MCC:</t>
        </r>
        <r>
          <rPr>
            <sz val="8"/>
            <color indexed="81"/>
            <rFont val="Tahoma"/>
            <family val="2"/>
          </rPr>
          <t xml:space="preserve">
Assumed from this point forward to equal 2000-09 average.</t>
        </r>
      </text>
    </comment>
    <comment ref="P43" authorId="0" shapeId="0">
      <text>
        <r>
          <rPr>
            <b/>
            <sz val="8"/>
            <color indexed="81"/>
            <rFont val="Tahoma"/>
            <family val="2"/>
          </rPr>
          <t>MCC:</t>
        </r>
        <r>
          <rPr>
            <sz val="8"/>
            <color indexed="81"/>
            <rFont val="Tahoma"/>
            <family val="2"/>
          </rPr>
          <t xml:space="preserve">
IMF.Article IV Consultation.Jan 2010.pdf, 23</t>
        </r>
      </text>
    </comment>
    <comment ref="P44" authorId="0" shapeId="0">
      <text>
        <r>
          <rPr>
            <b/>
            <sz val="8"/>
            <color indexed="81"/>
            <rFont val="Tahoma"/>
            <family val="2"/>
          </rPr>
          <t>MCC:</t>
        </r>
        <r>
          <rPr>
            <sz val="8"/>
            <color indexed="81"/>
            <rFont val="Tahoma"/>
            <family val="2"/>
          </rPr>
          <t xml:space="preserve">
IMF.Article IV Consultation.Jan 2010.pdf, 23</t>
        </r>
      </text>
    </comment>
    <comment ref="P45" authorId="0" shapeId="0">
      <text>
        <r>
          <rPr>
            <b/>
            <sz val="8"/>
            <color indexed="81"/>
            <rFont val="Tahoma"/>
            <family val="2"/>
          </rPr>
          <t>MCC:</t>
        </r>
        <r>
          <rPr>
            <sz val="8"/>
            <color indexed="81"/>
            <rFont val="Tahoma"/>
            <family val="2"/>
          </rPr>
          <t xml:space="preserve">
IMF.Article IV Consultation.Jan 2010.pdf, 23</t>
        </r>
      </text>
    </comment>
  </commentList>
</comments>
</file>

<file path=xl/comments4.xml><?xml version="1.0" encoding="utf-8"?>
<comments xmlns="http://schemas.openxmlformats.org/spreadsheetml/2006/main">
  <authors>
    <author>andersonsc</author>
  </authors>
  <commentList>
    <comment ref="F25" authorId="0" shapeId="0">
      <text>
        <r>
          <rPr>
            <sz val="8"/>
            <color indexed="81"/>
            <rFont val="Tahoma"/>
            <family val="2"/>
          </rPr>
          <t xml:space="preserve">
Take note of comment below for Kabwata wrt these less severe floods</t>
        </r>
      </text>
    </comment>
    <comment ref="J25" authorId="0" shapeId="0">
      <text>
        <r>
          <rPr>
            <sz val="8"/>
            <color indexed="81"/>
            <rFont val="Tahoma"/>
            <family val="2"/>
          </rPr>
          <t xml:space="preserve">
CH2MHILL (2011c:59) - "The Bombay covers the central commercial district, and an improvement of the primary outfalls will prevent future flooding in the downtown area.  Improving the flow capacity of the Bombay drain will also directly reduce flooding in some of the Priority areas, including Kamwala South, Mandevu, Garden West, and Chilulu, especially for the 20-year or 50-year events."</t>
        </r>
      </text>
    </comment>
    <comment ref="F26" authorId="0" shapeId="0">
      <text>
        <r>
          <rPr>
            <sz val="8"/>
            <color indexed="81"/>
            <rFont val="Tahoma"/>
            <family val="2"/>
          </rPr>
          <t xml:space="preserve">
MCC estimate</t>
        </r>
      </text>
    </comment>
    <comment ref="M27" authorId="0" shapeId="0">
      <text>
        <r>
          <rPr>
            <sz val="8"/>
            <color indexed="81"/>
            <rFont val="Tahoma"/>
            <family val="2"/>
          </rPr>
          <t xml:space="preserve">
Gauff Ingenieure (2011c): "Should flooding occur, it tends to be widespread and usually starts in late January or early February and can go on into May on occasions."</t>
        </r>
      </text>
    </comment>
    <comment ref="F40" authorId="0" shapeId="0">
      <text>
        <r>
          <rPr>
            <sz val="8"/>
            <color indexed="81"/>
            <rFont val="Tahoma"/>
            <family val="2"/>
          </rPr>
          <t xml:space="preserve">
That is, impact on Impact variable.</t>
        </r>
      </text>
    </comment>
    <comment ref="B56" authorId="0" shapeId="0">
      <text>
        <r>
          <rPr>
            <sz val="8"/>
            <color indexed="81"/>
            <rFont val="Tahoma"/>
            <family val="2"/>
          </rPr>
          <t xml:space="preserve">
Generally, </t>
        </r>
        <r>
          <rPr>
            <b/>
            <sz val="8"/>
            <color indexed="81"/>
            <rFont val="Tahoma"/>
            <family val="2"/>
          </rPr>
          <t>project priority areas</t>
        </r>
        <r>
          <rPr>
            <sz val="8"/>
            <color indexed="81"/>
            <rFont val="Tahoma"/>
            <family val="2"/>
          </rPr>
          <t xml:space="preserve"> are a subset of the areas included in the </t>
        </r>
        <r>
          <rPr>
            <b/>
            <sz val="8"/>
            <color indexed="81"/>
            <rFont val="Tahoma"/>
            <family val="2"/>
          </rPr>
          <t>catchment areas</t>
        </r>
        <r>
          <rPr>
            <sz val="8"/>
            <color indexed="81"/>
            <rFont val="Tahoma"/>
            <family val="2"/>
          </rPr>
          <t xml:space="preserve"> comprising the DMAs above</t>
        </r>
      </text>
    </comment>
    <comment ref="O58" authorId="0" shapeId="0">
      <text>
        <r>
          <rPr>
            <sz val="8"/>
            <color indexed="81"/>
            <rFont val="Tahoma"/>
            <family val="2"/>
          </rPr>
          <t xml:space="preserve">
Bombay southern extension.
Gauff Ingenieure (2011c), Annex III: Report on Flooding, p. 6: 
"In south and south-western Lusaka where karstic Dolomitic Limestone occurs, and as noted in the Drainage Priority Investment Program, flooding is not necessarily associated with the peak day rainfall of the season but is more likely to occur in the latter part of the season following moderate to heavy rainfall. Hence, flooding is seasonally dependent and in years with low annual rainfall, flooding either does not occur or is very limited in both extent and duration."
Suggests that there's no project impact for these beneficiaries under &lt; 5y flood.
This observation is consistent with expected annual impact on property damage in Kabwata = 0.</t>
        </r>
      </text>
    </comment>
    <comment ref="B59" authorId="0" shapeId="0">
      <text>
        <r>
          <rPr>
            <sz val="8"/>
            <color indexed="81"/>
            <rFont val="Tahoma"/>
            <family val="2"/>
          </rPr>
          <t xml:space="preserve">
Gauff Ingenieure (2011c:2-54 - 2-54)</t>
        </r>
      </text>
    </comment>
    <comment ref="O59" authorId="0" shapeId="0">
      <text>
        <r>
          <rPr>
            <sz val="8"/>
            <color indexed="81"/>
            <rFont val="Tahoma"/>
            <family val="2"/>
          </rPr>
          <t xml:space="preserve">
7,500,000: Email of 9 Dec. 2011 10h00 from Steffen Maul/Gauff to Gail Chambers as area of Kabwata.
Factor of 2/3: Because not all of Kabwata may be "flood area." </t>
        </r>
      </text>
    </comment>
    <comment ref="B61" authorId="0" shapeId="0">
      <text>
        <r>
          <rPr>
            <sz val="8"/>
            <color indexed="81"/>
            <rFont val="Tahoma"/>
            <family val="2"/>
          </rPr>
          <t xml:space="preserve">
Estimates from maps in Gauff Ingenieure (2011d) and CH2MHILL (2011c:4) (Priority Drainage Areas in Lusaka)</t>
        </r>
      </text>
    </comment>
    <comment ref="M88" authorId="0" shapeId="0">
      <text>
        <r>
          <rPr>
            <sz val="8"/>
            <color indexed="81"/>
            <rFont val="Tahoma"/>
            <family val="2"/>
          </rPr>
          <t xml:space="preserve">
2011 US$, Compact term</t>
        </r>
      </text>
    </comment>
    <comment ref="B95" authorId="0" shapeId="0">
      <text>
        <r>
          <rPr>
            <sz val="8"/>
            <color indexed="81"/>
            <rFont val="Tahoma"/>
            <family val="2"/>
          </rPr>
          <t xml:space="preserve">
Data are from 2009-10 rainy season - assume a 20y flood</t>
        </r>
      </text>
    </comment>
    <comment ref="O95" authorId="0" shapeId="0">
      <text>
        <r>
          <rPr>
            <sz val="8"/>
            <color indexed="81"/>
            <rFont val="Tahoma"/>
            <family val="2"/>
          </rPr>
          <t xml:space="preserve">
Bombay southern extension.
Gauff Ingenieure (2011c), Annex III: Report on Flooding, p. 6: 
"In south and south-western Lusaka where karstic Dolomitic Limestone occurs, and as noted in the Drainage Priority Investment Program, flooding is not necessarily associated with the peak day rainfall of the season but is more likely to occur in the latter part of the season following moderate to heavy rainfall. Hence, flooding is seasonally dependent and in years with low annual rainfall, flooding either does not occur or is very limited in both extent and duration."
Suggests that there's no project impact for these beneficiaries under &lt; 5y flood.
This observation is consistent with expected annual impact on property damage in Kabwata = 0.</t>
        </r>
      </text>
    </comment>
    <comment ref="B96" authorId="0" shapeId="0">
      <text>
        <r>
          <rPr>
            <sz val="8"/>
            <color indexed="81"/>
            <rFont val="Tahoma"/>
            <family val="2"/>
          </rPr>
          <t xml:space="preserve">
Based on constituent DMAs and estimated fractions of priority area covered by each DMA, above</t>
        </r>
      </text>
    </comment>
    <comment ref="G98" authorId="0" shapeId="0">
      <text>
        <r>
          <rPr>
            <b/>
            <sz val="8"/>
            <color indexed="81"/>
            <rFont val="Tahoma"/>
            <family val="2"/>
          </rPr>
          <t>andersonsc:</t>
        </r>
        <r>
          <rPr>
            <sz val="8"/>
            <color indexed="81"/>
            <rFont val="Tahoma"/>
            <family val="2"/>
          </rPr>
          <t xml:space="preserve">
Until more precise information available.</t>
        </r>
      </text>
    </comment>
    <comment ref="H98" authorId="0" shapeId="0">
      <text>
        <r>
          <rPr>
            <b/>
            <sz val="8"/>
            <color indexed="81"/>
            <rFont val="Tahoma"/>
            <family val="2"/>
          </rPr>
          <t>andersonsc:</t>
        </r>
        <r>
          <rPr>
            <sz val="8"/>
            <color indexed="81"/>
            <rFont val="Tahoma"/>
            <family val="2"/>
          </rPr>
          <t xml:space="preserve">
Until more precise information available.</t>
        </r>
      </text>
    </comment>
    <comment ref="B99" authorId="0" shapeId="0">
      <text>
        <r>
          <rPr>
            <sz val="8"/>
            <color indexed="81"/>
            <rFont val="Tahoma"/>
            <family val="2"/>
          </rPr>
          <t xml:space="preserve">
That is, average of "IMPROVE_VALUE" across all properties by use and valuation area</t>
        </r>
      </text>
    </comment>
    <comment ref="B106" authorId="0" shapeId="0">
      <text>
        <r>
          <rPr>
            <sz val="8"/>
            <color indexed="81"/>
            <rFont val="Tahoma"/>
            <family val="2"/>
          </rPr>
          <t xml:space="preserve">
Based on constituent DMAs and estimated fractions of priority area covered by each DMA, above</t>
        </r>
      </text>
    </comment>
    <comment ref="B109" authorId="0" shapeId="0">
      <text>
        <r>
          <rPr>
            <sz val="8"/>
            <color indexed="81"/>
            <rFont val="Tahoma"/>
            <family val="2"/>
          </rPr>
          <t xml:space="preserve">
That is, average of "IMPROVE_VALUE" across all properties by use and valuation area</t>
        </r>
      </text>
    </comment>
    <comment ref="B116" authorId="0" shapeId="0">
      <text>
        <r>
          <rPr>
            <sz val="8"/>
            <color indexed="81"/>
            <rFont val="Tahoma"/>
            <family val="2"/>
          </rPr>
          <t xml:space="preserve">
That is, average of "IMPROVE_VALUE" across all properties by use and valuation area</t>
        </r>
      </text>
    </comment>
    <comment ref="B122" authorId="0" shapeId="0">
      <text>
        <r>
          <rPr>
            <sz val="8"/>
            <color indexed="81"/>
            <rFont val="Tahoma"/>
            <family val="2"/>
          </rPr>
          <t xml:space="preserve">
Conservative assumption. </t>
        </r>
      </text>
    </comment>
    <comment ref="B125" authorId="0" shapeId="0">
      <text>
        <r>
          <rPr>
            <sz val="8"/>
            <color indexed="81"/>
            <rFont val="Tahoma"/>
            <family val="2"/>
          </rPr>
          <t xml:space="preserve">
Zambia Vulnerability Assessment Committee (ZVAC) (2010)</t>
        </r>
      </text>
    </comment>
    <comment ref="E125" authorId="0" shapeId="0">
      <text>
        <r>
          <rPr>
            <b/>
            <sz val="8"/>
            <color indexed="81"/>
            <rFont val="Tahoma"/>
            <family val="2"/>
          </rPr>
          <t>andersonsc:</t>
        </r>
        <r>
          <rPr>
            <sz val="8"/>
            <color indexed="81"/>
            <rFont val="Tahoma"/>
            <family val="2"/>
          </rPr>
          <t xml:space="preserve">
Use Kanyama data</t>
        </r>
      </text>
    </comment>
    <comment ref="K125" authorId="0" shapeId="0">
      <text>
        <r>
          <rPr>
            <sz val="8"/>
            <color indexed="81"/>
            <rFont val="Tahoma"/>
            <family val="2"/>
          </rPr>
          <t xml:space="preserve">
Use Garden West data</t>
        </r>
      </text>
    </comment>
    <comment ref="N125" authorId="0" shapeId="0">
      <text>
        <r>
          <rPr>
            <sz val="8"/>
            <color indexed="81"/>
            <rFont val="Tahoma"/>
            <family val="2"/>
          </rPr>
          <t xml:space="preserve">
Use Garden West data</t>
        </r>
      </text>
    </comment>
    <comment ref="B126" authorId="0" shapeId="0">
      <text>
        <r>
          <rPr>
            <sz val="8"/>
            <color indexed="81"/>
            <rFont val="Tahoma"/>
            <family val="2"/>
          </rPr>
          <t xml:space="preserve">
Zambia Vulnerability Assessment Committee (ZVAC) (2010)</t>
        </r>
      </text>
    </comment>
    <comment ref="E126" authorId="0" shapeId="0">
      <text>
        <r>
          <rPr>
            <b/>
            <sz val="8"/>
            <color indexed="81"/>
            <rFont val="Tahoma"/>
            <family val="2"/>
          </rPr>
          <t>andersonsc:</t>
        </r>
        <r>
          <rPr>
            <sz val="8"/>
            <color indexed="81"/>
            <rFont val="Tahoma"/>
            <family val="2"/>
          </rPr>
          <t xml:space="preserve">
Use Kanyama data</t>
        </r>
      </text>
    </comment>
    <comment ref="K126" authorId="0" shapeId="0">
      <text>
        <r>
          <rPr>
            <sz val="8"/>
            <color indexed="81"/>
            <rFont val="Tahoma"/>
            <family val="2"/>
          </rPr>
          <t xml:space="preserve">
Use Garden West data</t>
        </r>
      </text>
    </comment>
    <comment ref="N126" authorId="0" shapeId="0">
      <text>
        <r>
          <rPr>
            <sz val="8"/>
            <color indexed="81"/>
            <rFont val="Tahoma"/>
            <family val="2"/>
          </rPr>
          <t xml:space="preserve">
Use Garden West data</t>
        </r>
      </text>
    </comment>
    <comment ref="B129" authorId="0" shapeId="0">
      <text>
        <r>
          <rPr>
            <sz val="8"/>
            <color indexed="81"/>
            <rFont val="Tahoma"/>
            <family val="2"/>
          </rPr>
          <t xml:space="preserve">
Zambia Vulnerability Assessment Committee (ZVAC) (2010)</t>
        </r>
      </text>
    </comment>
    <comment ref="E129" authorId="0" shapeId="0">
      <text>
        <r>
          <rPr>
            <b/>
            <sz val="8"/>
            <color indexed="81"/>
            <rFont val="Tahoma"/>
            <family val="2"/>
          </rPr>
          <t>andersonsc:</t>
        </r>
        <r>
          <rPr>
            <sz val="8"/>
            <color indexed="81"/>
            <rFont val="Tahoma"/>
            <family val="2"/>
          </rPr>
          <t xml:space="preserve">
Use Kanyama data</t>
        </r>
      </text>
    </comment>
    <comment ref="K129" authorId="0" shapeId="0">
      <text>
        <r>
          <rPr>
            <sz val="8"/>
            <color indexed="81"/>
            <rFont val="Tahoma"/>
            <family val="2"/>
          </rPr>
          <t xml:space="preserve">
Use Garden West data</t>
        </r>
      </text>
    </comment>
    <comment ref="N129" authorId="0" shapeId="0">
      <text>
        <r>
          <rPr>
            <sz val="8"/>
            <color indexed="81"/>
            <rFont val="Tahoma"/>
            <family val="2"/>
          </rPr>
          <t xml:space="preserve">
Use Garden West data</t>
        </r>
      </text>
    </comment>
    <comment ref="B138" authorId="0" shapeId="0">
      <text>
        <r>
          <rPr>
            <sz val="8"/>
            <color indexed="81"/>
            <rFont val="Tahoma"/>
            <family val="2"/>
          </rPr>
          <t xml:space="preserve">
See Gauff Ingenieure (2011c:2-54), Tab. 2-14 for reasoning.</t>
        </r>
      </text>
    </comment>
    <comment ref="E144" authorId="0" shapeId="0">
      <text>
        <r>
          <rPr>
            <sz val="8"/>
            <color indexed="81"/>
            <rFont val="Tahoma"/>
            <family val="2"/>
          </rPr>
          <t xml:space="preserve">
https://www.cia.gov/library/publications/the-world-factbook/geos/za.html</t>
        </r>
      </text>
    </comment>
    <comment ref="E158" authorId="0" shapeId="0">
      <text>
        <r>
          <rPr>
            <sz val="8"/>
            <color indexed="81"/>
            <rFont val="Tahoma"/>
            <family val="2"/>
          </rPr>
          <t xml:space="preserve">
ILO (2010:120-122), Statistical appendix table SA3.  No data for Zambia, and Africa data is scarce, but decile ratios in this table (D9/D1 and D5/D1) suggest that 7 is a plausible value for this ratio.</t>
        </r>
      </text>
    </comment>
    <comment ref="B162" authorId="0" shapeId="0">
      <text>
        <r>
          <rPr>
            <b/>
            <sz val="8"/>
            <color indexed="81"/>
            <rFont val="Tahoma"/>
            <family val="2"/>
          </rPr>
          <t>andersonsc:</t>
        </r>
        <r>
          <rPr>
            <sz val="8"/>
            <color indexed="81"/>
            <rFont val="Tahoma"/>
            <family val="2"/>
          </rPr>
          <t xml:space="preserve">
For 2008 - latest data available.</t>
        </r>
      </text>
    </comment>
    <comment ref="B171" authorId="0" shapeId="0">
      <text>
        <r>
          <rPr>
            <b/>
            <sz val="8"/>
            <color indexed="81"/>
            <rFont val="Tahoma"/>
            <family val="2"/>
          </rPr>
          <t xml:space="preserve">
</t>
        </r>
        <r>
          <rPr>
            <sz val="8"/>
            <color indexed="81"/>
            <rFont val="Tahoma"/>
            <family val="2"/>
          </rPr>
          <t>Refers to extent of damage noted in Zambia Vulnerability Assessment Committee (ZVAC) (2010).</t>
        </r>
      </text>
    </comment>
    <comment ref="B255" authorId="0" shapeId="0">
      <text>
        <r>
          <rPr>
            <sz val="8"/>
            <color indexed="81"/>
            <rFont val="Tahoma"/>
            <family val="2"/>
          </rPr>
          <t xml:space="preserve">
Gauff Ingenieure (2011c:2-9, Fig. 2-6)</t>
        </r>
      </text>
    </comment>
    <comment ref="C256" authorId="0" shapeId="0">
      <text>
        <r>
          <rPr>
            <sz val="8"/>
            <color indexed="81"/>
            <rFont val="Tahoma"/>
            <family val="2"/>
          </rPr>
          <t xml:space="preserve">
Gauff Ingenieure (2011c:2-9, Fig. 2-6)</t>
        </r>
      </text>
    </comment>
    <comment ref="G256" authorId="0" shapeId="0">
      <text>
        <r>
          <rPr>
            <sz val="8"/>
            <color indexed="81"/>
            <rFont val="Tahoma"/>
            <family val="2"/>
          </rPr>
          <t xml:space="preserve">
Gauff Ingenieure (2011d), Future Water Expansion Projects - Existing and Future Projects</t>
        </r>
      </text>
    </comment>
    <comment ref="C274" authorId="0" shapeId="0">
      <text>
        <r>
          <rPr>
            <sz val="8"/>
            <color indexed="81"/>
            <rFont val="Tahoma"/>
            <family val="2"/>
          </rPr>
          <t xml:space="preserve">
Gauff Ingenieure (2011c:2-9, Fig. 2-6)</t>
        </r>
      </text>
    </comment>
    <comment ref="G274" authorId="0" shapeId="0">
      <text>
        <r>
          <rPr>
            <sz val="8"/>
            <color indexed="81"/>
            <rFont val="Tahoma"/>
            <family val="2"/>
          </rPr>
          <t xml:space="preserve">
Gauff Ingenieure (2011d), Future Water Expansion Projects - Existing and Future Projects</t>
        </r>
      </text>
    </comment>
  </commentList>
</comments>
</file>

<file path=xl/comments5.xml><?xml version="1.0" encoding="utf-8"?>
<comments xmlns="http://schemas.openxmlformats.org/spreadsheetml/2006/main">
  <authors>
    <author>andersonsc</author>
  </authors>
  <commentList>
    <comment ref="B17" authorId="0" shapeId="0">
      <text>
        <r>
          <rPr>
            <sz val="8"/>
            <color indexed="81"/>
            <rFont val="Tahoma"/>
            <family val="2"/>
          </rPr>
          <t xml:space="preserve">
This gives the % of "steady-state" benefits that </t>
        </r>
        <r>
          <rPr>
            <i/>
            <sz val="8"/>
            <color indexed="81"/>
            <rFont val="Tahoma"/>
            <family val="2"/>
          </rPr>
          <t xml:space="preserve">begin to accrue </t>
        </r>
        <r>
          <rPr>
            <sz val="8"/>
            <color indexed="81"/>
            <rFont val="Tahoma"/>
            <family val="2"/>
          </rPr>
          <t>in the given year.</t>
        </r>
      </text>
    </comment>
    <comment ref="B76" authorId="0" shapeId="0">
      <text>
        <r>
          <rPr>
            <sz val="8"/>
            <color indexed="81"/>
            <rFont val="Tahoma"/>
            <family val="2"/>
          </rPr>
          <t xml:space="preserve">
Assume that this is unchanged from WOP to WP, but if pressure, reliability, etc. increase, this may </t>
        </r>
        <r>
          <rPr>
            <i/>
            <sz val="8"/>
            <color indexed="81"/>
            <rFont val="Tahoma"/>
            <family val="2"/>
          </rPr>
          <t>decrease</t>
        </r>
        <r>
          <rPr>
            <sz val="8"/>
            <color indexed="81"/>
            <rFont val="Tahoma"/>
            <family val="2"/>
          </rPr>
          <t xml:space="preserve"> WP.</t>
        </r>
      </text>
    </comment>
    <comment ref="D80" authorId="0" shapeId="0">
      <text>
        <r>
          <rPr>
            <sz val="8"/>
            <color indexed="81"/>
            <rFont val="Tahoma"/>
            <family val="2"/>
          </rPr>
          <t xml:space="preserve">
Assume that low pressure and unreliability creates waiting time compared to well-functioning kiosks (WP) (increment of 10%).</t>
        </r>
      </text>
    </comment>
    <comment ref="D81" authorId="0" shapeId="0">
      <text>
        <r>
          <rPr>
            <sz val="8"/>
            <color indexed="81"/>
            <rFont val="Tahoma"/>
            <family val="2"/>
          </rPr>
          <t xml:space="preserve">
Assume that low pressure and unreliability may create some waiting time even within HHs (assume 10% of kiosk WP waiting time).</t>
        </r>
      </text>
    </comment>
    <comment ref="M175" authorId="0" shapeId="0">
      <text>
        <r>
          <rPr>
            <sz val="8"/>
            <color indexed="81"/>
            <rFont val="Tahoma"/>
            <family val="2"/>
          </rPr>
          <t xml:space="preserve">
Estimated at 25% of incremental consumption by those with new connections.</t>
        </r>
      </text>
    </comment>
    <comment ref="M178" authorId="0" shapeId="0">
      <text>
        <r>
          <rPr>
            <sz val="8"/>
            <color indexed="81"/>
            <rFont val="Tahoma"/>
            <family val="2"/>
          </rPr>
          <t xml:space="preserve">
Assumes 20-liter containers, as given above.</t>
        </r>
      </text>
    </comment>
    <comment ref="B190" authorId="0" shapeId="0">
      <text>
        <r>
          <rPr>
            <sz val="8"/>
            <color indexed="81"/>
            <rFont val="Tahoma"/>
            <family val="2"/>
          </rPr>
          <t xml:space="preserve">
See diagrams above.
Trended over time.</t>
        </r>
      </text>
    </comment>
  </commentList>
</comments>
</file>

<file path=xl/comments6.xml><?xml version="1.0" encoding="utf-8"?>
<comments xmlns="http://schemas.openxmlformats.org/spreadsheetml/2006/main">
  <authors>
    <author>andersonsc</author>
  </authors>
  <commentList>
    <comment ref="B25" authorId="0" shapeId="0">
      <text>
        <r>
          <rPr>
            <sz val="8"/>
            <color indexed="81"/>
            <rFont val="Tahoma"/>
            <family val="2"/>
          </rPr>
          <t xml:space="preserve">
Includes supply subject to theft &amp; nonpayment, unlike line below.</t>
        </r>
      </text>
    </comment>
    <comment ref="B39" authorId="0" shapeId="0">
      <text>
        <r>
          <rPr>
            <sz val="8"/>
            <color indexed="81"/>
            <rFont val="Tahoma"/>
            <family val="2"/>
          </rPr>
          <t xml:space="preserve">
Includes supply subject to theft &amp; nonpayment, unlike line below.</t>
        </r>
      </text>
    </comment>
  </commentList>
</comments>
</file>

<file path=xl/comments7.xml><?xml version="1.0" encoding="utf-8"?>
<comments xmlns="http://schemas.openxmlformats.org/spreadsheetml/2006/main">
  <authors>
    <author>andersonsc</author>
  </authors>
  <commentList>
    <comment ref="AA48" authorId="0" shapeId="0">
      <text>
        <r>
          <rPr>
            <sz val="8"/>
            <color indexed="81"/>
            <rFont val="Tahoma"/>
            <family val="2"/>
          </rPr>
          <t xml:space="preserve">
Assume that the average traveler makes the trip 6 days/week and hence appears in </t>
        </r>
      </text>
    </comment>
    <comment ref="AA49" authorId="0" shapeId="0">
      <text>
        <r>
          <rPr>
            <sz val="8"/>
            <color indexed="81"/>
            <rFont val="Tahoma"/>
            <family val="2"/>
          </rPr>
          <t xml:space="preserve">
For simplcity, assume that these are all </t>
        </r>
        <r>
          <rPr>
            <i/>
            <sz val="8"/>
            <color indexed="81"/>
            <rFont val="Tahoma"/>
            <family val="2"/>
          </rPr>
          <t>non-resident beneficiaries.</t>
        </r>
        <r>
          <rPr>
            <sz val="8"/>
            <color indexed="81"/>
            <rFont val="Tahoma"/>
            <family val="2"/>
          </rPr>
          <t xml:space="preserve"> </t>
        </r>
      </text>
    </comment>
    <comment ref="A66" authorId="0" shapeId="0">
      <text>
        <r>
          <rPr>
            <b/>
            <sz val="8"/>
            <color indexed="81"/>
            <rFont val="Tahoma"/>
            <family val="2"/>
          </rPr>
          <t>andersonsc:</t>
        </r>
        <r>
          <rPr>
            <sz val="8"/>
            <color indexed="81"/>
            <rFont val="Tahoma"/>
            <family val="2"/>
          </rPr>
          <t xml:space="preserve">
That is, fraction of time that would otherwise be lost, but for flood avoidance behavior - alternate routes, alternate times of travel, etc.</t>
        </r>
      </text>
    </comment>
    <comment ref="B67" authorId="0" shapeId="0">
      <text>
        <r>
          <rPr>
            <b/>
            <sz val="8"/>
            <color indexed="81"/>
            <rFont val="Tahoma"/>
            <family val="2"/>
          </rPr>
          <t>andersonsc:</t>
        </r>
        <r>
          <rPr>
            <sz val="8"/>
            <color indexed="81"/>
            <rFont val="Tahoma"/>
            <family val="2"/>
          </rPr>
          <t xml:space="preserve">
Since this is not minimum wage, adjust for probability of finding job, approximated by urban Lusaka unemployment rate (35%)</t>
        </r>
      </text>
    </comment>
    <comment ref="B72" authorId="0" shapeId="0">
      <text>
        <r>
          <rPr>
            <b/>
            <sz val="8"/>
            <color indexed="81"/>
            <rFont val="Tahoma"/>
            <family val="2"/>
          </rPr>
          <t>andersonsc:</t>
        </r>
        <r>
          <rPr>
            <sz val="8"/>
            <color indexed="81"/>
            <rFont val="Tahoma"/>
            <family val="2"/>
          </rPr>
          <t xml:space="preserve">
Estimated from KRI International Corp. (2009:A1-12).  Leave this in 2007 ZMK for conservatism.</t>
        </r>
      </text>
    </comment>
    <comment ref="A111" authorId="0" shapeId="0">
      <text>
        <r>
          <rPr>
            <sz val="8"/>
            <color indexed="81"/>
            <rFont val="Tahoma"/>
            <family val="2"/>
          </rPr>
          <t xml:space="preserve">
I.e., solving above for (P - C)</t>
        </r>
      </text>
    </comment>
  </commentList>
</comments>
</file>

<file path=xl/comments8.xml><?xml version="1.0" encoding="utf-8"?>
<comments xmlns="http://schemas.openxmlformats.org/spreadsheetml/2006/main">
  <authors>
    <author>Matthew R Hummer</author>
    <author>andersonsc</author>
  </authors>
  <commentList>
    <comment ref="U9" authorId="0" shapeId="0">
      <text>
        <r>
          <rPr>
            <b/>
            <sz val="8"/>
            <color indexed="81"/>
            <rFont val="Tahoma"/>
            <family val="2"/>
          </rPr>
          <t>Matthew R Hummer:</t>
        </r>
        <r>
          <rPr>
            <sz val="8"/>
            <color indexed="81"/>
            <rFont val="Tahoma"/>
            <family val="2"/>
          </rPr>
          <t xml:space="preserve">
Rosen and Vincent, p. 21, Table 6.</t>
        </r>
      </text>
    </comment>
    <comment ref="CA9" authorId="0" shapeId="0">
      <text>
        <r>
          <rPr>
            <b/>
            <sz val="8"/>
            <color indexed="81"/>
            <rFont val="Tahoma"/>
            <family val="2"/>
          </rPr>
          <t>Matthew R Hummer:</t>
        </r>
        <r>
          <rPr>
            <sz val="8"/>
            <color indexed="81"/>
            <rFont val="Tahoma"/>
            <family val="2"/>
          </rPr>
          <t xml:space="preserve">
Rosen and Vincent, p. 33, Table 9.</t>
        </r>
      </text>
    </comment>
    <comment ref="X36" authorId="1" shapeId="0">
      <text>
        <r>
          <rPr>
            <sz val="8"/>
            <color indexed="81"/>
            <rFont val="Tahoma"/>
            <family val="2"/>
          </rPr>
          <t xml:space="preserve">
For different types of interventions (3ie 2009:27).</t>
        </r>
      </text>
    </comment>
    <comment ref="Z36" authorId="1" shapeId="0">
      <text>
        <r>
          <rPr>
            <b/>
            <sz val="8"/>
            <color indexed="81"/>
            <rFont val="Tahoma"/>
            <family val="2"/>
          </rPr>
          <t xml:space="preserve">
</t>
        </r>
        <r>
          <rPr>
            <sz val="8"/>
            <color indexed="81"/>
            <rFont val="Tahoma"/>
            <family val="2"/>
          </rPr>
          <t xml:space="preserve">
Ratio of childhood diarrhea morbidity in the treatment group to that in the control group</t>
        </r>
      </text>
    </comment>
    <comment ref="AA36" authorId="1" shapeId="0">
      <text>
        <r>
          <rPr>
            <sz val="8"/>
            <color indexed="81"/>
            <rFont val="Tahoma"/>
            <family val="2"/>
          </rPr>
          <t xml:space="preserve">
Attributable % reduction in childhood diarrhea morbidity due to the intervention.</t>
        </r>
      </text>
    </comment>
    <comment ref="P37" authorId="1" shapeId="0">
      <text>
        <r>
          <rPr>
            <sz val="8"/>
            <color indexed="81"/>
            <rFont val="Tahoma"/>
            <family val="2"/>
          </rPr>
          <t xml:space="preserve">
Through 2009: Computed from Zambia WDI 2011.xlsx (col at left)
2010-2012 (forecasts): IMF.Article IV Consultation.Jan 2010.pdf, p. 23 (Tab. 1).
2013-2031: Assumed equal to 2012 forecast.</t>
        </r>
      </text>
    </comment>
    <comment ref="R37" authorId="1" shapeId="0">
      <text>
        <r>
          <rPr>
            <sz val="8"/>
            <color indexed="81"/>
            <rFont val="Tahoma"/>
            <family val="2"/>
          </rPr>
          <t xml:space="preserve">
2005 = 100</t>
        </r>
      </text>
    </comment>
    <comment ref="E43" authorId="1" shapeId="0">
      <text>
        <r>
          <rPr>
            <sz val="8"/>
            <color indexed="81"/>
            <rFont val="Tahoma"/>
            <family val="2"/>
          </rPr>
          <t xml:space="preserve">
http://www.xe.com, 11/01/11</t>
        </r>
      </text>
    </comment>
    <comment ref="AA44" authorId="1" shapeId="0">
      <text>
        <r>
          <rPr>
            <sz val="9"/>
            <color indexed="81"/>
            <rFont val="Tahoma"/>
            <family val="2"/>
          </rPr>
          <t xml:space="preserve">
Includes cholera, salmonellosis, shigellosis, amoebiasis, other bacterial, protozoal and viral intestinal diseases.</t>
        </r>
      </text>
    </comment>
    <comment ref="D45" authorId="1" shapeId="0">
      <text>
        <r>
          <rPr>
            <sz val="8"/>
            <color indexed="81"/>
            <rFont val="Tahoma"/>
            <family val="2"/>
          </rPr>
          <t xml:space="preserve">
https://www.cia.gov/library/publications/the-world-factbook/geos/za.html</t>
        </r>
      </text>
    </comment>
    <comment ref="AA45" authorId="1" shapeId="0">
      <text>
        <r>
          <rPr>
            <sz val="9"/>
            <color indexed="81"/>
            <rFont val="Tahoma"/>
            <family val="2"/>
          </rPr>
          <t xml:space="preserve">
Includes Schistosomiasis, Ascariasis, Trichuriasis, Hookworm</t>
        </r>
      </text>
    </comment>
    <comment ref="Q48" authorId="1" shapeId="0">
      <text>
        <r>
          <rPr>
            <sz val="8"/>
            <color indexed="81"/>
            <rFont val="Tahoma"/>
            <family val="2"/>
          </rPr>
          <t xml:space="preserve">
Assumed from this point forward to equal 2000-09 average.</t>
        </r>
      </text>
    </comment>
  </commentList>
</comments>
</file>

<file path=xl/comments9.xml><?xml version="1.0" encoding="utf-8"?>
<comments xmlns="http://schemas.openxmlformats.org/spreadsheetml/2006/main">
  <authors>
    <author>andersonsc</author>
  </authors>
  <commentList>
    <comment ref="E30" authorId="0" shapeId="0">
      <text>
        <r>
          <rPr>
            <sz val="8"/>
            <color indexed="81"/>
            <rFont val="Tahoma"/>
            <family val="2"/>
          </rPr>
          <t xml:space="preserve">
So better to think of these as "# of 3y jobs," rather than just "jobs."</t>
        </r>
      </text>
    </comment>
    <comment ref="F34" authorId="0" shapeId="0">
      <text>
        <r>
          <rPr>
            <sz val="8"/>
            <color indexed="81"/>
            <rFont val="Tahoma"/>
            <family val="2"/>
          </rPr>
          <t xml:space="preserve">
Accounting for opportunity costs. </t>
        </r>
      </text>
    </comment>
    <comment ref="E63" authorId="0" shapeId="0">
      <text>
        <r>
          <rPr>
            <b/>
            <sz val="8"/>
            <color indexed="81"/>
            <rFont val="Tahoma"/>
            <family val="2"/>
          </rPr>
          <t>andersonsc:</t>
        </r>
        <r>
          <rPr>
            <sz val="8"/>
            <color indexed="81"/>
            <rFont val="Tahoma"/>
            <family val="2"/>
          </rPr>
          <t xml:space="preserve">
Some hard-coded using Switchboard on ERR page and examiniing indiv. benefit streams on wks Benefits</t>
        </r>
      </text>
    </comment>
    <comment ref="C166" authorId="0" shapeId="0">
      <text>
        <r>
          <rPr>
            <sz val="8"/>
            <color indexed="81"/>
            <rFont val="Tahoma"/>
            <family val="2"/>
          </rPr>
          <t xml:space="preserve">
Use Chunga Matero income distribution, etc.</t>
        </r>
      </text>
    </comment>
  </commentList>
</comments>
</file>

<file path=xl/sharedStrings.xml><?xml version="1.0" encoding="utf-8"?>
<sst xmlns="http://schemas.openxmlformats.org/spreadsheetml/2006/main" count="3444" uniqueCount="1627">
  <si>
    <t>Comments/references:</t>
  </si>
  <si>
    <t>See "GBD2004_DisabilityWeights.pdf," found at http://www.who.int/healthinfo/global_burden_disease/GBD2004_DisabilityWeights.pdf</t>
  </si>
  <si>
    <t>Methodology:  The basic idea is that improving water quality, sanitation, and drainage will reduce the incidence of various diseases in the treatment areas.  We can put a dollar value on this by estimating the amount of "life time" saved by the project (as measured in "disability adjusted life years") and multiplying by the opportunity cost of time.</t>
  </si>
  <si>
    <t>See http://www.xe.com/ucc/convert/?Amount=1&amp;From=USD&amp;To=ZMK for latest exchange rate and 2008 Labourforce Survey Report.pdf found at http://www.mlss.gov.zm/upload/2008%20Labourforce%20Survey%20Report.pdf for unemployment rates.</t>
  </si>
  <si>
    <t>Opportunity cost of time ($/hour):</t>
  </si>
  <si>
    <t>The 2012 minimum wage for Zambia is 419,000 kwacha per month.  In Dec 2012 the kwacha/USD exchange rate was 5,292, so assuming 8 hours of work a day, 22 days a month, that comes out to about 45 cents/hour.  According to the latest labor survey, the overall unemployment rate in urban Lusaka was 35%.  If we interpret that as the probability of not finding a job, then the opportunity cost of time is $0.45*(1-0.35)=$0.29/hour overall.  Again, this is the best assumption we can make based on what we know now.  We will see if the M&amp;E data we collect confirms this.</t>
  </si>
  <si>
    <t>http://www.xe.com/ucc/convert/?Amount=1&amp;From=USD&amp;To=ZMK</t>
  </si>
  <si>
    <t>urban Lusaka unemployment rate:</t>
  </si>
  <si>
    <t>http://www.mlss.gov.zm/upload/2008%20Labourforce%20Survey%20Report.pdf</t>
  </si>
  <si>
    <t>Opportunity cost of time ($/month):</t>
  </si>
  <si>
    <t>See 3ie.2009.Water, Sanitation and Hygiene Interventions to Combat Childhood Diarrhea in Developing Countries.pdf, page 27, found at http://www.dfid.gov.uk/R4D//PDF/Articles/SR_Sanitation.pdf and http://www.bvsde.paho.org/bvsaar/fulltext/drainage.pdf</t>
  </si>
  <si>
    <t>Disease incidence reduction:</t>
  </si>
  <si>
    <t>Water Quality</t>
  </si>
  <si>
    <t>Sanitation</t>
  </si>
  <si>
    <t>Drainage</t>
  </si>
  <si>
    <t>Infectious Diarrhea</t>
  </si>
  <si>
    <t>Intestinal nematodes</t>
  </si>
  <si>
    <t>Comments/References:</t>
  </si>
  <si>
    <t>Malaria</t>
  </si>
  <si>
    <t>Rosen and Vincent (1999:17) (http://www.cid.harvard.edu/archive/events/cidneudc/papers/rosenvincent.pdf), Table 4 note median reductions in prevalence of 4% for hookworm 29% for ascariasis. (from better studies).  Use the average (16.5%) here, split evenly between water &amp; sanitation.</t>
  </si>
  <si>
    <t>Castro et al. (2010:1) (http://www.ncbi.nlm.nih.gov/pmc/articles/PMC2876116/) notes "restoring and maintaining drains in Dar es Salaam has the potential to eliminate more than 40% of all potential mosquito larval habitats." Use 20% reduction in prevalence for conservatism.</t>
  </si>
  <si>
    <t>Lymphatic filariasis (LF)</t>
  </si>
  <si>
    <t>See comment for malaria benefit above, and assume impact for LF is of the same magnitude.</t>
  </si>
  <si>
    <t>Schistosomiasis</t>
  </si>
  <si>
    <t>Water quality</t>
  </si>
  <si>
    <t>Beneficiaries by subproject - 
"Switchboard"</t>
  </si>
  <si>
    <t>Priority I</t>
  </si>
  <si>
    <t>Priority II</t>
  </si>
  <si>
    <t>Priority III*</t>
  </si>
  <si>
    <t>Core water network - NRW</t>
  </si>
  <si>
    <t>Water network rehab/ expansion</t>
  </si>
  <si>
    <t>Sewershed expansions &amp; upgrades</t>
  </si>
  <si>
    <t>Lp1</t>
  </si>
  <si>
    <t>Lp6</t>
  </si>
  <si>
    <t>Ls1</t>
  </si>
  <si>
    <t>Chelston &amp; Kaunda Sq.</t>
  </si>
  <si>
    <t>Chunga/Matero</t>
  </si>
  <si>
    <t>Ls2 
(Central)</t>
  </si>
  <si>
    <t>Total beneficiaries by subproject</t>
  </si>
  <si>
    <t>No. Rehabilitation Beneficiaries</t>
  </si>
  <si>
    <t>No. of Treatment Beneficiaries</t>
  </si>
  <si>
    <t>No. of Primary Pipes Beneficiaries</t>
  </si>
  <si>
    <t>No. of NRW Beneficiaries</t>
  </si>
  <si>
    <t>Ls3 
(Chelston)*</t>
  </si>
  <si>
    <t>*Ls3 covers peri-urban areas of Chainda, Kalikiliki, Kamanga, Mtendere and part of Chongwe.</t>
  </si>
  <si>
    <t>**Ls6 covers peri-urban areas of Chawama, Chibolya, Chunga, John Laing, Kanyama and Misisi.</t>
  </si>
  <si>
    <t>Ls6 
(Lumumba)**</t>
  </si>
  <si>
    <t>***Ls2 covers peri-urban areas of Chipata, Garden, Chaisa, Kabanana and Ngombe.</t>
  </si>
  <si>
    <t>No. of Network Expansion Beneficiaries (i.e., new connections)</t>
  </si>
  <si>
    <t>****Note that Lp1, Lp6, and Ls1 overlap - cell at right gives total for thse SPs</t>
  </si>
  <si>
    <t>Water, Sanitation, &amp; Drainage Model</t>
  </si>
  <si>
    <t>Kanyama</t>
  </si>
  <si>
    <t>Bombay</t>
  </si>
  <si>
    <t>Total beneficiaries by subproject (2012)</t>
  </si>
  <si>
    <t>No. of Resident Beneficiaries</t>
  </si>
  <si>
    <t>No. of Non-resident Beneficiaries</t>
  </si>
  <si>
    <t>These beneficiaries enjoy * health benefits * avoided property damage</t>
  </si>
  <si>
    <t>Unlike water and sanitation investments, drainage beneficiaries are not infrastructure capacity constrained and will increase with population growth and economic growth at rates specified on sheet "Drainage."</t>
  </si>
  <si>
    <t>Health beneficiaries by subproject:</t>
  </si>
  <si>
    <t>Adjust "Incidence per 1,000" for males and females (ages 0-14) in YLD template by this amount</t>
  </si>
  <si>
    <t>Modeling instructions:</t>
  </si>
  <si>
    <t>Adjust "Incidence per 1,000" for males and females (ages 0-14) in YLD and YLL template by this amount, and by half this for ages 15 and up</t>
  </si>
  <si>
    <t>Expansion</t>
  </si>
  <si>
    <t>Rehabilitation</t>
  </si>
  <si>
    <t>Note: Health beneficiaries are all expansion beneficiaries and 15% of rehabilitation beneficiaries</t>
  </si>
  <si>
    <t>Adjust "Incidence per 1,000" for males and females (ages 15 and up) in YLD template by this amount</t>
  </si>
  <si>
    <t>These beneficiaries enjoy * avoided loss in value added * avoided travel time (flooding)</t>
  </si>
  <si>
    <t>So for each disease and each "treatment type" (water, quality, sanitation, and drainage) we need an estimate of the DALYs saved, using the population of beneficiaries, the baseline incidence rate, and an estimated incident reduction rate.  You also need an estimate of the opportunity cost of time.  Because one option available to all participants in the workforce is to earn a wage in the formal labor market, one estimate of the opportunity cost of time is the minimum formal wage rate, discounted by the probability of finding a job in the formal sector.  Whether this is the best way to estimate the opportunity cost of time is an open question, one we will investigate by collecting time use data through the M&amp;E plan.</t>
  </si>
  <si>
    <t>Now, for the reduction in DALY's.  For each disease we estimate the reduction in DALY's that we estimate will result from the project.  We need the number of beneficiaries, the prevailing incidence rate, and an estimated incidence reduction rate for each disease and each subproject -- water quality improvement, sanitation, and drainage.</t>
  </si>
  <si>
    <t>Prevailing incidence rates:</t>
  </si>
  <si>
    <t>Infectious diarrhea</t>
  </si>
  <si>
    <t>Number of cases per '000 population</t>
  </si>
  <si>
    <t>Total</t>
  </si>
  <si>
    <t>Under 5:</t>
  </si>
  <si>
    <t>Over 5:</t>
  </si>
  <si>
    <t>Case fatality rate (per '000 cases)</t>
  </si>
  <si>
    <t>Estimated death rate per '000 population</t>
  </si>
  <si>
    <t>Includes some cholera</t>
  </si>
  <si>
    <t>Notes:</t>
  </si>
  <si>
    <t>Incidence of non-bloody diarrhea, Lusaka District, 2008 (duration is brief, so incidence ~= prevalence)</t>
  </si>
  <si>
    <t xml:space="preserve"> </t>
  </si>
  <si>
    <t>Bauleni</t>
  </si>
  <si>
    <t>Mandevu</t>
  </si>
  <si>
    <t>Chainda</t>
  </si>
  <si>
    <t>Kabwata</t>
  </si>
  <si>
    <t>Chipata</t>
  </si>
  <si>
    <t>Kalingalinga</t>
  </si>
  <si>
    <t>Kamwala</t>
  </si>
  <si>
    <t>Mtendere</t>
  </si>
  <si>
    <t>Chazanga</t>
  </si>
  <si>
    <t>Lilayi</t>
  </si>
  <si>
    <t>Chilenje</t>
  </si>
  <si>
    <t>Chawama</t>
  </si>
  <si>
    <t>Year</t>
  </si>
  <si>
    <r>
      <t xml:space="preserve">All diseases (except malaria): Fraction of cases </t>
    </r>
    <r>
      <rPr>
        <i/>
        <sz val="10"/>
        <rFont val="Arial"/>
        <family val="2"/>
      </rPr>
      <t>not</t>
    </r>
    <r>
      <rPr>
        <sz val="10"/>
        <rFont val="Arial"/>
        <family val="2"/>
      </rPr>
      <t xml:space="preserve"> reported in health statistics:</t>
    </r>
  </si>
  <si>
    <t>Non-severe flood year:</t>
  </si>
  <si>
    <t>Note: Specifically for malaria, DHMT reports case #s based on suspected rather than confirmed cases.  25% is an MCC assumption</t>
  </si>
  <si>
    <t>Non-bloody diarrhea, Lusaka District, 2008, CFR = Case Fatality Rate = (# deaths/(1000 cases))</t>
  </si>
  <si>
    <t>Zambian population by five-year age group (thousands)</t>
  </si>
  <si>
    <t>Zambian population by five-year age group (% of total)</t>
  </si>
  <si>
    <t>Working age</t>
  </si>
  <si>
    <t>Source:</t>
  </si>
  <si>
    <t>Age group</t>
  </si>
  <si>
    <t>Females</t>
  </si>
  <si>
    <t>Males</t>
  </si>
  <si>
    <t>Avg age</t>
  </si>
  <si>
    <t>Overall</t>
  </si>
  <si>
    <t>World Population Prospects: The 2010 Revision</t>
  </si>
  <si>
    <t>0-4</t>
  </si>
  <si>
    <t>5-9</t>
  </si>
  <si>
    <t>1-4</t>
  </si>
  <si>
    <t>File 3B: Female population by five-year age group, major area, region and country, annually for 2011-2100 (thousands)</t>
  </si>
  <si>
    <t>10-14</t>
  </si>
  <si>
    <t>"Annual Population 2011-2100 - Female"</t>
  </si>
  <si>
    <t>15-19</t>
  </si>
  <si>
    <t>File 2B: Male population by five-year age group, major area, region and country, annually for 2011-2100 (thousands)</t>
  </si>
  <si>
    <t>20-24</t>
  </si>
  <si>
    <t>"Annual Population 2011-2100 - Male"</t>
  </si>
  <si>
    <t>25-29</t>
  </si>
  <si>
    <t>30-34</t>
  </si>
  <si>
    <t>35-39</t>
  </si>
  <si>
    <t>40-44</t>
  </si>
  <si>
    <t>45-49</t>
  </si>
  <si>
    <t>50-54</t>
  </si>
  <si>
    <t>55-59</t>
  </si>
  <si>
    <t>Average age of worker:</t>
  </si>
  <si>
    <t>60-64</t>
  </si>
  <si>
    <t>65-69</t>
  </si>
  <si>
    <t>70-74</t>
  </si>
  <si>
    <t>75-79</t>
  </si>
  <si>
    <t>80-84</t>
  </si>
  <si>
    <t>85-89</t>
  </si>
  <si>
    <t>90-94</t>
  </si>
  <si>
    <t>85+</t>
  </si>
  <si>
    <t>95-99</t>
  </si>
  <si>
    <t>TOTAL</t>
  </si>
  <si>
    <t>100+</t>
  </si>
  <si>
    <t>GRAND TOTAL:</t>
  </si>
  <si>
    <t>% of GRAND TOTAL</t>
  </si>
  <si>
    <t>Severe flood year</t>
  </si>
  <si>
    <t>Average year</t>
  </si>
  <si>
    <t>Diarrhea other than cholera</t>
  </si>
  <si>
    <t>Cholera</t>
  </si>
  <si>
    <t>This is a frequency of</t>
  </si>
  <si>
    <t>of years as severe flood events.</t>
  </si>
  <si>
    <t>(incidence ~= prevalence)</t>
  </si>
  <si>
    <t>Cholera scenario for severe flood year</t>
  </si>
  <si>
    <t>Cholera incidence:</t>
  </si>
  <si>
    <t>per 1000 population</t>
  </si>
  <si>
    <t>Cholera case fatality rate:</t>
  </si>
  <si>
    <t>Wtd. average</t>
  </si>
  <si>
    <t>Fraction under 5:</t>
  </si>
  <si>
    <t>Fraction 5 and over:</t>
  </si>
  <si>
    <t>Use this to weight two disease scenarios below</t>
  </si>
  <si>
    <t>Munali</t>
  </si>
  <si>
    <t>Chakunkula</t>
  </si>
  <si>
    <t>Matero</t>
  </si>
  <si>
    <t>Muchinga</t>
  </si>
  <si>
    <t>Raphael Chota</t>
  </si>
  <si>
    <t>Chaisa</t>
  </si>
  <si>
    <t>Ngwerere</t>
  </si>
  <si>
    <t>Roma</t>
  </si>
  <si>
    <t>Kabulonga</t>
  </si>
  <si>
    <t>Lubwa</t>
  </si>
  <si>
    <t>Independence</t>
  </si>
  <si>
    <t>Silwizya</t>
  </si>
  <si>
    <t>Munkolo</t>
  </si>
  <si>
    <t>Harry Mwaanga Nkumbula</t>
  </si>
  <si>
    <t>Kamulanga</t>
  </si>
  <si>
    <t>Libala</t>
  </si>
  <si>
    <t>Nkoloma</t>
  </si>
  <si>
    <t>DMA</t>
  </si>
  <si>
    <t>Total infectious diarrhoea incidence:</t>
  </si>
  <si>
    <t>Incidence per '000 population</t>
  </si>
  <si>
    <t>Prevalence per '000 population</t>
  </si>
  <si>
    <t>Other</t>
  </si>
  <si>
    <t>Female</t>
  </si>
  <si>
    <t>Male</t>
  </si>
  <si>
    <t>Disease</t>
  </si>
  <si>
    <t>No.</t>
  </si>
  <si>
    <t>Lymphatic filariasis</t>
  </si>
  <si>
    <t>Schistosomiasis cases</t>
  </si>
  <si>
    <t>Increase in # of cases of disease, 2006-2010</t>
  </si>
  <si>
    <t>Fraction of 2006 cases that would have died by 2010</t>
  </si>
  <si>
    <t>% deaths due to malaria</t>
  </si>
  <si>
    <t>Deaths per '000</t>
  </si>
  <si>
    <t># 2006 cases to be replaced by 2010</t>
  </si>
  <si>
    <t>Age cohort</t>
  </si>
  <si>
    <t>Total # cases to be added, 2006-2010</t>
  </si>
  <si>
    <t>Incidence rate to apply to 2008 (average year) population to generate above # of cases</t>
  </si>
  <si>
    <t>Factor to scale down Lusaka DHMT incidence data</t>
  </si>
  <si>
    <t>Alternative incidence estimate per '000 population</t>
  </si>
  <si>
    <t>5-85+</t>
  </si>
  <si>
    <t>Not needed</t>
  </si>
  <si>
    <t>(Check - shd = "Estimated death rate per '000 population" at left)</t>
  </si>
  <si>
    <t>Treatment fraction:</t>
  </si>
  <si>
    <t>Weighted average, untreated</t>
  </si>
  <si>
    <t>Weighted average, population</t>
  </si>
  <si>
    <t>Fraction of cases developing sequelae (clinical manifestations)</t>
  </si>
  <si>
    <t>Malaria parasites</t>
  </si>
  <si>
    <t>vivax</t>
  </si>
  <si>
    <t>ovale</t>
  </si>
  <si>
    <t>malariae</t>
  </si>
  <si>
    <t>falciparum</t>
  </si>
  <si>
    <t>Distribution in Africa</t>
  </si>
  <si>
    <t>Estimated disease durations</t>
  </si>
  <si>
    <t>Typical symptom duration (y)</t>
  </si>
  <si>
    <t xml:space="preserve">Duration (y) </t>
  </si>
  <si>
    <t>Symptoms recur so frequently (a few days to a week) that we use "maximum infection duration below" for duration</t>
  </si>
  <si>
    <t>For those treated assume it is successful (as in most cases not too advanced) and quick so that no disability is incurred.</t>
  </si>
  <si>
    <t>Maximum infection duration (y)</t>
  </si>
  <si>
    <t>Anemia</t>
  </si>
  <si>
    <t>Probabilities</t>
  </si>
  <si>
    <t>Permanent (i.e., expected lifetime)</t>
  </si>
  <si>
    <t>Other complications</t>
  </si>
  <si>
    <t>cerebral</t>
  </si>
  <si>
    <t>S:\_countryfile\Zambia\_ Team Documents\Sector Folders (ME and Econ, ESA)\M&amp;E&amp;E\_LWSSDP\Economic analysis\ERR\Supporting Files\WHO.Schistosomiasis - Zambia.pdf</t>
  </si>
  <si>
    <t>Population (from WB WDI) (see S:\_countryfile\Zambia\_ Compact Development\18) M&amp;E and Econ\Background\Data, Stats\Zambia WDI 2011.xlsx</t>
  </si>
  <si>
    <t>Remission rate (WHO (2008:110))</t>
  </si>
  <si>
    <t>Case fatality rate (WHO (2008:110))</t>
  </si>
  <si>
    <t>All other cause annual mortality rate (Adult mortality rate adults, both genders (2008 as benchmark), WB WDI.)</t>
  </si>
  <si>
    <t>Disagg. death rates analysis: WHO (2004c:109) - "The revised death rates for malaria at ages five years and over result in an estimated
10% of malaria deaths at ages five years and over in the African region"</t>
  </si>
  <si>
    <t>WHO (2004b)</t>
  </si>
  <si>
    <t xml:space="preserve">Lusaka DHMT reports that malaria data indicated suspected, not confirmed, cases, and that confirmed cases can be as few as &lt;5% of suspected cases.  On the other hand, national incidence data is 244 per 1000, very close to what the Lusaka DHMT reports.  Use this value to scale down the Lusaka DHMT malaria data for potential overreporting. </t>
  </si>
  <si>
    <t>Zambian population, 2011</t>
  </si>
  <si>
    <t>people</t>
  </si>
  <si>
    <t>National population growth rate, 2009</t>
  </si>
  <si>
    <t>%</t>
  </si>
  <si>
    <t>Lusaka population growth rate, 2011</t>
  </si>
  <si>
    <t>https://www.cia.gov/library/publications/the-world-factbook/geos/za.html</t>
  </si>
  <si>
    <t>WHO (2004b) for Zambia</t>
  </si>
  <si>
    <t xml:space="preserve">Ottesen et al. (2008:3) - LF infections occur in 10% of at-risk population. At-risk population in Zambia in 2011 estimated at 1,548,811, based on WHO (2006:10) estimates updated for more 2011 population.  </t>
  </si>
  <si>
    <t>Ottesen et al. (2008:3)</t>
  </si>
  <si>
    <t>Pathophysiology of Malaria (File: PATHOPHYSIOLOGY OF MALARIA.pdf)</t>
  </si>
  <si>
    <t>http://www.malariasite.com/malaria/MalarialParasite.htm#P. falciparum</t>
  </si>
  <si>
    <t>untreated</t>
  </si>
  <si>
    <t>(Using treatment fraction at left)</t>
  </si>
  <si>
    <t>Assumed based on PATHOPHYSIOLOGY OF MALARIA.pdf</t>
  </si>
  <si>
    <t>Ignores renal and others, for simplicity (and since no DWs available)</t>
  </si>
  <si>
    <t>Ottesen et al. (2008:9)</t>
  </si>
  <si>
    <t>Mathers et al. (2006:79)</t>
  </si>
  <si>
    <t>(See page 4 of PATHOPHYSIOLOGY OF MALARIA.pdf)</t>
  </si>
  <si>
    <t>Assume that the total incidence doesn't change with flooding; only the fraction of cholera cases.</t>
  </si>
  <si>
    <t>* letting U5/O5 incidence ratio for cholera equal that for diarrhea overall.</t>
  </si>
  <si>
    <t xml:space="preserve">Solve for E84 by </t>
  </si>
  <si>
    <t xml:space="preserve">* letting weighted share equal cholera incidence at D77 (5.3/1000), and </t>
  </si>
  <si>
    <t xml:space="preserve">Solve for E87 by </t>
  </si>
  <si>
    <t xml:space="preserve">* letting weighted share equal cholera case fatality rate at D78 (36/1000), and </t>
  </si>
  <si>
    <t>* letting U5/O5 fatality rate for cholera equal that for diarrhea overall.</t>
  </si>
  <si>
    <t>Citation</t>
  </si>
  <si>
    <t>Filename</t>
  </si>
  <si>
    <t>3ie (2009)</t>
  </si>
  <si>
    <t>3ie.2009.Water, Sanitation and Hygiene Interventions to Combat Childhood Diarrhea in Developing Countries.pdf</t>
  </si>
  <si>
    <t>Alderman, Hoddinott, &amp; Kinsey (2006)</t>
  </si>
  <si>
    <t>Alderman, Hoddinott, &amp; Kinsey. 2006.Long term consequences of early childhood malnutrition.pdf</t>
  </si>
  <si>
    <t xml:space="preserve">Bigsten, et al. (2000) </t>
  </si>
  <si>
    <t>Bigsten.2000.Rates of Return on Physical and Human Capital in Africa's Manufacturing Sector.pdf</t>
  </si>
  <si>
    <t>Castro et al. (2010)</t>
  </si>
  <si>
    <t>Castro et al.2010.The Importance of Drains for the Larval Development of Lymphatic Filariasis and Malaria Vectors.pdf</t>
  </si>
  <si>
    <t>CH2MHILL (2011a)</t>
  </si>
  <si>
    <t>Final_Assessment_Report_Submitted 1-2011.pdf</t>
  </si>
  <si>
    <t>CH2MHILL (2011b)</t>
  </si>
  <si>
    <t>Draft Drainage IMP Summary_31 Jan 2011.docx</t>
  </si>
  <si>
    <t>CH2MHILL (2011c)</t>
  </si>
  <si>
    <t>Drainage Investment Plan for Priority Areas in Lusaka, Zambia</t>
  </si>
  <si>
    <t>Gauff Ingenieure (2011a)</t>
  </si>
  <si>
    <t>Lusaka Water Master Plan investment strategy report-summary.pdf</t>
  </si>
  <si>
    <t>Gauff Ingenieure (2011b)</t>
  </si>
  <si>
    <t>Lusaka Water Final Master Plan Report-r1.pdf</t>
  </si>
  <si>
    <t>Gauff Ingenieure (2011c)</t>
  </si>
  <si>
    <t>Preparation of Feasibility Study and (30%) Preliminary Design for Drainage Projects - Lusaka, Zambia</t>
  </si>
  <si>
    <t>Gauff Ingenieure (2011d)</t>
  </si>
  <si>
    <t>Lusaka Water Final Master Plan, Annex 10</t>
  </si>
  <si>
    <t>GKW Consult (2006)</t>
  </si>
  <si>
    <t>Zambia WSPIP Social Assessment Part1.pdf</t>
  </si>
  <si>
    <t>ILO (2010)</t>
  </si>
  <si>
    <t>ILO.2010.Global Wage Report.pdf</t>
  </si>
  <si>
    <t>KRI International Corp. (2009)</t>
  </si>
  <si>
    <t>EIDJR09041 FR ANNEX I.pdf</t>
  </si>
  <si>
    <t>Lusaka City Council (LCC) (2011)</t>
  </si>
  <si>
    <t>Lusaka main Valuation Roll v2.xlsx</t>
  </si>
  <si>
    <t>Manan, Ali, &amp; Lal (2006)</t>
  </si>
  <si>
    <t>Manan, Ali, &amp; Lal.2006.Acute Renal Failure Associated with Malaria.pdf</t>
  </si>
  <si>
    <t>Mathers et al. (2006)</t>
  </si>
  <si>
    <t>Mathers et al (GBD).2006.Burden of Disease and Mortality by Condition.pdf</t>
  </si>
  <si>
    <t>Moraes et al (2003)</t>
  </si>
  <si>
    <t>Moraes et al.2003.Impact of drainage and sewerage on diarrhoea in poor urban areas in Salvador, Brazil.mht</t>
  </si>
  <si>
    <t>Ottesen et al. (2008)</t>
  </si>
  <si>
    <t>Ottesen et al.2008.The Global Programme to Eliminate Lymphatic Filariasis.pdf</t>
  </si>
  <si>
    <t>Pruess-Uestuen et al. (2004)</t>
  </si>
  <si>
    <t>Pruess-Uestuen et al.2004.Unsafe water, sanitation and hygiene.pdf</t>
  </si>
  <si>
    <t>Raballand &amp; Macchi (2009)</t>
  </si>
  <si>
    <t>Raballand.Transport Prices and Costs - The Need to Revisit Donors’ Policies in Transport in Africa.2009.pdf</t>
  </si>
  <si>
    <t>Rosen &amp; Vincent (1999)</t>
  </si>
  <si>
    <t>Rosen &amp; Vincent.1999.Household Water Resources and Rural Productivity in Sub-Saharan Africa.pdf</t>
  </si>
  <si>
    <t>US Army Corps of Engineers (2011)</t>
  </si>
  <si>
    <t>summary_rpt_110201.pdf</t>
  </si>
  <si>
    <t>Sitko et al (2011)</t>
  </si>
  <si>
    <t>Sitko et al.2011.Technical Compendium - Descriptive Agricultural Statistics and Analysis for Zambia.pdf</t>
  </si>
  <si>
    <t>Teshome et al. (2009)</t>
  </si>
  <si>
    <t>Teshome et al.2009.Magnitude and determinants of stunting in children under-.pdf</t>
  </si>
  <si>
    <t>World Bank (2009)</t>
  </si>
  <si>
    <t>WB.PROJECT PAPER.WATER SECTOR PERFORMANCE IMPROVEMENT PROJECT (ADD'L FIN).2009.pdf</t>
  </si>
  <si>
    <t>World Bank (2006)</t>
  </si>
  <si>
    <t>WB.2006.PAD - Water Sector Performance Improvement Project.pdf</t>
  </si>
  <si>
    <t>World Development Indicators (WDI) (2011)</t>
  </si>
  <si>
    <t>Zambia WDI 2011.xlsx</t>
  </si>
  <si>
    <t>WHO (2008a)</t>
  </si>
  <si>
    <t>GBD_report_2004update_full.pdf</t>
  </si>
  <si>
    <t>WHO (2008b)</t>
  </si>
  <si>
    <t>WHO Data for Zambia, 1990-2008.xlsx</t>
  </si>
  <si>
    <t>WHO (2006)</t>
  </si>
  <si>
    <t>WHO.2006.Elimination of Lymphatic Filariasis.pdf</t>
  </si>
  <si>
    <t>WHO (2004a)</t>
  </si>
  <si>
    <t>WHO World Health Report 2004.Annex_4.pdf</t>
  </si>
  <si>
    <t>bodgbddeathdalyestimates.xlsm</t>
  </si>
  <si>
    <t>WHO (2004c)</t>
  </si>
  <si>
    <t>Zambia Vulnerability Assessment Committee (ZVAC) (2010)</t>
  </si>
  <si>
    <t>LUSAKA FLOODS REPORT_MARCH_2010.doc</t>
  </si>
  <si>
    <t>Manda Hills Shopping Centre Traffic Study.pdf</t>
  </si>
  <si>
    <t>PATHOPHYSIOLOGY OF MALARIA.pdf</t>
  </si>
  <si>
    <t>Unless otherwise specified, emails cited in this file were addressed to Steve Anderson, Lead Economist/DPE</t>
  </si>
  <si>
    <t>Abbreviations</t>
  </si>
  <si>
    <t>DHMT</t>
  </si>
  <si>
    <t>District Health Management Team</t>
  </si>
  <si>
    <t>PUAs</t>
  </si>
  <si>
    <t>Peri-Urban Areas</t>
  </si>
  <si>
    <t>RHB</t>
  </si>
  <si>
    <t>Reference health beneficiaries</t>
  </si>
  <si>
    <t>Years of life lost</t>
  </si>
  <si>
    <t>diarrhoea</t>
  </si>
  <si>
    <t>WP</t>
  </si>
  <si>
    <t>Water Quality (supply expansion and rehab)</t>
  </si>
  <si>
    <t>Source: WHO (see WHO Life Tables.Zambia.xls)</t>
  </si>
  <si>
    <t>Zambian life expectancy (for DALY calculations)</t>
  </si>
  <si>
    <t>DALY Parameters</t>
  </si>
  <si>
    <t>Discount rate (r)</t>
  </si>
  <si>
    <t>Standard discount rate is 0.03</t>
  </si>
  <si>
    <t>Beta (b)</t>
  </si>
  <si>
    <t>Standard age weights use beta=0.04</t>
  </si>
  <si>
    <t>Constant (C)</t>
  </si>
  <si>
    <t>Standard age weights use C=0.1658</t>
  </si>
  <si>
    <t>Rate</t>
  </si>
  <si>
    <t>Const</t>
  </si>
  <si>
    <t>Age at onset</t>
  </si>
  <si>
    <t>Deaths</t>
  </si>
  <si>
    <t>WOP DALYs</t>
  </si>
  <si>
    <t>The DALY calculation counts two things: years of life lost to premature death as a result of a disease, plus years of life lost due to disability.  Generally, a year spent suffering the ill effects of a disease is considered equivalent to losing some fraction of a year of healthy life.  The WHO has provided estimates of what the fractions should be for different diseases.</t>
  </si>
  <si>
    <t>See "nationalburdenofdiseasemanual.pdf", section 3.7 and chapter 11, found at http://www.who.int/healthinfo/nationalburdenofdiseasemanual.pdf.  See also http://whqlibdoc.who.int/bulletin/1994/Vol72-No3/bulletin_1994_72(3)_429-445.pdf</t>
  </si>
  <si>
    <t>We have various sources for the reduction in disease incidence that result from water projects.  For example, for infectious diarrhea, we use a 3ie report, which says that improvements in water quality (and supply) reduce disease incidence by 44%, and sanitation projects by 37%.  Sources for other diseases will be listed below.</t>
  </si>
  <si>
    <t xml:space="preserve">3ie report says that improvements in water quality (and supply) reduce disease incidence by 44%, and sanitation projects by 37%. See 3ie.2009.Water, Sanitation and Hygiene Interventions to Combat Childhood Diarrhea in Developing Countries.pdf, page 27, found at http://www.dfid.gov.uk/R4D//PDF/Articles/SR_Sanitation.pdf and http://www.bvsde.paho.org/bvsaar/fulltext/drainage.pdf. A Moraes et al study (Impact of drainage and sewerage on diarrhoea in poor urban areas in Salvador, Brazil) claims drainage projects can reduce disease incidence by as much as sanitation projects, 37%.  To avoid over counting where sanitation and drainage overlap, restrict the effect of drainage to 14%, bringing overall effectiveness of project (where sanitation is also being improved) to 95%.  </t>
  </si>
  <si>
    <t>The WHO also recommends weighting different ages differently. "The young, and often the elderly, depend on the rest of society for physical, emotional and financial support." (Murray, 1994 -- see link at right), so the weight on years as "caregivers" should have more weight than years lived as "caretakers" (children and retired). They use the weighting formula C*age*exp(-beta*age), where C=0.1658 and beta=0.04.  We'll adopt this to be comparable with other WHO studies.</t>
  </si>
  <si>
    <t>Notes</t>
  </si>
  <si>
    <t>Colin D. Mathers, Alan D. Lopez, and Christopher J. L. Murray, "The Burden of Disease and Mortality by Condition: Data, Methods, and Results for 2001." 2006. Global Burden of Disease and Risk Factors,ed. , 45-93. New York: Oxford University Press.</t>
  </si>
  <si>
    <t xml:space="preserve">Also Ch. 16 in Ezzati et al. (eds.) Comparative quantification of health risks: Global and Regional Burden of Disease Attributable to Selected Major Risk Factors at http://www.who.int/healthinfo/global_burden_disease/cra/en/. </t>
  </si>
  <si>
    <t>Available at http://www.who.int/whr/2004/annex/topic/en/annex_4_en.pdf.</t>
  </si>
  <si>
    <t>Burden of Disease database at http://www.who.int/entity/healthinfo/statistics/bodgbddeathdalyestimates.xls</t>
  </si>
  <si>
    <t>Secondary</t>
  </si>
  <si>
    <t>Primary</t>
  </si>
  <si>
    <t>Collapsing older age groups into "85+" and breaking out infants less than one year old ("0"):</t>
  </si>
  <si>
    <t>See "modeling instructions" in F19</t>
  </si>
  <si>
    <t>See comment in F108</t>
  </si>
  <si>
    <t>WOP YLLs</t>
  </si>
  <si>
    <t>WOP YLDs</t>
  </si>
  <si>
    <t>Disability Weight</t>
  </si>
  <si>
    <t>Incidence*DW</t>
  </si>
  <si>
    <t>Age Weight/Discount for YLLs</t>
  </si>
  <si>
    <t>Age Weight/Discount for YLDs</t>
  </si>
  <si>
    <t>See "nationalburdenofdiseasemanual.pdf" page 117</t>
  </si>
  <si>
    <t>See "nationalburdenofdiseasemanual.pdf" page 118</t>
  </si>
  <si>
    <t>DALYs by disease:</t>
  </si>
  <si>
    <t>YLLs</t>
  </si>
  <si>
    <t>YLDs</t>
  </si>
  <si>
    <t>DALYs</t>
  </si>
  <si>
    <t>DALYs by project:</t>
  </si>
  <si>
    <t>Water Quality DALYs:</t>
  </si>
  <si>
    <t>Sanitation DALYs:</t>
  </si>
  <si>
    <t>Drainage DALYs:</t>
  </si>
  <si>
    <t>Notes for converting these results into yearly health benefits:</t>
  </si>
  <si>
    <t>Unlike water and sanitation investments, drainage beneficiaries are not infrastructure capacity constrained and will increase with population growth in Bombay, 2.4%</t>
  </si>
  <si>
    <t>Benefits in dollars, by project and disease</t>
  </si>
  <si>
    <t>Year:</t>
  </si>
  <si>
    <t>Water Quality:</t>
  </si>
  <si>
    <t>Opportunity cost of DALY ($/DALY):</t>
  </si>
  <si>
    <t>Total Health Benefits:</t>
  </si>
  <si>
    <t>PDV of Benefits:</t>
  </si>
  <si>
    <t>All health benefits are phased in over 6 years starting with the investment year.  This is an approximation for actual project completion, to be updated in closeout.</t>
  </si>
  <si>
    <t>Benefits phasing, cumulative</t>
  </si>
  <si>
    <t>Cost of DALYs increases with real GDP/capita growth of 2.73%</t>
  </si>
  <si>
    <t>Cost/DALY lost, trended at real GDP per capita</t>
  </si>
  <si>
    <t>Without Project Calculations</t>
  </si>
  <si>
    <t>Water supply, Rehabilitation+Expansion</t>
  </si>
  <si>
    <t>Sanitation, Rehabilitation+Expansion</t>
  </si>
  <si>
    <t>With Project Calculations</t>
  </si>
  <si>
    <t>Net:</t>
  </si>
  <si>
    <t>Old</t>
  </si>
  <si>
    <t>New</t>
  </si>
  <si>
    <t>Difference</t>
  </si>
  <si>
    <t>All cohorts, including discounted benefits after 2031</t>
  </si>
  <si>
    <t>Discounting benefits beyond 2031 back to that year</t>
  </si>
  <si>
    <t>All cohorts</t>
  </si>
  <si>
    <t>Year entering labor force</t>
  </si>
  <si>
    <t>Avoided lost wages</t>
  </si>
  <si>
    <t>Cohort analysis for cases of stunting avoided</t>
  </si>
  <si>
    <t>#</t>
  </si>
  <si>
    <t>No. of cases of stunting avoided (after phasing of benefits)</t>
  </si>
  <si>
    <t>No. of cases of stunting avoided (before phasing of benefits)</t>
  </si>
  <si>
    <t>Cases of stunting due to infectious diarrhea, 0-2 y. of age</t>
  </si>
  <si>
    <t>With Project Calculations (before phasing of benefits)</t>
  </si>
  <si>
    <t>Without Project Calculations (before phasing of benefits)</t>
  </si>
  <si>
    <t>2011 US$/y</t>
  </si>
  <si>
    <t>Average annual urban wage for Lusaka PUAs, trended</t>
  </si>
  <si>
    <t>World Bank (2006:67)</t>
  </si>
  <si>
    <t>Average annual urban wage for Lusaka PUAs, 2011</t>
  </si>
  <si>
    <t>2011 US$/h</t>
  </si>
  <si>
    <t>Average hourly urban wage for Lusaka PUAs, 2011</t>
  </si>
  <si>
    <t>Benefits phasing (assume same as cost phasing, lagged by 1 year)</t>
  </si>
  <si>
    <t>Annual rate of growth of beneficiary group, drainage</t>
  </si>
  <si>
    <t>Annual rate of growth of beneficiary group, water &amp; sanitation</t>
  </si>
  <si>
    <t>Units</t>
  </si>
  <si>
    <t>Compact Implementation</t>
  </si>
  <si>
    <t>% of infectious diarrheal cases resulting in stunting</t>
  </si>
  <si>
    <t>% of full wage</t>
  </si>
  <si>
    <t xml:space="preserve">Delta % = </t>
  </si>
  <si>
    <t>Average age of worker</t>
  </si>
  <si>
    <t>Year in the labor force</t>
  </si>
  <si>
    <t>Sensitivity parameter</t>
  </si>
  <si>
    <t>Wage evolution over working life (% full wage)</t>
  </si>
  <si>
    <t>Scaling factor for wage evolution to reach 99.5% of full wage at year 25</t>
  </si>
  <si>
    <t>b =</t>
  </si>
  <si>
    <t>a =</t>
  </si>
  <si>
    <t>(Wage at Y25)/(Wage at Y1)</t>
  </si>
  <si>
    <t>At Y25, i.e., 25 years after entry into labor force (real wage growth levels off, approximately)</t>
  </si>
  <si>
    <t>At entry into labor force (Y1)</t>
  </si>
  <si>
    <t>Ln(wage)</t>
  </si>
  <si>
    <t>From David Card paper, "Causal effect of Education on Earnings," Handbook of Labor Economics (1999)</t>
  </si>
  <si>
    <t>Average length of working life</t>
  </si>
  <si>
    <t>Average age of retirement</t>
  </si>
  <si>
    <t>Average age of entry into labor force</t>
  </si>
  <si>
    <t>Average age of cohort subject to stunting</t>
  </si>
  <si>
    <t>For simplicity, apply this to every year (phased in appropriately)</t>
  </si>
  <si>
    <t>Delta(% lifetime earnings)</t>
  </si>
  <si>
    <t>Weighted average years of schooling, population</t>
  </si>
  <si>
    <t>Tertiary</t>
  </si>
  <si>
    <t>At assumed means + increments</t>
  </si>
  <si>
    <t>Some tertiary</t>
  </si>
  <si>
    <t>At assumed means</t>
  </si>
  <si>
    <t>Exponents</t>
  </si>
  <si>
    <t>Some secondary</t>
  </si>
  <si>
    <t>Assumed means + increments</t>
  </si>
  <si>
    <t>Some primary</t>
  </si>
  <si>
    <t>Increments due to reduced stunting</t>
  </si>
  <si>
    <t>Average years of schooling by cohort</t>
  </si>
  <si>
    <t>Fraction of population</t>
  </si>
  <si>
    <t>Assumed cohorts (up to …)</t>
  </si>
  <si>
    <t>Assumed means</t>
  </si>
  <si>
    <t>Education2</t>
  </si>
  <si>
    <t>Education</t>
  </si>
  <si>
    <t>Age2</t>
  </si>
  <si>
    <t>Age</t>
  </si>
  <si>
    <t>Variables</t>
  </si>
  <si>
    <t>Betas</t>
  </si>
  <si>
    <t>Schooling duration</t>
  </si>
  <si>
    <t>Net enrolment rate</t>
  </si>
  <si>
    <t>Completion rate</t>
  </si>
  <si>
    <r>
      <rPr>
        <b/>
        <sz val="11"/>
        <color theme="1"/>
        <rFont val="Calibri"/>
        <family val="2"/>
        <scheme val="minor"/>
      </rPr>
      <t>Zambian</t>
    </r>
    <r>
      <rPr>
        <sz val="11"/>
        <color theme="1"/>
        <rFont val="Calibri"/>
        <family val="2"/>
        <scheme val="minor"/>
      </rPr>
      <t xml:space="preserve"> example using modified Alderman, Hoddinott, &amp; Kinsey (2006:21) data and Bigsten, et al. (2000: Table 5, p. 809) data</t>
    </r>
  </si>
  <si>
    <t>Zimbabwean context (civil war, rural areas)</t>
  </si>
  <si>
    <t>Developed country counterfactual</t>
  </si>
  <si>
    <r>
      <rPr>
        <i/>
        <sz val="11"/>
        <color theme="1"/>
        <rFont val="Calibri"/>
        <family val="2"/>
        <scheme val="minor"/>
      </rPr>
      <t>Adjustment factors</t>
    </r>
    <r>
      <rPr>
        <sz val="11"/>
        <color theme="1"/>
        <rFont val="Calibri"/>
        <family val="2"/>
        <scheme val="minor"/>
      </rPr>
      <t xml:space="preserve"> to variables in Alderman, Hoddinott, &amp; Kinsey (2006)'s Zimbabwe example above to account for:</t>
    </r>
  </si>
  <si>
    <r>
      <rPr>
        <b/>
        <sz val="11"/>
        <color theme="1"/>
        <rFont val="Calibri"/>
        <family val="2"/>
        <scheme val="minor"/>
      </rPr>
      <t>Zimbabwe</t>
    </r>
    <r>
      <rPr>
        <sz val="11"/>
        <color theme="1"/>
        <rFont val="Calibri"/>
        <family val="2"/>
        <scheme val="minor"/>
      </rPr>
      <t xml:space="preserve"> example in Alderman, Hoddinott, &amp; Kinsey (2006:21) and Bigsten et al. (2000: Table 5, p. 809)</t>
    </r>
  </si>
  <si>
    <t>ERR OVERVIEW</t>
  </si>
  <si>
    <t>Health Benefits - Stunting</t>
  </si>
  <si>
    <t>Population growth rates</t>
  </si>
  <si>
    <t>2011-2020</t>
  </si>
  <si>
    <t>2021-2031</t>
  </si>
  <si>
    <t>2032-</t>
  </si>
  <si>
    <t>Phasing of infrastructure costs:</t>
  </si>
  <si>
    <t>Compact year</t>
  </si>
  <si>
    <t>Capital cost fraction (%)</t>
  </si>
  <si>
    <t>Exchange rate</t>
  </si>
  <si>
    <t xml:space="preserve">ZMK/USD, </t>
  </si>
  <si>
    <t>?</t>
  </si>
  <si>
    <t>Part of Kabwata area</t>
  </si>
  <si>
    <t>Woodlands Extension</t>
  </si>
  <si>
    <t>Woodlands</t>
  </si>
  <si>
    <t>Villa Elizabetha</t>
  </si>
  <si>
    <t>Town/Kabelenga</t>
  </si>
  <si>
    <t>Thorn Park</t>
  </si>
  <si>
    <t>State House</t>
  </si>
  <si>
    <t>Sikanze</t>
  </si>
  <si>
    <t>Shakespear</t>
  </si>
  <si>
    <t>Rhodes Park</t>
  </si>
  <si>
    <t>Prospect Hill</t>
  </si>
  <si>
    <t>Nyumba Yanga</t>
  </si>
  <si>
    <t>Northmead</t>
  </si>
  <si>
    <t>New Woodlands Extension</t>
  </si>
  <si>
    <t>New Kabwata</t>
  </si>
  <si>
    <t>New Chilenje</t>
  </si>
  <si>
    <t>Misisi</t>
  </si>
  <si>
    <t>Marrapodi</t>
  </si>
  <si>
    <t>Luburma</t>
  </si>
  <si>
    <t>Libala South</t>
  </si>
  <si>
    <t>Kabwata Estates</t>
  </si>
  <si>
    <t>Jack Compound</t>
  </si>
  <si>
    <t>Industries</t>
  </si>
  <si>
    <t>Government</t>
  </si>
  <si>
    <t>Garden</t>
  </si>
  <si>
    <t>Farm 1080</t>
  </si>
  <si>
    <t>Farm 917</t>
  </si>
  <si>
    <t>Fairview</t>
  </si>
  <si>
    <t>Emmasdale/Bank House</t>
  </si>
  <si>
    <t>Emmasdale</t>
  </si>
  <si>
    <t>Chilenje South</t>
  </si>
  <si>
    <t>Chibata</t>
  </si>
  <si>
    <t>Chandamali</t>
  </si>
  <si>
    <t>Name</t>
  </si>
  <si>
    <t>Number</t>
  </si>
  <si>
    <t>Frac. of DMA incl. in catchment (nearest 5%)</t>
  </si>
  <si>
    <t>Frac. of ward incl. in catchment (nearest 5%)</t>
  </si>
  <si>
    <t>Ward</t>
  </si>
  <si>
    <t>Bombay project</t>
  </si>
  <si>
    <t>Part of Lumumba area</t>
  </si>
  <si>
    <t>Part of Kafue district</t>
  </si>
  <si>
    <t>New Kamwala</t>
  </si>
  <si>
    <t>John Laing</t>
  </si>
  <si>
    <t>John Howard</t>
  </si>
  <si>
    <t>Chibolya</t>
  </si>
  <si>
    <t>Chawama/Kuomboka</t>
  </si>
  <si>
    <t>Kanyama project</t>
  </si>
  <si>
    <t>Extent of drainage project catchment</t>
  </si>
  <si>
    <t>Expected avoided loss in value added</t>
  </si>
  <si>
    <t>Chilulu</t>
  </si>
  <si>
    <t>Garden West</t>
  </si>
  <si>
    <t>Katima Mulilo Road</t>
  </si>
  <si>
    <t>Bombay project - Total</t>
  </si>
  <si>
    <t>Chawama N., Central &amp; Kamwala S. 2</t>
  </si>
  <si>
    <t>Misisi &amp; Kamwala S. 1</t>
  </si>
  <si>
    <t>Kanyama project - Total</t>
  </si>
  <si>
    <t>Expected avoided property damage</t>
  </si>
  <si>
    <t># of people</t>
  </si>
  <si>
    <t xml:space="preserve">Bombay CAGR = </t>
  </si>
  <si>
    <t xml:space="preserve">Kanyama CAGR = </t>
  </si>
  <si>
    <t># of HH</t>
  </si>
  <si>
    <r>
      <t xml:space="preserve">Numbers of </t>
    </r>
    <r>
      <rPr>
        <b/>
        <sz val="11"/>
        <color theme="1"/>
        <rFont val="Calibri"/>
        <family val="2"/>
        <scheme val="minor"/>
      </rPr>
      <t>resident beneficiaries, trended</t>
    </r>
  </si>
  <si>
    <t>Benefits detail by year</t>
  </si>
  <si>
    <t>2013-32</t>
  </si>
  <si>
    <t>Expected avoided loss in value added (if project were already implemented)</t>
  </si>
  <si>
    <t>MCC assumption</t>
  </si>
  <si>
    <t>number</t>
  </si>
  <si>
    <t>Bombay areas other than Kabwata</t>
  </si>
  <si>
    <t>(Weighted average)</t>
  </si>
  <si>
    <t>Relative concentration of value added</t>
  </si>
  <si>
    <t>Total value added, population of firms in Lusaka</t>
  </si>
  <si>
    <t>2006 ZMK/y</t>
  </si>
  <si>
    <t>Flood areas as fraction of Lusaka area</t>
  </si>
  <si>
    <r>
      <t>m</t>
    </r>
    <r>
      <rPr>
        <vertAlign val="superscript"/>
        <sz val="11"/>
        <color theme="1"/>
        <rFont val="Calibri"/>
        <family val="2"/>
        <scheme val="minor"/>
      </rPr>
      <t>2</t>
    </r>
  </si>
  <si>
    <t>Area of Lusaka city (all wards)</t>
  </si>
  <si>
    <t>MCC assumption - Accounts for displacement of activity over space and time</t>
  </si>
  <si>
    <t>Share of business activity actually lost rather than displaced</t>
  </si>
  <si>
    <t>Avoided loss in value added</t>
  </si>
  <si>
    <t>MCC assumption (valuation methodology is unknown, and hence relationship to market values is unclear)</t>
  </si>
  <si>
    <t>Income benefit as a fraction of property valuation</t>
  </si>
  <si>
    <t>(Fraction of houses completely damaged in a 5 y flood)
/(Fraction of houses completely damaged in a 20 y flood)</t>
  </si>
  <si>
    <t>(Fraction of houses completely damaged in a &lt; 5 y flood)
/(Fraction of houses completely damaged in a 20 y flood)</t>
  </si>
  <si>
    <t>(Fraction of houses partly damaged in a 5 y flood)
/(Fraction of houses partly damaged in a 20 y flood)</t>
  </si>
  <si>
    <t>(Fraction of houses partly damaged in a &lt; 5 y flood)
/(Fraction of houses partly damaged in a 20 y flood)</t>
  </si>
  <si>
    <t>Extent of flood damage relative to 20 y flood</t>
  </si>
  <si>
    <t>Completely damaged</t>
  </si>
  <si>
    <t>Partly damaged</t>
  </si>
  <si>
    <t>Fraction of property value lost as a function of damage level</t>
  </si>
  <si>
    <t>Property damage</t>
  </si>
  <si>
    <t>MCC assumption (relatively small since easier to avoid flooding when not in vehicle)</t>
  </si>
  <si>
    <t>Non-motorized travel time saved as % of motorized travel time</t>
  </si>
  <si>
    <t>d</t>
  </si>
  <si>
    <t>Commuting days per week</t>
  </si>
  <si>
    <t>Travel time</t>
  </si>
  <si>
    <t>Number of active wage earners per HH</t>
  </si>
  <si>
    <t>Fraction of labor force participants who are active wage earners</t>
  </si>
  <si>
    <t>Labor force participation rate for those aged 15+</t>
  </si>
  <si>
    <t xml:space="preserve">Fraction of people in the population aged 15+ </t>
  </si>
  <si>
    <t>Average household size</t>
  </si>
  <si>
    <t xml:space="preserve">Average annual wage for a high-wage earner in Lusaka </t>
  </si>
  <si>
    <t>MCC estimate based on ILO (2010)</t>
  </si>
  <si>
    <t>Ratio of wage earned by high wage earners to urban wage for a Lusaka PUA resident</t>
  </si>
  <si>
    <t>Annual wage-based opportunity cost for a Lusaka PUA resident, 2011</t>
  </si>
  <si>
    <t>MCC estimate based on World Bank (2006:67)</t>
  </si>
  <si>
    <t>Opportunity cost as a fraction of urban wage for a Lusaka PUA resident</t>
  </si>
  <si>
    <t>Labor market</t>
  </si>
  <si>
    <t>Even with population and income growth, this is such a low base of drowning victims (not yet the WP-WOP increment) that a benefit for avoided drowning will be negligible</t>
  </si>
  <si>
    <t>MCC estimate; assume proportional to # beneficiaries as fraction of population, plus 25% since targeting the worst-affected areas</t>
  </si>
  <si>
    <t>Number of these in project areas, 2010</t>
  </si>
  <si>
    <t>Somewhat higher figure in LUSAKA FLOODS REPORT_MARCH_2010.doc</t>
  </si>
  <si>
    <t>CH2MHILL (2011c:xxi).  Assume that this figure applies to every flood year and grow in proportion to beneficiary population</t>
  </si>
  <si>
    <t>Number of people who died due to flooding or drowning in flood year 2009-10</t>
  </si>
  <si>
    <t>Health</t>
  </si>
  <si>
    <t>CIA World Factbook (2009), updated to 2011</t>
  </si>
  <si>
    <t>Lusaka city population</t>
  </si>
  <si>
    <t>Lusaka District population, 2010</t>
  </si>
  <si>
    <t>Household size</t>
  </si>
  <si>
    <t>(There is no comparable discount for Bombay project beneficiaries)</t>
  </si>
  <si>
    <t>Applies to half of John Laing, Misisi, Kamwala S. 1 &amp; 2, Chawama N., and Central</t>
  </si>
  <si>
    <t>Assumes "No quarry pumping, no main, secondary drains"</t>
  </si>
  <si>
    <t>Resident beneficiaries, as a function of project scope</t>
  </si>
  <si>
    <t>General</t>
  </si>
  <si>
    <t>Values</t>
  </si>
  <si>
    <t>Unit</t>
  </si>
  <si>
    <t>PARAMETERS</t>
  </si>
  <si>
    <t>NA</t>
  </si>
  <si>
    <t>(Not needed for Kanyama)</t>
  </si>
  <si>
    <t>Flooded area</t>
  </si>
  <si>
    <t>Other statistics</t>
  </si>
  <si>
    <t>Fraction of livelihoods (income) affected during flood</t>
  </si>
  <si>
    <t>Avoided disruption to business activity</t>
  </si>
  <si>
    <t>Fraction of houses completely damaged</t>
  </si>
  <si>
    <t>Fraction of houses partly damaged</t>
  </si>
  <si>
    <t>Extent of damage for 20 y flood</t>
  </si>
  <si>
    <r>
      <t xml:space="preserve">Use median values only for "Residential" use in populating the drainage project impact matrix, since it is for </t>
    </r>
    <r>
      <rPr>
        <b/>
        <i/>
        <sz val="11"/>
        <color theme="1"/>
        <rFont val="Calibri"/>
        <family val="2"/>
        <scheme val="minor"/>
      </rPr>
      <t>households</t>
    </r>
    <r>
      <rPr>
        <i/>
        <sz val="11"/>
        <color theme="1"/>
        <rFont val="Calibri"/>
        <family val="2"/>
        <scheme val="minor"/>
      </rPr>
      <t xml:space="preserve"> that we have specific beneficiary information</t>
    </r>
  </si>
  <si>
    <t>Residential</t>
  </si>
  <si>
    <t>Institutional</t>
  </si>
  <si>
    <t>Industrial</t>
  </si>
  <si>
    <t>Commercial</t>
  </si>
  <si>
    <t>Agricultural</t>
  </si>
  <si>
    <t>Area-weighted median property improvement values by type of use</t>
  </si>
  <si>
    <t>Median property improvement values for this area by type of use</t>
  </si>
  <si>
    <t>Kamwala/Kabwata/Libala</t>
  </si>
  <si>
    <t>Valuation area</t>
  </si>
  <si>
    <t>Valuation area code</t>
  </si>
  <si>
    <t>Estimated fractions of priority area covered by each Valuation area</t>
  </si>
  <si>
    <t>Chilenje South /New Areas</t>
  </si>
  <si>
    <t>Kuomboka /Chawama</t>
  </si>
  <si>
    <t>Heavy Industrial</t>
  </si>
  <si>
    <r>
      <t xml:space="preserve">TOTAL </t>
    </r>
    <r>
      <rPr>
        <i/>
        <sz val="11"/>
        <color theme="1"/>
        <rFont val="Calibri"/>
        <family val="2"/>
        <scheme val="minor"/>
      </rPr>
      <t>without</t>
    </r>
    <r>
      <rPr>
        <sz val="11"/>
        <color theme="1"/>
        <rFont val="Calibri"/>
        <family val="2"/>
        <scheme val="minor"/>
      </rPr>
      <t xml:space="preserve"> Kabwata</t>
    </r>
  </si>
  <si>
    <t>Total non-resident beneficiaries:</t>
  </si>
  <si>
    <t>Weighted average</t>
  </si>
  <si>
    <t>Skilled</t>
  </si>
  <si>
    <t>Unskilled</t>
  </si>
  <si>
    <t>Benefits/worker, by class</t>
  </si>
  <si>
    <t>Number of workers</t>
  </si>
  <si>
    <t>See wks "BA data."  A summary follows:</t>
  </si>
  <si>
    <t>Local labor</t>
  </si>
  <si>
    <t>business owners.</t>
  </si>
  <si>
    <t xml:space="preserve">owners per business, making a total of </t>
  </si>
  <si>
    <t xml:space="preserve">average of </t>
  </si>
  <si>
    <t xml:space="preserve">Assume that these are mostly sole proprietorships, and assume an </t>
  </si>
  <si>
    <t>businesses.</t>
  </si>
  <si>
    <t>residents.  This makes</t>
  </si>
  <si>
    <t xml:space="preserve">Assume that Bombay has one business for every </t>
  </si>
  <si>
    <t>people (2032)</t>
  </si>
  <si>
    <t xml:space="preserve">See separate file.  Estimate: </t>
  </si>
  <si>
    <t>Only local labor for Kanyama</t>
  </si>
  <si>
    <t>Non-resident beneficiaries (2032)</t>
  </si>
  <si>
    <t>Average per capita income by area</t>
  </si>
  <si>
    <t>Rate of population growth (residents), 2010-2030</t>
  </si>
  <si>
    <t>Numbers of resident beneficiaries, 2030</t>
  </si>
  <si>
    <t>Numbers of resident beneficiaries, 2010-11</t>
  </si>
  <si>
    <t>Numbers of resident beneficiary households (HH), 2030</t>
  </si>
  <si>
    <t>Numbers of resident beneficiary households (HH), 2010-11</t>
  </si>
  <si>
    <t>Gauff Ingenieure (2011c:2-53, 2-54), Tables 2-13, 2-14.</t>
  </si>
  <si>
    <t>Resident beneficiaries (2032)</t>
  </si>
  <si>
    <t>Estimated fractions of priority area covered by each DMA</t>
  </si>
  <si>
    <t>Chawama / Kuomboka</t>
  </si>
  <si>
    <t>Constituent DMAs and their relation to Priority Areas</t>
  </si>
  <si>
    <t>Population Density</t>
  </si>
  <si>
    <t>Approximate flood area</t>
  </si>
  <si>
    <t xml:space="preserve">             Priority Areas
      Unit</t>
  </si>
  <si>
    <t>Project priority areas - Beneficiaries and other characteristics</t>
  </si>
  <si>
    <t>Non-residents</t>
  </si>
  <si>
    <t>Non-residents, in the case of Bombay</t>
  </si>
  <si>
    <t>Residents</t>
  </si>
  <si>
    <t>Varies over time</t>
  </si>
  <si>
    <t>Avoided fraction of property value lost per HH, by flood scenario</t>
  </si>
  <si>
    <t>See wks "Travel time analysis v2.xlsx."</t>
  </si>
  <si>
    <t>See wks "Health--Tot" and "Health--Stunting," and ancillary file, "ERR.Daly Calculations.xlsm."</t>
  </si>
  <si>
    <t>Duration (fraction of year flooded, by scenario)</t>
  </si>
  <si>
    <t>Probability</t>
  </si>
  <si>
    <t>20 y 
Flood</t>
  </si>
  <si>
    <t>5 y 
Flood</t>
  </si>
  <si>
    <t>&lt;5 y 
Flood</t>
  </si>
  <si>
    <t>No flood</t>
  </si>
  <si>
    <t>Impact variable</t>
  </si>
  <si>
    <t>Impact pathway</t>
  </si>
  <si>
    <t>Impact WP vs. WOP, by flood scenario</t>
  </si>
  <si>
    <t>See wks "Local labor."</t>
  </si>
  <si>
    <t>Residents, in the case of Kanyama project.  Assume share of annual income lost is proportional to duration of flood (via a proportionality factor - see parameters)</t>
  </si>
  <si>
    <t>Fraction of annual  income loss avoided for affected workers</t>
  </si>
  <si>
    <t>Weeks flooded based on Gauff Ingenieure (2011c:2-3)</t>
  </si>
  <si>
    <t>Break down by beneficiaries?</t>
  </si>
  <si>
    <t>Expected annual impact</t>
  </si>
  <si>
    <t>No. of beneficiaries</t>
  </si>
  <si>
    <t>Drainage project impact matrix</t>
  </si>
  <si>
    <t>ERR CALCULATIONS (Benefits phasing not applied from this line &amp; below)</t>
  </si>
  <si>
    <t>DRAINAGE NET BENEFIT</t>
  </si>
  <si>
    <t>DRAINAGE COST</t>
  </si>
  <si>
    <t>2011 US$ (million)</t>
  </si>
  <si>
    <t>Expected savings in travel time (Bombay only)</t>
  </si>
  <si>
    <t>Expected health benefits</t>
  </si>
  <si>
    <t>Total Income Gain from Improved Drainage</t>
  </si>
  <si>
    <t>(US$ 000,000)</t>
  </si>
  <si>
    <t xml:space="preserve">DRAINAGE ERR = </t>
  </si>
  <si>
    <t>Switchboard - Drainage activities</t>
  </si>
  <si>
    <t>Benefits of Improved Drainage</t>
  </si>
  <si>
    <t>Manchinchi</t>
  </si>
  <si>
    <t>Sewershed expansions &amp; upgrades (S)</t>
  </si>
  <si>
    <t>Ls2 (Central - W)</t>
  </si>
  <si>
    <t>Ls6 (Lumumba - W)</t>
  </si>
  <si>
    <t>Chelston &amp; Kaunda Sq. (S)</t>
  </si>
  <si>
    <t>Ls3 (Chelston - W)</t>
  </si>
  <si>
    <t>Core water network (Lp1, Lp6, Ls1 - NRW)</t>
  </si>
  <si>
    <t>Level of non-revenue water reduction achieved by Compact Y5</t>
  </si>
  <si>
    <t>"1" = Include / "0" = Exclude in costs (Base case = "0")</t>
  </si>
  <si>
    <t>Drainage Master Plan</t>
  </si>
  <si>
    <t>Value of non-revenue water reduction</t>
  </si>
  <si>
    <t>Innovation Fund</t>
  </si>
  <si>
    <t>Round-trip travel time to water source</t>
  </si>
  <si>
    <t>Switchboard - Other activities</t>
  </si>
  <si>
    <t>Time lost per vehicle affected by flooding event in Bombay Drain catchment</t>
  </si>
  <si>
    <t>Percentage of infectious diarrheal disease cases that result in stunting</t>
  </si>
  <si>
    <t>Impact of drainage investments on malaria incidence</t>
  </si>
  <si>
    <t>Delta</t>
  </si>
  <si>
    <t>Overall NPV</t>
  </si>
  <si>
    <t>Impact of water supply investments on diarrheal disease incidence for people 0-14 years of age</t>
  </si>
  <si>
    <t>Average hourly urban wage in the peri-urban areas</t>
  </si>
  <si>
    <t>If "Sewershed expansions &amp; upgrades" selected, enter "1" for one or more of the following:</t>
  </si>
  <si>
    <t>Sensitivity analysis monitor (to ensure parameters are at Base Case values)</t>
  </si>
  <si>
    <t>Component NPV</t>
  </si>
  <si>
    <t>(Opt. 1 = smaller Chunga Matero; Opt. 3 = larger Chunga Matero)</t>
  </si>
  <si>
    <t>(1 = Yes; 0 = No)</t>
  </si>
  <si>
    <t>Smaller Chunga Matero option?</t>
  </si>
  <si>
    <t>Chunga/Matero (S)</t>
  </si>
  <si>
    <t>Assumed cost savings fraction</t>
  </si>
  <si>
    <t>Option of 4 Jan</t>
  </si>
  <si>
    <t>Option 1</t>
  </si>
  <si>
    <t>Switchboard - Water &amp; Sanitation activities (W = Water; S = Sanitation; NRW = Non-revenue water)</t>
  </si>
  <si>
    <t>Estimated Net Benefits</t>
  </si>
  <si>
    <t>Real Project Costs</t>
  </si>
  <si>
    <t>Projected Income Benefits</t>
  </si>
  <si>
    <t>(US$ million)</t>
  </si>
  <si>
    <t>Present Value</t>
  </si>
  <si>
    <t>ERR =</t>
  </si>
  <si>
    <t>`</t>
  </si>
  <si>
    <t>Assumption, for conservatism</t>
  </si>
  <si>
    <t>Assumes 24 working days per month (5.5-day weeks) and 8h/working day</t>
  </si>
  <si>
    <t>Inflation factors based on Zambian CPI</t>
  </si>
  <si>
    <t>(Use to bring past data up to 2011 figures)</t>
  </si>
  <si>
    <t>CPI</t>
  </si>
  <si>
    <t>% change in CPI</t>
  </si>
  <si>
    <t>Growth in GDPpc</t>
  </si>
  <si>
    <t>Index for GDPpc</t>
  </si>
  <si>
    <t>rGDP (constant ZMK)</t>
  </si>
  <si>
    <t>YOY Growth in rGDP</t>
  </si>
  <si>
    <t>Population</t>
  </si>
  <si>
    <t>CAGR, 2000-09:</t>
  </si>
  <si>
    <t>Through 2009: Zambia WDI 2011.xlsx 2010-2031 (forecast): Computed from col at right</t>
  </si>
  <si>
    <t>Through 2009: Computed from Zambia WDI 2011.xlsx (col at left) 2010-2012 (forecasts): IMF.Article IV Consultation.Jan 2010.pdf, p. 23 (Tab. 1). 2013-2031: Assumed equal to 2012 forecast.</t>
  </si>
  <si>
    <t>Index for GDPpc (2005=100)</t>
  </si>
  <si>
    <t>YOY Growth in rGDP (Zambia WDI 2011.xlsx)</t>
  </si>
  <si>
    <t>Take half of # children 0-4, trended by pop growth</t>
  </si>
  <si>
    <t>These are children 0-2 years old</t>
  </si>
  <si>
    <t xml:space="preserve">Growth in density rather than on the extensive margin is  likely to be the overwhelming effect, since these growth rates were projected based on the historical record specifically for the Lusaka PUAs. </t>
  </si>
  <si>
    <t>Discount rate for DALY computations =</t>
  </si>
  <si>
    <t>See http://www.sacmeq.org/education-zambia.htm, Zambia WDI 2011.xlsx</t>
  </si>
  <si>
    <t>Assumed</t>
  </si>
  <si>
    <t>Assumed 40% of enrolled students complete.</t>
  </si>
  <si>
    <t>assumed</t>
  </si>
  <si>
    <t>Kalikiliki</t>
  </si>
  <si>
    <t>N´gombe</t>
  </si>
  <si>
    <t>Kamanga</t>
  </si>
  <si>
    <t>Kabanana</t>
  </si>
  <si>
    <t>Jahn Laing</t>
  </si>
  <si>
    <t>Jack compound</t>
  </si>
  <si>
    <t>Chunga</t>
  </si>
  <si>
    <t>Chainama/Munali</t>
  </si>
  <si>
    <t>Compact years 0-5</t>
  </si>
  <si>
    <t>Expected Avoided Loss in Value Added (drainage)</t>
  </si>
  <si>
    <t>Expected Avoided Property Damage Benefits (drainage)</t>
  </si>
  <si>
    <t>5)</t>
  </si>
  <si>
    <t>4)</t>
  </si>
  <si>
    <t>TOTAL NRW Related Income Benefits</t>
  </si>
  <si>
    <t>3)</t>
  </si>
  <si>
    <t>TOTAL Time Savings Related Income Benefits, Compact years 0-5</t>
  </si>
  <si>
    <t>Time savings benefits, Drainage</t>
  </si>
  <si>
    <t>Time savings benefits, Water Rehab+Exp</t>
  </si>
  <si>
    <t>TOTAL Time Savings Related Income Benefits</t>
  </si>
  <si>
    <t>2)</t>
  </si>
  <si>
    <t>Health benefits, Drainage</t>
  </si>
  <si>
    <t>Health benefits, Sanitation Rehab+Exp</t>
  </si>
  <si>
    <t>Health benefits, Water Rehab+Exp</t>
  </si>
  <si>
    <t>TOTAL Health Related Income Benefits</t>
  </si>
  <si>
    <t>1)</t>
  </si>
  <si>
    <t>Benefits by Benefit Stream</t>
  </si>
  <si>
    <t>Total benefits</t>
  </si>
  <si>
    <t>Calendar Year</t>
  </si>
  <si>
    <t xml:space="preserve">Compact Implementation </t>
  </si>
  <si>
    <t>PV of Benefits</t>
  </si>
  <si>
    <t>Projected Income Benefits Overview</t>
  </si>
  <si>
    <t>Old number:</t>
  </si>
  <si>
    <t>HH</t>
  </si>
  <si>
    <t>c</t>
  </si>
  <si>
    <t>a</t>
  </si>
  <si>
    <t>Expansion, of which</t>
  </si>
  <si>
    <t>e</t>
  </si>
  <si>
    <t>b</t>
  </si>
  <si>
    <t>Rehabilitation, of which</t>
  </si>
  <si>
    <t>Total no. of beneficiary HH by specific types of intervention, of which</t>
  </si>
  <si>
    <t>Opportunity cost per hour spent gathering water, trended at growth in real GDP per capita</t>
  </si>
  <si>
    <t>Annual rate of growth of beneficiary group</t>
  </si>
  <si>
    <t xml:space="preserve">Year </t>
  </si>
  <si>
    <t>Source: FS consultants</t>
  </si>
  <si>
    <t>people/HH</t>
  </si>
  <si>
    <t>Average HH size</t>
  </si>
  <si>
    <r>
      <t>(m</t>
    </r>
    <r>
      <rPr>
        <vertAlign val="superscript"/>
        <sz val="11"/>
        <color theme="1"/>
        <rFont val="Calibri"/>
        <family val="2"/>
        <scheme val="minor"/>
      </rPr>
      <t>3</t>
    </r>
    <r>
      <rPr>
        <sz val="11"/>
        <color theme="1"/>
        <rFont val="Calibri"/>
        <family val="2"/>
        <scheme val="minor"/>
      </rPr>
      <t>/y)</t>
    </r>
  </si>
  <si>
    <t>(l/person/day)</t>
  </si>
  <si>
    <t>(# people)</t>
  </si>
  <si>
    <t>Ls2</t>
  </si>
  <si>
    <t>Ls6</t>
  </si>
  <si>
    <t>Ls3</t>
  </si>
  <si>
    <t>NRW</t>
  </si>
  <si>
    <t>consumption</t>
  </si>
  <si>
    <t>beneficiaries</t>
  </si>
  <si>
    <t>Core</t>
  </si>
  <si>
    <t>Beneficiaries (people), 2010</t>
  </si>
  <si>
    <t>Incremental</t>
  </si>
  <si>
    <t>Given projects selected in "Switchboard" on wks "Benefit attribution," numbers of beneficiaries by type of intervention are as follows:</t>
  </si>
  <si>
    <r>
      <t xml:space="preserve">- have their water supply system </t>
    </r>
    <r>
      <rPr>
        <i/>
        <sz val="11"/>
        <color theme="1"/>
        <rFont val="Calibri"/>
        <family val="2"/>
        <scheme val="minor"/>
      </rPr>
      <t>rehabilitated</t>
    </r>
    <r>
      <rPr>
        <sz val="11"/>
        <color theme="1"/>
        <rFont val="Calibri"/>
        <family val="2"/>
        <scheme val="minor"/>
      </rPr>
      <t xml:space="preserve"> (holding level of service constant).</t>
    </r>
  </si>
  <si>
    <r>
      <t xml:space="preserve">- have their </t>
    </r>
    <r>
      <rPr>
        <i/>
        <sz val="11"/>
        <color theme="1"/>
        <rFont val="Calibri"/>
        <family val="2"/>
        <scheme val="minor"/>
      </rPr>
      <t>level of service improved</t>
    </r>
    <r>
      <rPr>
        <sz val="11"/>
        <color theme="1"/>
        <rFont val="Calibri"/>
        <family val="2"/>
        <scheme val="minor"/>
      </rPr>
      <t>, or</t>
    </r>
  </si>
  <si>
    <t>The "flows" a - e above denote numbers of people who either</t>
  </si>
  <si>
    <t>K</t>
  </si>
  <si>
    <t>N</t>
  </si>
  <si>
    <t>WOP</t>
  </si>
  <si>
    <t>Sum</t>
  </si>
  <si>
    <t>"Transition probabilities"</t>
  </si>
  <si>
    <t>Sum =</t>
  </si>
  <si>
    <t>Household connections</t>
  </si>
  <si>
    <t>e =</t>
  </si>
  <si>
    <t>d =</t>
  </si>
  <si>
    <t>c =</t>
  </si>
  <si>
    <t>Kiosk connections</t>
  </si>
  <si>
    <t>No service</t>
  </si>
  <si>
    <t>Expansion Interventions</t>
  </si>
  <si>
    <t>Rehabilitation Interventions</t>
  </si>
  <si>
    <t>All Interventions</t>
  </si>
  <si>
    <t xml:space="preserve">Key:     </t>
  </si>
  <si>
    <t>For Ls2:</t>
  </si>
  <si>
    <t>For each subproject, consider impact on people's level of service:</t>
  </si>
  <si>
    <t>For Ls6:</t>
  </si>
  <si>
    <t>For Ls3:</t>
  </si>
  <si>
    <t>For NRW (base NRW analysis on Ls3 below):</t>
  </si>
  <si>
    <t>Assumed for "Household connection (WP)"</t>
  </si>
  <si>
    <t>h/HH/y</t>
  </si>
  <si>
    <t>Average time spent fetching water/HH/y, WP</t>
  </si>
  <si>
    <t>Assumed for "Household connection (WOP)"</t>
  </si>
  <si>
    <t>Average time spent fetching water/HH/y, WOP</t>
  </si>
  <si>
    <t>Assumed for "Kiosk connection (WOP)"</t>
  </si>
  <si>
    <t>Interpolations/estimations from above</t>
  </si>
  <si>
    <t>Assume that this corresponds to "Kiosk connection (WP)"</t>
  </si>
  <si>
    <t>Assume that this corresponds to "No service (WOP)"</t>
  </si>
  <si>
    <t>World Bank (2006:69, Table 8)</t>
  </si>
  <si>
    <t>min</t>
  </si>
  <si>
    <t>Average time to fill a 20-liter container</t>
  </si>
  <si>
    <t>World Bank (2006:69)</t>
  </si>
  <si>
    <t>Average round trip travel time to water source, WP</t>
  </si>
  <si>
    <t>Average round trip travel time to water source, WOP</t>
  </si>
  <si>
    <t>containers/person</t>
  </si>
  <si>
    <t>Number of 20-liter containers carried per person for a HH</t>
  </si>
  <si>
    <t>containers/HH/d</t>
  </si>
  <si>
    <t>Average number of 20-liter containers fetched/HH/d</t>
  </si>
  <si>
    <t>Opportunity cost per hour spent gathering water</t>
  </si>
  <si>
    <t>Value</t>
  </si>
  <si>
    <t>Parameter</t>
  </si>
  <si>
    <t>Total With Project Value of Time Spent Gathering Water</t>
  </si>
  <si>
    <t>Hourly Value of Time</t>
  </si>
  <si>
    <t>h (million)</t>
  </si>
  <si>
    <t>Total Number of Hours Spent Gathering Water</t>
  </si>
  <si>
    <t>Total Without Project Value of Time Spent Gathering Water</t>
  </si>
  <si>
    <t>Hourly Value of Time (2011 US$/h)</t>
  </si>
  <si>
    <t>ERR CALCULATIONS ((Benefits phasing not applied from this line &amp; below)</t>
  </si>
  <si>
    <t>Total Income Gain from Time Savings</t>
  </si>
  <si>
    <t>NPV</t>
  </si>
  <si>
    <t>(See lines 83ff for key to letter codes (a-e) for interventions)</t>
  </si>
  <si>
    <t>Time Savings Benefits (related to water supply)</t>
  </si>
  <si>
    <r>
      <t>2011 US$/m</t>
    </r>
    <r>
      <rPr>
        <vertAlign val="superscript"/>
        <sz val="11"/>
        <color theme="1"/>
        <rFont val="Calibri"/>
        <family val="2"/>
        <scheme val="minor"/>
      </rPr>
      <t>3</t>
    </r>
  </si>
  <si>
    <t>Price as invoiced, weighted average</t>
  </si>
  <si>
    <t>Price as invoiced, domestic unmetered consumption (kiosks)</t>
  </si>
  <si>
    <t>Price as invoiced, domestic metered consumption (HH connections)</t>
  </si>
  <si>
    <r>
      <t>2009 ZMK/m</t>
    </r>
    <r>
      <rPr>
        <vertAlign val="superscript"/>
        <sz val="11"/>
        <color theme="1"/>
        <rFont val="Calibri"/>
        <family val="2"/>
        <scheme val="minor"/>
      </rPr>
      <t>3</t>
    </r>
  </si>
  <si>
    <t>Average variable cost of water production</t>
  </si>
  <si>
    <t>Total served with kiosk connections, WP</t>
  </si>
  <si>
    <t>Total served with household connections, WP</t>
  </si>
  <si>
    <t>Fraction of NRW expected to be non-physical losses</t>
  </si>
  <si>
    <t>Parameters</t>
  </si>
  <si>
    <t>m3/y</t>
  </si>
  <si>
    <t>Incremental water consumption accounted for in time and health benefits</t>
  </si>
  <si>
    <t>Total Available for supply to customers (accounting for total losses)</t>
  </si>
  <si>
    <t>Total Available for supply to customers (accounting for physical losses)</t>
  </si>
  <si>
    <t>Non-physical losses (e.g., non-payment, theft)</t>
  </si>
  <si>
    <t>Physical losses</t>
  </si>
  <si>
    <t>Total losses in Distribution System, of which</t>
  </si>
  <si>
    <t>Total Into Distribution System</t>
  </si>
  <si>
    <t>Savings to Utility from Reduction in Non-revenue Water Losses</t>
  </si>
  <si>
    <t>ERR CALCULATIONS</t>
  </si>
  <si>
    <t>Total Income Gain from NRW loss reduction</t>
  </si>
  <si>
    <t>Non-Revenue Water (NRW) Benefits</t>
  </si>
  <si>
    <t>4) + 5), Compact years 0-20</t>
  </si>
  <si>
    <t>4) + 5), Compact years 0-5</t>
  </si>
  <si>
    <t>TOTAL costs</t>
  </si>
  <si>
    <t>Drainage costs</t>
  </si>
  <si>
    <t>Subprojects - Total</t>
  </si>
  <si>
    <t>PV(Total costs)</t>
  </si>
  <si>
    <t>Zambian minimum wage (2012 kwacha/month):</t>
  </si>
  <si>
    <t>2012 US$/h</t>
  </si>
  <si>
    <t>Unemployment rate for women, Urban Lusaka (2008 Labor Survey)</t>
  </si>
  <si>
    <t>Alternate measures:</t>
  </si>
  <si>
    <t>Old:</t>
  </si>
  <si>
    <t>Wage*(Difference between average and female unemployment)</t>
  </si>
  <si>
    <t>Time Savings</t>
  </si>
  <si>
    <t>Non-revenue Water</t>
  </si>
  <si>
    <t>Avoided Property Damage</t>
  </si>
  <si>
    <t>Avoided Loss in Value Added</t>
  </si>
  <si>
    <t>$/day, assuming one wage earner/hh and 6 household members:</t>
  </si>
  <si>
    <t>Min Wage:</t>
  </si>
  <si>
    <t>Articulated Truck</t>
  </si>
  <si>
    <t>Rigid Truck</t>
  </si>
  <si>
    <t>LCV</t>
  </si>
  <si>
    <t>Vehicle type</t>
  </si>
  <si>
    <t>Total opportunity cost of flooding-related delays to freight transporters (by vehicle type) (USD)</t>
  </si>
  <si>
    <t>Number of unique beneficiaries per year, 2031, during flood-affected times = number of these types beneficiaries of travel time savings due to drainage investment</t>
  </si>
  <si>
    <t>Fill rate</t>
  </si>
  <si>
    <t>Average Load (ton/vehicle)</t>
  </si>
  <si>
    <t>Number of potential unique beneficiaries per year, 2031, freight shippers and transporters</t>
  </si>
  <si>
    <r>
      <t>Opportunity cost of flooding-related delays to</t>
    </r>
    <r>
      <rPr>
        <b/>
        <sz val="11"/>
        <color theme="1"/>
        <rFont val="Calibri"/>
        <family val="2"/>
        <scheme val="minor"/>
      </rPr>
      <t xml:space="preserve"> freight transporters</t>
    </r>
    <r>
      <rPr>
        <sz val="11"/>
        <color theme="1"/>
        <rFont val="Calibri"/>
        <family val="2"/>
        <scheme val="minor"/>
      </rPr>
      <t xml:space="preserve"> per vehicle (by vehicle type) (USD)</t>
    </r>
  </si>
  <si>
    <t>Work weeks per year</t>
  </si>
  <si>
    <t xml:space="preserve">Round trips during the work week, and </t>
  </si>
  <si>
    <t xml:space="preserve">Number of times an average vehicle appears in these data, assuming </t>
  </si>
  <si>
    <t>Annual volume of freight vehicles , including those who are double-counted, 2031</t>
  </si>
  <si>
    <t>Estimate of unique beneficiaries for travel time benefit compact year 20 (2031 or so), freight shippers and transporters</t>
  </si>
  <si>
    <t>Number of freight vehicles affected by flooding-related delay (by vehicle type)</t>
  </si>
  <si>
    <t>Freight value per ton, by vehicle</t>
  </si>
  <si>
    <t>Average reduction in truck volume during floods</t>
  </si>
  <si>
    <t>Number of days of flooding</t>
  </si>
  <si>
    <t>Number of hours per day of flooding</t>
  </si>
  <si>
    <t>Real annual interest rate 
(% p.a.)</t>
  </si>
  <si>
    <t>Hours/year</t>
  </si>
  <si>
    <t>Averted time lost fraction</t>
  </si>
  <si>
    <t>Time lost per vehicle affected by flooding event (h)</t>
  </si>
  <si>
    <t>Fraction of time affected by flooding</t>
  </si>
  <si>
    <t xml:space="preserve">km </t>
  </si>
  <si>
    <t>Distance of flooded road</t>
  </si>
  <si>
    <t>km/h</t>
  </si>
  <si>
    <t>Travel speed in floods</t>
  </si>
  <si>
    <t>Travel speed without flood</t>
  </si>
  <si>
    <t>km</t>
  </si>
  <si>
    <t>Distance driven per vehicle through flood-prone areas</t>
  </si>
  <si>
    <t>USD</t>
  </si>
  <si>
    <t>Profit margin</t>
  </si>
  <si>
    <r>
      <t xml:space="preserve">Profit margin </t>
    </r>
    <r>
      <rPr>
        <sz val="11"/>
        <color theme="1"/>
        <rFont val="Symbol"/>
        <family val="1"/>
        <charset val="2"/>
      </rPr>
      <t xml:space="preserve">º </t>
    </r>
    <r>
      <rPr>
        <sz val="11"/>
        <color theme="1"/>
        <rFont val="Calibri"/>
        <family val="2"/>
        <scheme val="minor"/>
      </rPr>
      <t>(P - C)/C</t>
    </r>
  </si>
  <si>
    <t>Price of freight haulage - urban</t>
  </si>
  <si>
    <t>Urban premium on above rate</t>
  </si>
  <si>
    <t>USD/tkm</t>
  </si>
  <si>
    <t>Price of freight haulage - long haul</t>
  </si>
  <si>
    <t>rGDP growth</t>
  </si>
  <si>
    <t>Number of days of floods</t>
  </si>
  <si>
    <t>hours</t>
  </si>
  <si>
    <t>% volume reduction during flooding</t>
  </si>
  <si>
    <t>Number of hours of flood</t>
  </si>
  <si>
    <t>Construction</t>
  </si>
  <si>
    <t>Manufacturing</t>
  </si>
  <si>
    <t>Agriculture</t>
  </si>
  <si>
    <t>AT</t>
  </si>
  <si>
    <t>RT</t>
  </si>
  <si>
    <t>Cost (USD/t)</t>
  </si>
  <si>
    <t>Cargo price (USD/t)</t>
  </si>
  <si>
    <t>Opportunity cost for pedestrians imposed by flooding (2011 US$)</t>
  </si>
  <si>
    <t>Opportunity cost per pedestrian trip imposed by flooding (2011 US$)</t>
  </si>
  <si>
    <t>Number of pedestrian trips</t>
  </si>
  <si>
    <t>Time lost per pedestrian affected by flooding event</t>
  </si>
  <si>
    <t>Opportunity cost of a pedestrian's time 
(2011 US$/h)</t>
  </si>
  <si>
    <t>Ratio of pedestrians to vehicle passengers</t>
  </si>
  <si>
    <t>Estimate of pedestrian numbers by year in survey locations selected above</t>
  </si>
  <si>
    <t>Others</t>
  </si>
  <si>
    <t>Large Bus</t>
  </si>
  <si>
    <t>Medium Bus</t>
  </si>
  <si>
    <t>Minibus</t>
  </si>
  <si>
    <t>Taxi</t>
  </si>
  <si>
    <t>Car &amp; Pickup</t>
  </si>
  <si>
    <t>Hourly income of passenger by vehicle type (2011 USD)</t>
  </si>
  <si>
    <t>Annual HH income of passenger by vehicle type (2007 ZMK)</t>
  </si>
  <si>
    <t>Annual opportunity cost of wage earners as vehicle passengers (2011 USD)</t>
  </si>
  <si>
    <t>Average annual rate of wage growth for Lusaka PUAs</t>
  </si>
  <si>
    <t>Fraction of annual income lost due to flooding</t>
  </si>
  <si>
    <t>Opportunity cost as a fraction of wage</t>
  </si>
  <si>
    <t>Time lost per vehicle affected by flooding event</t>
  </si>
  <si>
    <t>Exchange rate (ZMK/USD)</t>
  </si>
  <si>
    <t>Cumulative increase in per capita income, 2007-2011</t>
  </si>
  <si>
    <t>Cumulative inflation factor, 2007-2011</t>
  </si>
  <si>
    <t>Working hours per year</t>
  </si>
  <si>
    <t>Trucks</t>
  </si>
  <si>
    <t>Passenger vehicle</t>
  </si>
  <si>
    <t>Wage earners per vehicle passenger</t>
  </si>
  <si>
    <t>Fraction of citizens who are active wage earners</t>
  </si>
  <si>
    <t>Assumptions</t>
  </si>
  <si>
    <t>Annual opportunity cost of wage earners (2011 USD)</t>
  </si>
  <si>
    <t>Number of unique travelers per year (vehicles and pedestrians), 2031, during flood-affected times = number of these types beneficiaries of travel time savings due to drainage investment</t>
  </si>
  <si>
    <t>Number of unique travelers per year (vehicles and pedestrians), 2031</t>
  </si>
  <si>
    <t>Trip on the weekend</t>
  </si>
  <si>
    <t xml:space="preserve">Number of times an average person appears in these data, assuming </t>
  </si>
  <si>
    <t>Annual volume of travelers (vehicles and pedestrians, including those who are double-counted), 2031</t>
  </si>
  <si>
    <t>Car&amp;Pickup</t>
  </si>
  <si>
    <t>Estimate of unique beneficiaries for travel time benefit compact year 20 (2031 or so), vehicle passengers and pedestrians</t>
  </si>
  <si>
    <t># people/vehicle</t>
  </si>
  <si>
    <r>
      <rPr>
        <b/>
        <i/>
        <sz val="11"/>
        <color theme="1"/>
        <rFont val="Calibri"/>
        <family val="2"/>
        <scheme val="minor"/>
      </rPr>
      <t>Annual</t>
    </r>
    <r>
      <rPr>
        <b/>
        <sz val="11"/>
        <color theme="1"/>
        <rFont val="Calibri"/>
        <family val="2"/>
        <scheme val="minor"/>
      </rPr>
      <t xml:space="preserve"> passenger volume </t>
    </r>
  </si>
  <si>
    <t>Growth rate in traffic</t>
  </si>
  <si>
    <t>Factor to account for unique vehicles counted above</t>
  </si>
  <si>
    <r>
      <rPr>
        <b/>
        <i/>
        <sz val="11"/>
        <color theme="1"/>
        <rFont val="Calibri"/>
        <family val="2"/>
        <scheme val="minor"/>
      </rPr>
      <t>Annual</t>
    </r>
    <r>
      <rPr>
        <b/>
        <sz val="11"/>
        <color theme="1"/>
        <rFont val="Calibri"/>
        <family val="2"/>
        <scheme val="minor"/>
      </rPr>
      <t xml:space="preserve"> traffic volumes across all survey locations selected above</t>
    </r>
  </si>
  <si>
    <t>Assume SL1 - SL9 are affected by flooding</t>
  </si>
  <si>
    <t>Chifund</t>
  </si>
  <si>
    <t>SL10</t>
  </si>
  <si>
    <t>Lumumba</t>
  </si>
  <si>
    <t>SL9</t>
  </si>
  <si>
    <t>SL8</t>
  </si>
  <si>
    <t>Church</t>
  </si>
  <si>
    <t>SL7</t>
  </si>
  <si>
    <t>Great East Road</t>
  </si>
  <si>
    <t>SL6</t>
  </si>
  <si>
    <t>Chishango</t>
  </si>
  <si>
    <t>SL5</t>
  </si>
  <si>
    <t>Makishi</t>
  </si>
  <si>
    <t>SL4</t>
  </si>
  <si>
    <t>Katima Mulilo</t>
  </si>
  <si>
    <t>SL3</t>
  </si>
  <si>
    <t>Sewage-Garden</t>
  </si>
  <si>
    <t>SL2</t>
  </si>
  <si>
    <t>Kasangula</t>
  </si>
  <si>
    <t>SL1</t>
  </si>
  <si>
    <t>Survey Location</t>
  </si>
  <si>
    <t>(1 = Include location;
  0 = Exclude location)</t>
  </si>
  <si>
    <t>Toggle (0 or 1)</t>
  </si>
  <si>
    <r>
      <rPr>
        <b/>
        <i/>
        <sz val="11"/>
        <color theme="1"/>
        <rFont val="Calibri"/>
        <family val="2"/>
        <scheme val="minor"/>
      </rPr>
      <t>24-hour</t>
    </r>
    <r>
      <rPr>
        <b/>
        <sz val="11"/>
        <color theme="1"/>
        <rFont val="Calibri"/>
        <family val="2"/>
        <scheme val="minor"/>
      </rPr>
      <t xml:space="preserve"> Traffic Volumes Across Screen Lines SL-1 - SL-10</t>
    </r>
  </si>
  <si>
    <t>Freight transporters</t>
  </si>
  <si>
    <t>Shippers</t>
  </si>
  <si>
    <t>Pedestrians</t>
  </si>
  <si>
    <t>Calendar</t>
  </si>
  <si>
    <t>Beneficiary type</t>
  </si>
  <si>
    <t>Compact</t>
  </si>
  <si>
    <t>Value of time lost (2011 US$ (million))</t>
  </si>
  <si>
    <t>Value of time lost due to flooding - Bombay drain investment</t>
  </si>
  <si>
    <t>Drainage costs - Bombay</t>
  </si>
  <si>
    <t>of these subprojects:</t>
  </si>
  <si>
    <t>Drainage - Bombay</t>
  </si>
  <si>
    <t>Subprojects</t>
  </si>
  <si>
    <t>beneficiaries in each</t>
  </si>
  <si>
    <t>…that overlap with</t>
  </si>
  <si>
    <t>Percent of beneficiaries in each of these subprojects…</t>
  </si>
  <si>
    <t>Beneficiary overlaps</t>
  </si>
  <si>
    <t>See various maps, as discussed.</t>
  </si>
  <si>
    <t>Breakdown of beneficiaries by ward</t>
  </si>
  <si>
    <t>Benefits Per Person</t>
  </si>
  <si>
    <t>Benefits By Category</t>
  </si>
  <si>
    <t>For Calculations, logged income * beneficiaries</t>
  </si>
  <si>
    <t>Income By Category per Year (logged)</t>
  </si>
  <si>
    <t>Income By Category per Year</t>
  </si>
  <si>
    <t>Sum, Other</t>
  </si>
  <si>
    <t>Laborers</t>
  </si>
  <si>
    <t>&gt; $4</t>
  </si>
  <si>
    <t>$2-$4</t>
  </si>
  <si>
    <t>$1.25-$2</t>
  </si>
  <si>
    <t>&lt; $1.25</t>
  </si>
  <si>
    <t>Beneficiaries</t>
  </si>
  <si>
    <t>Final Scorecard</t>
  </si>
  <si>
    <t>Central (W)</t>
  </si>
  <si>
    <t>Combined Chelston &amp; Kaunda Sq + Ls3</t>
  </si>
  <si>
    <t>Non Revenue Water</t>
  </si>
  <si>
    <t>Lusaka</t>
  </si>
  <si>
    <t>Poverty By District/Ward</t>
  </si>
  <si>
    <t>Mean Income</t>
  </si>
  <si>
    <t>% Population by Poverty Bin</t>
  </si>
  <si>
    <t>Time savings</t>
  </si>
  <si>
    <t>Avoided property damage</t>
  </si>
  <si>
    <t>Benefit streams</t>
  </si>
  <si>
    <t>Benefits per beneficiary (PV constant 2011 US$ per person)</t>
  </si>
  <si>
    <t>Benefits (PV constant 2011 US$ (million))</t>
  </si>
  <si>
    <r>
      <t xml:space="preserve">Beneficiaries (# people; not necessarily </t>
    </r>
    <r>
      <rPr>
        <b/>
        <i/>
        <sz val="11"/>
        <color theme="1"/>
        <rFont val="Calibri"/>
        <family val="2"/>
        <scheme val="minor"/>
      </rPr>
      <t xml:space="preserve">unique </t>
    </r>
    <r>
      <rPr>
        <b/>
        <sz val="11"/>
        <color theme="1"/>
        <rFont val="Calibri"/>
        <family val="2"/>
        <scheme val="minor"/>
      </rPr>
      <t>beneficiaries)</t>
    </r>
  </si>
  <si>
    <t>Aim for five Poverty Scorecards (one for each highlighted Subproject below) and one total Compact scorecard</t>
  </si>
  <si>
    <t>Beneficiary matrices by subproject</t>
  </si>
  <si>
    <t>Total # of workers (conservative, rounded)</t>
  </si>
  <si>
    <t># skilled workers  (conservative, rounded)</t>
  </si>
  <si>
    <t># unskilled workers (conservative, rounded)</t>
  </si>
  <si>
    <t>Factor for conservatism to apply to consultants' estimates</t>
  </si>
  <si>
    <t>("Ctrl+Shift+W" automates this)</t>
  </si>
  <si>
    <r>
      <rPr>
        <sz val="11"/>
        <color theme="1"/>
        <rFont val="Symbol"/>
        <family val="1"/>
        <charset val="2"/>
      </rPr>
      <t>D</t>
    </r>
    <r>
      <rPr>
        <sz val="11"/>
        <color theme="1"/>
        <rFont val="Calibri"/>
        <family val="2"/>
      </rPr>
      <t xml:space="preserve"> shaded cells above</t>
    </r>
  </si>
  <si>
    <t>--&gt;  Set this cell = 0 …</t>
  </si>
  <si>
    <t>Sum of workers' wages</t>
  </si>
  <si>
    <t>Sum of skilled workers' wages</t>
  </si>
  <si>
    <t>Sum of unskilled workers' wages</t>
  </si>
  <si>
    <t>Incremental benefits per worker to both classes of workers, Compact duration:</t>
  </si>
  <si>
    <t>Total # of workers</t>
  </si>
  <si>
    <t>Shadow wage rate</t>
  </si>
  <si>
    <t># skilled workers</t>
  </si>
  <si>
    <t># unskilled workers</t>
  </si>
  <si>
    <t xml:space="preserve"> … by changing this cell --&gt;</t>
  </si>
  <si>
    <t>Skilled/unskilled wage ratio</t>
  </si>
  <si>
    <t>d/wk</t>
  </si>
  <si>
    <t>wks/y</t>
  </si>
  <si>
    <t>Employment Duration (y)</t>
  </si>
  <si>
    <t>ZMK</t>
  </si>
  <si>
    <t>Unskilled Daily Wage</t>
  </si>
  <si>
    <t>Share skilled Laborers</t>
  </si>
  <si>
    <t>Share unskilled laborers</t>
  </si>
  <si>
    <t>Number of workers analysis</t>
  </si>
  <si>
    <t>3N</t>
  </si>
  <si>
    <t>Above 4$, assumed</t>
  </si>
  <si>
    <t>Skilled laborers</t>
  </si>
  <si>
    <t>3M</t>
  </si>
  <si>
    <t>Assumed to be between 2-4$</t>
  </si>
  <si>
    <t>Unskilled laborers</t>
  </si>
  <si>
    <t>Average amount per beneficiary for empl. duration</t>
  </si>
  <si>
    <t>Opportunity cost</t>
  </si>
  <si>
    <t>Scenario</t>
  </si>
  <si>
    <t>(cell J64)</t>
  </si>
  <si>
    <t>days/y</t>
  </si>
  <si>
    <t>Duration (d)</t>
  </si>
  <si>
    <t>Average Unskilled Employment Duration (y)</t>
  </si>
  <si>
    <t xml:space="preserve">unskilled wage / avg wage </t>
  </si>
  <si>
    <t>work h/day</t>
  </si>
  <si>
    <t>Skilled Laborers</t>
  </si>
  <si>
    <t>Assumptions:</t>
  </si>
  <si>
    <t>Current $ / 2005$ PPP</t>
  </si>
  <si>
    <t>Current USD to 2005$ PPP</t>
  </si>
  <si>
    <t xml:space="preserve">Current 2011 ZMK per int'l 2005$ PPP </t>
  </si>
  <si>
    <t>Proportional to ln(Mean income of respective income bin)</t>
  </si>
  <si>
    <t>Non-revenue water</t>
  </si>
  <si>
    <t>Proportional to mean income of respective income bin</t>
  </si>
  <si>
    <t>Water</t>
  </si>
  <si>
    <t>Health -</t>
  </si>
  <si>
    <t>Distribution rule</t>
  </si>
  <si>
    <t>Type of benefit</t>
  </si>
  <si>
    <t>Beneficiary analysis inputs</t>
  </si>
  <si>
    <t>(for labor benefits calculation)</t>
  </si>
  <si>
    <t>2012 US$/y</t>
  </si>
  <si>
    <t xml:space="preserve">These will be the focus of this analysis. </t>
  </si>
  <si>
    <t>Schistosomiasis (W, S)</t>
  </si>
  <si>
    <t>Intestinal nematodes (W, S)</t>
  </si>
  <si>
    <t>Infectious diarrhea (W, S)</t>
  </si>
  <si>
    <t>Of diseases typically in Top Ten list for Lusaka, water &amp; sanitation (W, S) interventions address three:</t>
  </si>
  <si>
    <t>Multiple</t>
  </si>
  <si>
    <t>Hygiene</t>
  </si>
  <si>
    <t>Water supply</t>
  </si>
  <si>
    <t>Impact</t>
  </si>
  <si>
    <t>Effect size</t>
  </si>
  <si>
    <t>Summary meta-analysis results</t>
  </si>
  <si>
    <r>
      <rPr>
        <u/>
        <sz val="11"/>
        <color rgb="FF000000"/>
        <rFont val="Calibri"/>
        <family val="2"/>
        <scheme val="minor"/>
      </rPr>
      <t>Water Supply</t>
    </r>
    <r>
      <rPr>
        <sz val="11"/>
        <color rgb="FF000000"/>
        <rFont val="Calibri"/>
        <family val="2"/>
        <scheme val="minor"/>
      </rPr>
      <t xml:space="preserve"> &amp; Sanitation</t>
    </r>
  </si>
  <si>
    <t>Water Supply &amp; Sanitation</t>
  </si>
  <si>
    <t>Water Supply</t>
  </si>
  <si>
    <t>Mazyopa</t>
  </si>
  <si>
    <t xml:space="preserve">SOS &amp; Tiyende Pamodzi </t>
  </si>
  <si>
    <r>
      <rPr>
        <u/>
        <sz val="11"/>
        <color rgb="FF000000"/>
        <rFont val="Calibri"/>
        <family val="2"/>
        <scheme val="minor"/>
      </rPr>
      <t xml:space="preserve">Water Supply </t>
    </r>
    <r>
      <rPr>
        <sz val="11"/>
        <color rgb="FF000000"/>
        <rFont val="Calibri"/>
        <family val="2"/>
        <scheme val="minor"/>
      </rPr>
      <t>&amp; Sanitation</t>
    </r>
  </si>
  <si>
    <t>Chunga - Madimba</t>
  </si>
  <si>
    <t>Freedom</t>
  </si>
  <si>
    <t>Linda</t>
  </si>
  <si>
    <r>
      <t xml:space="preserve">Water Supply &amp; </t>
    </r>
    <r>
      <rPr>
        <u/>
        <sz val="11"/>
        <color theme="1"/>
        <rFont val="Calibri"/>
        <family val="2"/>
        <scheme val="minor"/>
      </rPr>
      <t>Sanitation</t>
    </r>
  </si>
  <si>
    <r>
      <rPr>
        <u/>
        <sz val="11"/>
        <color theme="1"/>
        <rFont val="Calibri"/>
        <family val="2"/>
        <scheme val="minor"/>
      </rPr>
      <t xml:space="preserve">Water Supply </t>
    </r>
    <r>
      <rPr>
        <sz val="11"/>
        <color theme="1"/>
        <rFont val="Calibri"/>
        <family val="2"/>
        <scheme val="minor"/>
      </rPr>
      <t>&amp; Sanitation</t>
    </r>
  </si>
  <si>
    <r>
      <rPr>
        <u/>
        <sz val="11"/>
        <color theme="1"/>
        <rFont val="Calibri"/>
        <family val="2"/>
        <scheme val="minor"/>
      </rPr>
      <t>Water Supply</t>
    </r>
    <r>
      <rPr>
        <sz val="11"/>
        <color theme="1"/>
        <rFont val="Calibri"/>
        <family val="2"/>
        <scheme val="minor"/>
      </rPr>
      <t xml:space="preserve"> &amp; Sanitation</t>
    </r>
  </si>
  <si>
    <t>households</t>
  </si>
  <si>
    <t># hours/trip</t>
  </si>
  <si>
    <r>
      <t>$ USD/m</t>
    </r>
    <r>
      <rPr>
        <vertAlign val="superscript"/>
        <sz val="11"/>
        <color rgb="FF0066FF"/>
        <rFont val="Calibri"/>
        <family val="2"/>
        <scheme val="minor"/>
      </rPr>
      <t>3</t>
    </r>
  </si>
  <si>
    <t>x numner of liters/person/day</t>
  </si>
  <si>
    <t># liters/person/day</t>
  </si>
  <si>
    <t>% of pop</t>
  </si>
  <si>
    <t>$/m3</t>
  </si>
  <si>
    <t>%/year</t>
  </si>
  <si>
    <t># of households</t>
  </si>
  <si>
    <t>thousand USD</t>
  </si>
  <si>
    <t>year</t>
  </si>
  <si>
    <t xml:space="preserve">year  </t>
  </si>
  <si>
    <t>% of estimated benefits</t>
  </si>
  <si>
    <t># DALY/year</t>
  </si>
  <si>
    <t>thousand USD/year</t>
  </si>
  <si>
    <t>USD/day</t>
  </si>
  <si>
    <t>% per year</t>
  </si>
  <si>
    <t>thousands USD</t>
  </si>
  <si>
    <t xml:space="preserve">Source of Water
Other
</t>
  </si>
  <si>
    <t>Source of Water
Spring or stream</t>
  </si>
  <si>
    <t>Source of Water
Standpipe</t>
  </si>
  <si>
    <t>Source of Water
Truck purhcase</t>
  </si>
  <si>
    <t>Source of Water
Neighbor</t>
  </si>
  <si>
    <t>Source of Water
Piped system</t>
  </si>
  <si>
    <t>System Capacity with project</t>
  </si>
  <si>
    <t>Expected reduction in water-relate diseases</t>
  </si>
  <si>
    <t>Business response to increased water
(increase in value add)</t>
  </si>
  <si>
    <t xml:space="preserve">Average price of water for consumers </t>
  </si>
  <si>
    <t>Cost savings for technical water losses</t>
  </si>
  <si>
    <t>Technical losses as percentage of UFW</t>
  </si>
  <si>
    <t>Rate of "unaccounted for water" (UFW)</t>
  </si>
  <si>
    <t>Current water shortfall</t>
  </si>
  <si>
    <t>Initial water demand (m3/day)</t>
  </si>
  <si>
    <t>Spring or stream</t>
  </si>
  <si>
    <t>Standpipe</t>
  </si>
  <si>
    <t>Truck purchase</t>
  </si>
  <si>
    <t>Neighbor</t>
  </si>
  <si>
    <t>Piped system</t>
  </si>
  <si>
    <t>Other
(# hours/day)</t>
  </si>
  <si>
    <t>Spring or stream
(# hours/day)</t>
  </si>
  <si>
    <t>Standpipe
(# hours/day)</t>
  </si>
  <si>
    <t>Truck purchase
(# hours/day)</t>
  </si>
  <si>
    <t>Neighbor
(# hours/day)</t>
  </si>
  <si>
    <t>Piped system 
(# hours/day)</t>
  </si>
  <si>
    <t>Current system coverage (% of population)</t>
  </si>
  <si>
    <r>
      <t>Current system uage rate ($/m</t>
    </r>
    <r>
      <rPr>
        <b/>
        <vertAlign val="superscript"/>
        <sz val="11"/>
        <color rgb="FF000000"/>
        <rFont val="Calibri"/>
        <family val="2"/>
        <scheme val="minor"/>
      </rPr>
      <t>3</t>
    </r>
    <r>
      <rPr>
        <b/>
        <sz val="11"/>
        <color rgb="FF000000"/>
        <rFont val="Calibri"/>
        <family val="2"/>
        <scheme val="minor"/>
      </rPr>
      <t>)</t>
    </r>
  </si>
  <si>
    <t>Current system growth rate</t>
  </si>
  <si>
    <t>Current system capacity</t>
  </si>
  <si>
    <t>Actual costs as a % of estimated costs</t>
  </si>
  <si>
    <t>Ration of operation and maintenance costs to capital controls</t>
  </si>
  <si>
    <t>Cost of initial investment</t>
  </si>
  <si>
    <t>Year Benefits Will End or Remain Dependent on O&amp;M</t>
  </si>
  <si>
    <t>Year benefits will begin</t>
  </si>
  <si>
    <t>Total Benefits as a % of Estimated Benefits</t>
  </si>
  <si>
    <t># of Anaemia Cases in 2010</t>
  </si>
  <si>
    <t># of Suspected Cases of Tuberculosis in 2010</t>
  </si>
  <si>
    <t># of Intenstinal Worm Cases in 2010</t>
  </si>
  <si>
    <t># of Skin, Ear, Nose, and Throat Infection Cases in 2010</t>
  </si>
  <si>
    <t># of Respiratory Inflection Cases in 2010</t>
  </si>
  <si>
    <t># of Malaria Cases in 2010</t>
  </si>
  <si>
    <t># of Non-Bloody Diarrheoa Cases in 2010</t>
  </si>
  <si>
    <t># of Bloody Diarrheoa Cases in 2010</t>
  </si>
  <si>
    <t># of Cholera Cases in 2010</t>
  </si>
  <si>
    <t>Total DALYs from Water-related Diseases in impact area</t>
  </si>
  <si>
    <t>Percentage of DALYs lost due to water-bourne diseases in impact area</t>
  </si>
  <si>
    <t>Total DALYs from all causes in impact area</t>
  </si>
  <si>
    <t>Current Value Added of Business in Impact Area</t>
  </si>
  <si>
    <t>Average Hourly Wage of Water Gatherer</t>
  </si>
  <si>
    <t>Average Daily Wage of Water Gatherer</t>
  </si>
  <si>
    <t>GDP per Beneficiary Capita</t>
  </si>
  <si>
    <t>Average GDP Growth Rate</t>
  </si>
  <si>
    <t>GDP of Area</t>
  </si>
  <si>
    <t>No. of Households in Impact Area</t>
  </si>
  <si>
    <t>Average Household Size</t>
  </si>
  <si>
    <t>Area
(Ha)</t>
  </si>
  <si>
    <t>Area
(SM)</t>
  </si>
  <si>
    <t>% of District Population Expected to Benefit</t>
  </si>
  <si>
    <t>Estimated Population from Project Proposal Dated February 2010</t>
  </si>
  <si>
    <t>Proposed Intervention</t>
  </si>
  <si>
    <t>District</t>
  </si>
  <si>
    <t>Constituency</t>
  </si>
  <si>
    <t>No</t>
  </si>
  <si>
    <t>Project Targets</t>
  </si>
  <si>
    <t>Water loss reduction</t>
  </si>
  <si>
    <t>Time per trip</t>
  </si>
  <si>
    <t>Time spent gathering water</t>
  </si>
  <si>
    <t>Cost of water to consumers</t>
  </si>
  <si>
    <t>Water Usage</t>
  </si>
  <si>
    <t>Source of Water</t>
  </si>
  <si>
    <t>Current Water System Characteristics</t>
  </si>
  <si>
    <t>Cost Phasing</t>
  </si>
  <si>
    <t>Benefits Phasing</t>
  </si>
  <si>
    <t>Economy</t>
  </si>
  <si>
    <r>
      <t xml:space="preserve">Values in </t>
    </r>
    <r>
      <rPr>
        <i/>
        <sz val="11"/>
        <color indexed="12"/>
        <rFont val="Calibri"/>
        <family val="2"/>
        <scheme val="minor"/>
      </rPr>
      <t>blue</t>
    </r>
    <r>
      <rPr>
        <i/>
        <sz val="11"/>
        <rFont val="Calibri"/>
        <family val="2"/>
        <scheme val="minor"/>
      </rPr>
      <t xml:space="preserve"> type are assumptions intended to be entered by the user.  Values in black type are calculated by the model based on the assumptions in blue.</t>
    </r>
  </si>
  <si>
    <t>Zambian Minimum Wage (2012)</t>
  </si>
  <si>
    <t>2008 Labourforce Survey Report.pdf found at http://www.mlss.gov.zm/upload/2008%20Labourforce%20Survey%20Report.pdf</t>
  </si>
  <si>
    <t>MCC assumption.  22% of Lusaka residents are employed in the "formal" sector but this includes "employment where the employed persons were not entitled to paid leave, pension, gratuity and social security and worked in an establishment employing less than 5 persons."</t>
  </si>
  <si>
    <t>Accounts for displacement of activity over space and time.</t>
  </si>
  <si>
    <t>Relative to a uniform spatial distribution of value added across Lusaka</t>
  </si>
  <si>
    <t>Rate of growth of value added (Assumed to be equal to real gdp growth)</t>
  </si>
  <si>
    <t>See Gauff Ingenieure (2011c:2-54), Tab. 2-14 for reasoning.</t>
  </si>
  <si>
    <t>KRI International Corp. (2009:A1-11) - walking trips vs. other modes of transit</t>
  </si>
  <si>
    <t xml:space="preserve">Use average of bus passengers' incomes figures. </t>
  </si>
  <si>
    <t>cell b66 indicates the number of hours per day of road flooding, row 67 indicates the reduction in the number of trucks/hour during that time, and b68 indicates the number of flooding days each year.</t>
  </si>
  <si>
    <t xml:space="preserve">Weighted average of different cargoes and prices.  Assume balance of cargo is worth that same average price. </t>
  </si>
  <si>
    <t>Lower than for vehicular passengers since greater flexibility on foot.  Flooding is fairly localized so we expect this to be small.</t>
  </si>
  <si>
    <t>Durban - Lusaka route.  Raballand &amp; Macchi (2009:4)</t>
  </si>
  <si>
    <t>Based on Raballand &amp; Macchi (2009:9) for Zambia.</t>
  </si>
  <si>
    <t>Based on example routes in KRI International Corp. (2009:A1-25), Table 1.3.12.</t>
  </si>
  <si>
    <t>KRI International Corp. (2009:A1-25, Table 1.3.12).  Many of the routes for which speed was studied are in or near flooded areas.  This is the average speed across these routes (presumably without flooding).</t>
  </si>
  <si>
    <t>KRI International Corp. (2009:A1-25, Table 1.3.12) gives a general sense of how long typical routes on these roads are.</t>
  </si>
  <si>
    <t>That is, fraction of time that would otherwise be lost, but for flood avoidance behavior - alternate routes, alternate times of travel, etc.</t>
  </si>
  <si>
    <t>MCC assumption.</t>
  </si>
  <si>
    <t>Average of KRI International Corp. (2009:A1-17) and Manda Hills Shopping Centre Traffic Study.pdf</t>
  </si>
  <si>
    <t>KRI International Corp. (2009:A1-19)</t>
  </si>
  <si>
    <t>Estimated.</t>
  </si>
  <si>
    <t>Vehicle passengers (Including paid drivers.)</t>
  </si>
  <si>
    <r>
      <t xml:space="preserve">Annual flooding-related costs of freight delays to </t>
    </r>
    <r>
      <rPr>
        <b/>
        <sz val="11"/>
        <color theme="1"/>
        <rFont val="Calibri"/>
        <family val="2"/>
        <scheme val="minor"/>
      </rPr>
      <t>shippers</t>
    </r>
    <r>
      <rPr>
        <sz val="11"/>
        <color theme="1"/>
        <rFont val="Calibri"/>
        <family val="2"/>
        <scheme val="minor"/>
      </rPr>
      <t xml:space="preserve"> (USD) (Freight only; not vehicles.)</t>
    </r>
  </si>
  <si>
    <t>Number of potential beneficiaries depending on every freight vehicle (MCC estimate)</t>
  </si>
  <si>
    <t>Work weeks per year (An estimated average for all vehicles, some of which drive the affected route frequently, and some rarely during a year.)</t>
  </si>
  <si>
    <t>Source: ERR LWSSDP Master cost spreadsheet.1.xlsm</t>
  </si>
  <si>
    <t>These are theft, and authorized but unpaid consumption.  Assumed constant over time. Conservative estimate based on Water Supply Investment Master Plan, Ch. 7.</t>
  </si>
  <si>
    <t>For simplicity, assumed constant with investment scenario.</t>
  </si>
  <si>
    <t>Low-cost, incl. peri-urban.  JBG Gauff Ingenieure (2011:5-24), Table 5-26.</t>
  </si>
  <si>
    <t>From Gail Chambers, personal conversation, 10/13/11. Can derive from LWSC financial statements</t>
  </si>
  <si>
    <t>"=('diarrhoea non bloody 2008'!$AD$41+AVERAGE('diarrhoea bloody 2008'!$AD$36:$AD$37))/(1-F60)"</t>
  </si>
  <si>
    <t>"=('diarrhoea non bloody 2008'!$AD$77+AVERAGE('diarrhoea bloody 2008'!$AD$72:$AD$73))/(1-F60)"</t>
  </si>
  <si>
    <t>"='diarrhoea non bloody 2008'!$AM$38"</t>
  </si>
  <si>
    <t>"=AVERAGE('diarrhoea non bloody 2008'!$AM$83:$AM$84)"</t>
  </si>
  <si>
    <t>"='bodreferencedisability weights'!$X$4"</t>
  </si>
  <si>
    <t>From ='Lusaka Main Valuation Roll'!$W193/health!$B$12</t>
  </si>
  <si>
    <t>From ='Lusaka Main Valuation Roll'!$W194/health!$B$12</t>
  </si>
  <si>
    <t>From ='Lusaka Main Valuation Roll'!$W195/health!$B$12</t>
  </si>
  <si>
    <t>From ='Lusaka Main Valuation Roll'!$W196/health!$B$12</t>
  </si>
  <si>
    <t>From ='Lusaka Main Valuation Roll'!$W197/health!$B$12</t>
  </si>
  <si>
    <t>See Lusaka Main Valuation Roll v2.xlsx (exchange rate adjusted, see 'health'!b12</t>
  </si>
  <si>
    <t>See Lusaka Main Valuation Roll v2.xlsx (exchange rate adjusted, see 'health'!b13</t>
  </si>
  <si>
    <t>See Lusaka Main Valuation Roll v2.xlsx (exchange rate adjusted, see 'health'!b14</t>
  </si>
  <si>
    <t>See Lusaka Main Valuation Roll v2.xlsx (exchange rate adjusted, see 'health'!b15</t>
  </si>
  <si>
    <t>See Lusaka Main Valuation Roll v2.xlsx (exchange rate adjusted, see 'health'!b16</t>
  </si>
  <si>
    <t>IMF World Economic Outlook: http://www.imf.org/external/pubs/ft/weo/2011/01/weodata/index.aspx</t>
  </si>
  <si>
    <r>
      <t xml:space="preserve">5,6 </t>
    </r>
    <r>
      <rPr>
        <sz val="8"/>
        <rFont val="Arial"/>
        <family val="2"/>
      </rPr>
      <t>CIA World Factbook, converted to PPP</t>
    </r>
  </si>
  <si>
    <r>
      <t xml:space="preserve">3,4 </t>
    </r>
    <r>
      <rPr>
        <sz val="8"/>
        <rFont val="Arial"/>
        <family val="2"/>
      </rPr>
      <t>LCMS Surveys, 2006 data</t>
    </r>
  </si>
  <si>
    <r>
      <t xml:space="preserve">2    </t>
    </r>
    <r>
      <rPr>
        <sz val="8"/>
        <rFont val="Arial"/>
        <family val="2"/>
      </rPr>
      <t>Based on estimated 2010 population (CIA World Factbook), projected to Year 20</t>
    </r>
  </si>
  <si>
    <r>
      <t xml:space="preserve">1   </t>
    </r>
    <r>
      <rPr>
        <sz val="8"/>
        <rFont val="Arial"/>
        <family val="2"/>
      </rPr>
      <t>The beneficiaries and population living on less than $2 per day include those under $1.25 per day</t>
    </r>
  </si>
  <si>
    <t>NB: all benefits incremental; PVs based on 10% discount rate and exclude MCC costs but net out any local costs</t>
  </si>
  <si>
    <t>Current National Population</t>
  </si>
  <si>
    <r>
      <t xml:space="preserve">GNI per capita </t>
    </r>
    <r>
      <rPr>
        <vertAlign val="superscript"/>
        <sz val="9"/>
        <rFont val="Arial"/>
        <family val="2"/>
      </rPr>
      <t xml:space="preserve">6 </t>
    </r>
    <r>
      <rPr>
        <sz val="9"/>
        <rFont val="Arial"/>
        <family val="2"/>
      </rPr>
      <t>(USD)</t>
    </r>
  </si>
  <si>
    <r>
      <t xml:space="preserve">Percent of Project Participants Who Are Female </t>
    </r>
    <r>
      <rPr>
        <vertAlign val="superscript"/>
        <sz val="9"/>
        <rFont val="Arial"/>
        <family val="2"/>
      </rPr>
      <t>5</t>
    </r>
  </si>
  <si>
    <r>
      <t xml:space="preserve">PV of Benefit Stream/Project Dollar </t>
    </r>
    <r>
      <rPr>
        <sz val="8"/>
        <rFont val="Arial"/>
        <family val="2"/>
      </rPr>
      <t>(USD/USD)</t>
    </r>
  </si>
  <si>
    <r>
      <t xml:space="preserve">&lt; $2 </t>
    </r>
    <r>
      <rPr>
        <vertAlign val="superscript"/>
        <sz val="9"/>
        <rFont val="Arial"/>
        <family val="2"/>
      </rPr>
      <t>1</t>
    </r>
    <r>
      <rPr>
        <sz val="9"/>
        <rFont val="Arial"/>
        <family val="2"/>
      </rPr>
      <t xml:space="preserve"> </t>
    </r>
  </si>
  <si>
    <t>Cost Effectiveness</t>
  </si>
  <si>
    <r>
      <t>PV of Benefit Stream as Share of Annual Income</t>
    </r>
    <r>
      <rPr>
        <sz val="8"/>
        <rFont val="Arial"/>
        <family val="2"/>
      </rPr>
      <t xml:space="preserve"> (%)</t>
    </r>
  </si>
  <si>
    <t xml:space="preserve">PV of Benefit Stream Per Beneficiary Individual (USD) </t>
  </si>
  <si>
    <t>The Magnitude of the Benefits</t>
  </si>
  <si>
    <r>
      <t xml:space="preserve">National Population by Poverty Level </t>
    </r>
    <r>
      <rPr>
        <vertAlign val="superscript"/>
        <sz val="9"/>
        <rFont val="Arial"/>
        <family val="2"/>
      </rPr>
      <t>4</t>
    </r>
    <r>
      <rPr>
        <sz val="9"/>
        <rFont val="Arial"/>
        <family val="2"/>
      </rPr>
      <t xml:space="preserve"> </t>
    </r>
    <r>
      <rPr>
        <sz val="8"/>
        <rFont val="Arial"/>
        <family val="2"/>
      </rPr>
      <t>(%)</t>
    </r>
  </si>
  <si>
    <r>
      <t xml:space="preserve">Beneficiary Population by Poverty Level </t>
    </r>
    <r>
      <rPr>
        <sz val="8"/>
        <rFont val="Arial"/>
        <family val="2"/>
      </rPr>
      <t xml:space="preserve">(%) </t>
    </r>
    <r>
      <rPr>
        <vertAlign val="superscript"/>
        <sz val="8"/>
        <rFont val="Arial"/>
        <family val="2"/>
      </rPr>
      <t>3</t>
    </r>
  </si>
  <si>
    <r>
      <t xml:space="preserve">National Population in Year 20 </t>
    </r>
    <r>
      <rPr>
        <vertAlign val="superscript"/>
        <sz val="9"/>
        <rFont val="Arial"/>
        <family val="2"/>
      </rPr>
      <t>2</t>
    </r>
    <r>
      <rPr>
        <sz val="9"/>
        <rFont val="Arial"/>
        <family val="2"/>
      </rPr>
      <t xml:space="preserve"> </t>
    </r>
    <r>
      <rPr>
        <sz val="8"/>
        <rFont val="Arial"/>
        <family val="2"/>
      </rPr>
      <t>(#)</t>
    </r>
  </si>
  <si>
    <r>
      <t xml:space="preserve">Beneficiary Individuals in Year 20 </t>
    </r>
    <r>
      <rPr>
        <sz val="8"/>
        <rFont val="Arial"/>
        <family val="2"/>
      </rPr>
      <t>(#)</t>
    </r>
  </si>
  <si>
    <r>
      <t xml:space="preserve">Beneficiary Households in Year 20 </t>
    </r>
    <r>
      <rPr>
        <sz val="8"/>
        <rFont val="Arial"/>
        <family val="2"/>
      </rPr>
      <t>(#)</t>
    </r>
  </si>
  <si>
    <t>Consumption per day (PPP $)</t>
  </si>
  <si>
    <t>Present Value (PV) of All Costs (Millions 2005 PPP $)</t>
  </si>
  <si>
    <r>
      <t xml:space="preserve">Present Value </t>
    </r>
    <r>
      <rPr>
        <b/>
        <sz val="8"/>
        <rFont val="Arial"/>
        <family val="2"/>
      </rPr>
      <t>(PV)</t>
    </r>
    <r>
      <rPr>
        <b/>
        <sz val="9"/>
        <rFont val="Arial"/>
        <family val="2"/>
      </rPr>
      <t xml:space="preserve"> of Benefit Stream </t>
    </r>
    <r>
      <rPr>
        <b/>
        <sz val="8"/>
        <rFont val="Arial"/>
        <family val="2"/>
      </rPr>
      <t>(Millions 2005 PPP $)</t>
    </r>
  </si>
  <si>
    <t>20-Year ERR</t>
  </si>
  <si>
    <r>
      <t xml:space="preserve">MCC Cost </t>
    </r>
    <r>
      <rPr>
        <b/>
        <sz val="8"/>
        <rFont val="Arial"/>
        <family val="2"/>
      </rPr>
      <t>(Millions USD)</t>
    </r>
  </si>
  <si>
    <t>Zambia</t>
  </si>
  <si>
    <t>Poverty Scorecard</t>
  </si>
  <si>
    <t>Local Labor Benefits (construction wages)</t>
  </si>
  <si>
    <t>Compact Implementaion</t>
  </si>
  <si>
    <t>NPV by</t>
  </si>
  <si>
    <t xml:space="preserve">% NPV by </t>
  </si>
  <si>
    <t>Subproject</t>
  </si>
  <si>
    <t>Total Income Gain from Local Labor</t>
  </si>
  <si>
    <t>Source: Master Cost Worksheet.1.xlsm</t>
  </si>
  <si>
    <t>Chelston:</t>
  </si>
  <si>
    <t>Central:</t>
  </si>
  <si>
    <r>
      <rPr>
        <sz val="11"/>
        <rFont val="Calibri"/>
        <family val="2"/>
        <scheme val="minor"/>
      </rPr>
      <t>(</t>
    </r>
    <r>
      <rPr>
        <sz val="11"/>
        <color theme="1"/>
        <rFont val="Calibri"/>
        <family val="2"/>
        <scheme val="minor"/>
      </rPr>
      <t>http://esa.un.org/unpd/wpp/Excel-Data/population.htm</t>
    </r>
    <r>
      <rPr>
        <sz val="11"/>
        <rFont val="Calibri"/>
        <family val="2"/>
        <scheme val="minor"/>
      </rPr>
      <t>)</t>
    </r>
  </si>
  <si>
    <t>From 2011 WDI for Zambia</t>
  </si>
  <si>
    <t>Opportunity cost of time from health worksheet:</t>
  </si>
  <si>
    <t>Wage</t>
  </si>
  <si>
    <t>Discount of women's time</t>
  </si>
  <si>
    <t>Instructions:  Put ones for scenario you are interested in, zeroes elsewhere</t>
  </si>
  <si>
    <t>Prob(Stunting): Sitko, et al. (2011:24) (Lusaka Province): Overall prevalence of stunting at age 5 (% that are 2 sd below the mean) is 37.2% in Lusaka. Odds Ratio: Teshome, et al. (2009:103): "Children experiencing diarrhea were 2.289 times more likely to be stunted compared to the reference category (i.e. children without diarrhea)."</t>
  </si>
  <si>
    <t>http://www.who.int/ceh/indicators/0_4stunting.pdf</t>
  </si>
  <si>
    <t>“Stunting is defined as having a height (or length)-for-age more than two standard deviations below the median of the NCHS/WHO growth reference (WHO, 1995).”</t>
  </si>
  <si>
    <t>From Bigsten, table 5, for Zambia</t>
  </si>
  <si>
    <t>(Age in Alderman et al = experience goes up because age upon entering school goes down)</t>
  </si>
  <si>
    <t>From Bigsten et al., table 5, for Zimbabwe</t>
  </si>
  <si>
    <t>Age means years of experience in workforce in Bigsten et al</t>
  </si>
  <si>
    <t>Dependent variable: Natural log of monthly earnings of full time workers at constant prices</t>
  </si>
  <si>
    <t>Death:</t>
  </si>
  <si>
    <t>Disability:</t>
  </si>
  <si>
    <t>Stunting:</t>
  </si>
  <si>
    <t>Health benefits by:</t>
  </si>
  <si>
    <t>Methodology: Stunting results in lower education attained over a lifetime, and delays entry into the workforce.  Use estimates of returns to education  and experience to estimate lifetime earnings lost for each case of stunting with and without project.  Report the difference on the benefits tab.</t>
  </si>
  <si>
    <t>Drainage continues to grow thereafter by 2.4%</t>
  </si>
  <si>
    <t>After 2018:</t>
  </si>
  <si>
    <t>Diarrhea at age 0-2 increases probability of stunting by:</t>
  </si>
  <si>
    <t>2008 average urban wage*Unemployment:</t>
  </si>
  <si>
    <t>Average urban wage (paid employees, 2008 labor survey):</t>
  </si>
  <si>
    <t>Urban wages of female paid employees, 2008 labor survey:</t>
  </si>
  <si>
    <t>Exchange rate:</t>
  </si>
  <si>
    <t>Urban wages of female paid employees*Unemployment:</t>
  </si>
  <si>
    <t>Country Name</t>
  </si>
  <si>
    <t>Country Code</t>
  </si>
  <si>
    <t>Indicator Name</t>
  </si>
  <si>
    <t>Indicator Code</t>
  </si>
  <si>
    <t>2005</t>
  </si>
  <si>
    <t>2006</t>
  </si>
  <si>
    <t>2007</t>
  </si>
  <si>
    <t>2008</t>
  </si>
  <si>
    <t>2009</t>
  </si>
  <si>
    <t>2010</t>
  </si>
  <si>
    <t>2011</t>
  </si>
  <si>
    <t>ZMB</t>
  </si>
  <si>
    <t>Official exchange rate (LCU per US$, period average)</t>
  </si>
  <si>
    <t>PA.NUS.FCRF</t>
  </si>
  <si>
    <t>Current kwacha/$ exchange rate:</t>
  </si>
  <si>
    <t>Average 2006-2010 exch rate (2 years before and after 2008):</t>
  </si>
  <si>
    <t>Connection and WC costs:</t>
  </si>
  <si>
    <r>
      <t xml:space="preserve">From Alderman et al Table 8, effect of increasing height by one standard deviation*2 for two standard deviations </t>
    </r>
    <r>
      <rPr>
        <sz val="11"/>
        <color rgb="FFFF0000"/>
        <rFont val="Calibri"/>
        <family val="2"/>
        <scheme val="minor"/>
      </rPr>
      <t>(note old version had only one sd effect)</t>
    </r>
  </si>
  <si>
    <t>Changes from previous version:</t>
  </si>
  <si>
    <t>Health tab:</t>
  </si>
  <si>
    <t>Reformatted so that all relevant data is in this spreadsheet, improved formatting of comments and references.</t>
  </si>
  <si>
    <t>Health -- stunting:</t>
  </si>
  <si>
    <t>Increments due to reduced stunting must be multiplied by two to represent two standard deviations.</t>
  </si>
  <si>
    <t>Reduced probability of stunting is not 47% - 0%, but 47% - 28% = 19%.</t>
  </si>
  <si>
    <t>Cohort analysis improperly counted reduced stunting in 2013, when no reduction is assumed to have occurred.</t>
  </si>
  <si>
    <t>Cohort analysis for drainage improperly calculated.</t>
  </si>
  <si>
    <t>Average wage updated from 2005 to 2008 survey.</t>
  </si>
  <si>
    <t>Benefits:</t>
  </si>
  <si>
    <t>According to new guidance, MCC money spent on construction wages are not counted as a benefit.  Direct labor expenditures are a cost.</t>
  </si>
  <si>
    <t>Time savings:</t>
  </si>
  <si>
    <t>Wage not discounted by 50% for "low opportunity cost" but discounted by urban Lusaka unemployment rate from 2008 labor survey (35%) to account for probability of finding work.</t>
  </si>
  <si>
    <t>Women's wages not discounted by 60% for "low opportunity cost" but discounted by urban Lusaka unemployment rate for women (42%) from 2008 labor survey</t>
  </si>
  <si>
    <t>Sanitation:</t>
  </si>
  <si>
    <t>Drainage:</t>
  </si>
  <si>
    <t>Health benefits:</t>
  </si>
  <si>
    <t>Costs:</t>
  </si>
  <si>
    <t>NRW benefits:</t>
  </si>
  <si>
    <t>Time savings benefits:</t>
  </si>
  <si>
    <t>Core water:</t>
  </si>
  <si>
    <t>Water connections:</t>
  </si>
  <si>
    <t>Subproject ERR calculations:</t>
  </si>
  <si>
    <t>ERRs:</t>
  </si>
  <si>
    <t>On trip to Lusaka, ask for average wage in treatment areas</t>
  </si>
  <si>
    <t>Costs per beneficiary:</t>
  </si>
  <si>
    <t>Beneficiaries:</t>
  </si>
  <si>
    <t>Sanitation - connection and WC costs:</t>
  </si>
  <si>
    <t>Introduced cost of sanitation connections and WC construction</t>
  </si>
  <si>
    <t>LS2</t>
  </si>
  <si>
    <t>LS3</t>
  </si>
  <si>
    <t>LS6</t>
  </si>
  <si>
    <t># of new hh connections:</t>
  </si>
  <si>
    <t>Average of MTENDERE, Kalingalinga, NGWERERE, JUSTINE KABWE, Matero, Lima, and HARRY MWAANGA districts (see "Lusaka Beneficiary Counts.xls")</t>
  </si>
  <si>
    <t>See "Lusaka Beneficiary Counts.xls"</t>
  </si>
  <si>
    <t>Targeted Water and Sewer</t>
  </si>
  <si>
    <t>For income per hh indicator:</t>
  </si>
  <si>
    <t>Malaria incidents per 1000:</t>
  </si>
  <si>
    <t>Targets:</t>
  </si>
  <si>
    <t>Other passenger vehicles</t>
  </si>
  <si>
    <t>Baseline hours spent fetching water:</t>
  </si>
  <si>
    <t>Households</t>
  </si>
  <si>
    <t>Time per household, WOP</t>
  </si>
  <si>
    <t>Time per household WP</t>
  </si>
  <si>
    <t>Target hours spent fetching water:</t>
  </si>
  <si>
    <t>Access to water:</t>
  </si>
  <si>
    <t>HH with no service before project (a+c):</t>
  </si>
  <si>
    <t>Percent of total:</t>
  </si>
  <si>
    <t>Target:</t>
  </si>
  <si>
    <t>Before project (e):</t>
  </si>
  <si>
    <t>After project (c+d+e):</t>
  </si>
  <si>
    <t>Number of HH connections:</t>
  </si>
  <si>
    <t>Water consumption m3/HH/year:</t>
  </si>
  <si>
    <t>Water consumption liters/HH/day:</t>
  </si>
  <si>
    <t>Beneficiaries :</t>
  </si>
  <si>
    <t>Access to sanitation:</t>
  </si>
  <si>
    <t>Before project:</t>
  </si>
  <si>
    <t>After:</t>
  </si>
  <si>
    <t>8/30/13: Added calculations for M&amp;E plan indicators.</t>
  </si>
  <si>
    <t>Note that wages from Mtendere survey yield approximately the same value in dollars, so we are not overestimating the salary.</t>
  </si>
  <si>
    <t>Malaria incidence:</t>
  </si>
  <si>
    <t>From June 13 trip (official Lusaka city statistics)</t>
  </si>
  <si>
    <t>Made a correction in cell E112 of the health tab to correct predicted deaths from malaria</t>
  </si>
  <si>
    <t>Barchart data:</t>
  </si>
  <si>
    <t>$1.25 - $2</t>
  </si>
  <si>
    <t>Cost effectiveness by income category:</t>
  </si>
  <si>
    <t>National income distribution:</t>
  </si>
  <si>
    <t>National Income Distribution</t>
  </si>
  <si>
    <t>CE for income &lt;$1.25/day</t>
  </si>
  <si>
    <t>CE for income &gt;=$1.25/day and &lt;$2/day</t>
  </si>
  <si>
    <t>CE for income &gt;=$2/day and &lt;$4/day</t>
  </si>
  <si>
    <t>CE for income &gt;$4/day</t>
  </si>
  <si>
    <t>LWSSC</t>
  </si>
  <si>
    <t>Targeted water and sewage:</t>
  </si>
  <si>
    <t>Targeted Water, Sewage</t>
  </si>
  <si>
    <t>Total number of beneficiaries served:</t>
  </si>
  <si>
    <t>Implied # of hhs:</t>
  </si>
  <si>
    <t>Approx consumption per hh in litres per day:</t>
  </si>
  <si>
    <t>Approx consumption per hh in litres per year:</t>
  </si>
  <si>
    <t>Total consumption per year, litres:</t>
  </si>
  <si>
    <t>Total consumption per year, cubic meters:</t>
  </si>
  <si>
    <t>Core water network</t>
  </si>
  <si>
    <t xml:space="preserve">Core water network </t>
  </si>
  <si>
    <t>Table 6: Benefits per Beneficiary, by Activity</t>
  </si>
  <si>
    <t>Core Water Supply Network Rehabilitation</t>
  </si>
  <si>
    <t>Targeted Water Supply and Sanitation Rehabilitation and Expansion</t>
  </si>
  <si>
    <t>Drainage Improvements</t>
  </si>
  <si>
    <t>&lt;$2</t>
  </si>
  <si>
    <t>Table 7: Cost Effectiveness</t>
  </si>
  <si>
    <t>Targeted Water and Sanitation:</t>
  </si>
  <si>
    <t>http://en.wikipedia.org/wiki/Odds_ratio</t>
  </si>
  <si>
    <t>We know the overall prevalence rate of diarrhea:</t>
  </si>
  <si>
    <t>We know the overall prevalence rate of stunting:</t>
  </si>
  <si>
    <t>We know the Odds Ratio of Teshome et al:</t>
  </si>
  <si>
    <t>I.e. we need P(stunted|diarrhea) and P(stunted|no diarrhea)</t>
  </si>
  <si>
    <t>We first derive the joint probability distribution and use that to calculate the conditional probabilities.</t>
  </si>
  <si>
    <t>We can derive the joint probability distribution thusly:</t>
  </si>
  <si>
    <t>The joint probability of stunting given exposure to diarrhea is:</t>
  </si>
  <si>
    <t>where:</t>
  </si>
  <si>
    <t>p11=</t>
  </si>
  <si>
    <t>Joint probability of being exposed to diarrhea and being stunted</t>
  </si>
  <si>
    <t>p1dot=</t>
  </si>
  <si>
    <t>Diarrhea prevalence:</t>
  </si>
  <si>
    <t>pdot1=</t>
  </si>
  <si>
    <t>Stunting prevalence:</t>
  </si>
  <si>
    <t>R=</t>
  </si>
  <si>
    <t>Odds Ratio:</t>
  </si>
  <si>
    <t>and</t>
  </si>
  <si>
    <t>Once p11 is calculated we can get the rest of the joint probabilities trivially.</t>
  </si>
  <si>
    <t>S</t>
  </si>
  <si>
    <t>p11</t>
  </si>
  <si>
    <t>Joint probability:</t>
  </si>
  <si>
    <t>Stunted</t>
  </si>
  <si>
    <t>Not Stunted</t>
  </si>
  <si>
    <t>Diarrhea</t>
  </si>
  <si>
    <t>No Diarrhea</t>
  </si>
  <si>
    <t>Conditional probability:</t>
  </si>
  <si>
    <t>For the ERR we need the difference in probability of being stunted with and without exposure to diarrhea as an infant.</t>
  </si>
  <si>
    <t>Introduced a simpler way of calculating difference in stunting probability with and without exposure to diarrhea as an infant.</t>
  </si>
  <si>
    <t>ERR Version</t>
  </si>
  <si>
    <t>Date of ERR</t>
  </si>
  <si>
    <t>Amount of MCC funds</t>
  </si>
  <si>
    <t>Project Description</t>
  </si>
  <si>
    <t>The Zambia Compact comprises two primary activities, both of which are aimed at supporting infrastructure investments and continued institutional reform in the water sector in the capital city of Lusaka:</t>
  </si>
  <si>
    <t>Benefit streams included in ERR</t>
  </si>
  <si>
    <t>-Decreased health costs resulting from more sanitary water conditions</t>
  </si>
  <si>
    <t>-Local labor benefits (construction wages)</t>
  </si>
  <si>
    <t>-Income gains from time savings</t>
  </si>
  <si>
    <t>-Savings to utility company from reduction in non-revenue water losses</t>
  </si>
  <si>
    <t>-Time savings for fetching water</t>
  </si>
  <si>
    <t>-Avoided property damage and lost value added</t>
  </si>
  <si>
    <t>-Sanitation connection costs borne by Government of the Republic Of Zambia</t>
  </si>
  <si>
    <t>-Water connection costs borne by households</t>
  </si>
  <si>
    <t>One should read this sheet first, as it offers a summary of the project, a list of components, and states the economic rationale for the project.</t>
  </si>
  <si>
    <t>ERR &amp; Sensitivity Analysis</t>
  </si>
  <si>
    <t>This worksheet highlights key assumptions and summarizes how the ERR may change due to varying costs and benefits.</t>
  </si>
  <si>
    <t>Costs</t>
  </si>
  <si>
    <t>Lists all annual project costs</t>
  </si>
  <si>
    <t>Benefits</t>
  </si>
  <si>
    <t>Aggregates all monetary benefits attributable to the project</t>
  </si>
  <si>
    <t>Presents aggregated health-related benefits of the program</t>
  </si>
  <si>
    <t>Details time savings benefits resulting from improved sanitation</t>
  </si>
  <si>
    <t>Details time savings benefits resulting from improved drainage</t>
  </si>
  <si>
    <t>Presents benefits to utility resulting from reduction in non-revenue water losses</t>
  </si>
  <si>
    <t>Lists the primary assumptions used to calculate the project's economic benefits</t>
  </si>
  <si>
    <t>Sources</t>
  </si>
  <si>
    <t>Abbreviated bibliography of sources consulted</t>
  </si>
  <si>
    <t>Infrastructure</t>
  </si>
  <si>
    <t>- Core Water Network Rehabilitation: This sub-activity is designed to rehabilitate the core water supply network in Lusaka in order to upgrade key treatment and distribution centers and distribution lines and to reduce Non-Revenue Water (NRW). Primary components of this sub-activity are expected to include:
          (1) the rehabilitation of the Iolanda treatment plant and the Chilanga booster pump station;
          (2) the rehabilitation of segments of water transmission mains and the installation of segments of parallel transmission mains;
          (3) the rehabilitation of select distribution centers and the construction of up to two new reservoirs;
          (4) the supply and installation of bulk and consumer water meters;
          (5) the supply of leak repair materials and related tools and equipment, as well as the provision of appropriate training; and
          (6) the replacement of unsuitable and inefficient distribution network and connection pipes.</t>
  </si>
  <si>
    <t>- Targeted Water Supply and Sanitation Rehabilitation and Expansion: This subactivity is designed to upgrade the water supply and sanitation network for several areas of Lusaka. Primary components of this sub-activity are expected to include:
          (1) the installation of new pipes;
          (2) the construction of new water kiosks;
          (3) the construction of new household connections and water meters;
          (4) the drilling and equipping of boreholes;
          (5) the construction, rehabilitation, and upgrading of pump stations;
          (6) the upgrading and expanding of treatment pods; 
          (7) the rehabilitation of sewer interceptors; and 
          (8) the extension of a sewer system in order to expand household sanitation connections.</t>
  </si>
  <si>
    <r>
      <t>- Drainage Improvements:</t>
    </r>
    <r>
      <rPr>
        <i/>
        <sz val="10"/>
        <color theme="1"/>
        <rFont val="Arial"/>
        <family val="2"/>
      </rPr>
      <t xml:space="preserve"> </t>
    </r>
    <r>
      <rPr>
        <sz val="10"/>
        <color theme="1"/>
        <rFont val="Arial"/>
        <family val="2"/>
      </rPr>
      <t>This sub-activity is designed to reduce flooding through infrastructure improvements to the Bombay drain, which conveys the runoff from the majority of the downtown business district areas of Lusaka. Primary components of this sub-activity are expected to include:
          (1) the upsizing of the existing primary outfall and main drain channels;
          (2) the stabilization of the newly upsized drainage channels; and
          (3) as needed, the installation of protective handrails.</t>
    </r>
  </si>
  <si>
    <t>Institutional Strengthening</t>
  </si>
  <si>
    <t>- Institutional Improvements: Through the institutional strengthening activity, Lusaka Water and Sewerage Company (LWSC) and Lusaka City Council (LCC) management and operations are expected to improve. These institutions are expected to gain operational efficiencies and increased productivity through better asset management, strategic planning, environmental management, pro-poor planning, gender mainstreaming and innovative partnerships and grants. MCC’s proposed investment complements ongoing and long-standing institutional reform support from the World Bank.</t>
  </si>
  <si>
    <t>Economic Rationale</t>
  </si>
  <si>
    <t xml:space="preserve">The aim of the proposed MCC investments is to increase incomes in Lusaka by creating the conditions for a healthier population with more time available for productive economic activity. More specifically, in addressing health conditions, the proposed investments seek to have significant impact on reducing the prevalence and incidence of water-borne diseases, productive days lost due to water borne diseases, child/infant mortality rates, cost of water and sanitation, time to collect water, and business and residential flood losses. The proposed MCC-funded investments are designed to address these aims by improving service provider operating efficiency, increasing water storage capacity, enhancing water delivery capacity, upgrading wastewater collection and treatment capacity and quality, and modernizing and expanding primary and secondary network components. </t>
  </si>
  <si>
    <t>ERR and sensitivity analysis</t>
  </si>
  <si>
    <t>Change the "User Input" cells in the table below to see the effect on the compact's Economic Rate of Return (ERR) and net benefits (see chart below).  To reset all values to the default MCC estimates, click the "Reset Parameters" button at right.  Be sure to reset all summary parameters to their original values ("MCC Estimate" values) before changing specific parameters.</t>
  </si>
  <si>
    <t>Parameter type</t>
  </si>
  <si>
    <t>Description of key parameters</t>
  </si>
  <si>
    <t>Parameter values</t>
  </si>
  <si>
    <t>User Input</t>
  </si>
  <si>
    <t>MCC Estimate</t>
  </si>
  <si>
    <t>Plausible Range</t>
  </si>
  <si>
    <t xml:space="preserve">Values used in ERR computation </t>
  </si>
  <si>
    <t>All summary parameters set to initial values?</t>
  </si>
  <si>
    <t>Summary</t>
  </si>
  <si>
    <t>Actual costs as a percentage of estimated costs</t>
  </si>
  <si>
    <t>80%-120%</t>
  </si>
  <si>
    <t>Actual benefits as a percentage of estimated benefits</t>
  </si>
  <si>
    <t>Specific</t>
  </si>
  <si>
    <t>All specific parameters set to initial values?</t>
  </si>
  <si>
    <t>19%-52%</t>
  </si>
  <si>
    <t>*Equivalent to  $US 2011  per hour:</t>
  </si>
  <si>
    <t xml:space="preserve">   More Info</t>
  </si>
  <si>
    <r>
      <t xml:space="preserve">   </t>
    </r>
    <r>
      <rPr>
        <u/>
        <sz val="10"/>
        <color indexed="12"/>
        <rFont val="Arial"/>
        <family val="2"/>
      </rPr>
      <t>Project Description</t>
    </r>
  </si>
  <si>
    <t xml:space="preserve">User Generated Economic rate of return (ERR)*: </t>
  </si>
  <si>
    <r>
      <t xml:space="preserve">   </t>
    </r>
    <r>
      <rPr>
        <u/>
        <sz val="10"/>
        <color indexed="12"/>
        <rFont val="Arial"/>
        <family val="2"/>
      </rPr>
      <t>User's Guide</t>
    </r>
  </si>
  <si>
    <t>MCC Estimated ERRs:</t>
  </si>
  <si>
    <t>Original</t>
  </si>
  <si>
    <t>ERR</t>
  </si>
  <si>
    <t>Date</t>
  </si>
  <si>
    <t>Present Value (PV) of Benefits:</t>
  </si>
  <si>
    <t>Present Value (PV) of MCC Costs:</t>
  </si>
  <si>
    <t>Stand-alone ERRs for selected subprojects (Use switchboard to select projects in turn)</t>
  </si>
  <si>
    <t>Note - In order for the values below to be accurate the switch above for the project must be on.</t>
  </si>
  <si>
    <t>Calendar year:</t>
  </si>
  <si>
    <t>Compact year:</t>
  </si>
  <si>
    <t>Costs and benefits in real 2011 US$ (million)</t>
  </si>
  <si>
    <t>NPV @ 10%</t>
  </si>
  <si>
    <t>Incremental costs</t>
  </si>
  <si>
    <t>Incremental benefits</t>
  </si>
  <si>
    <t>Incremental net benefits</t>
  </si>
  <si>
    <t>Ls3 (Chelston - W) + Chelston &amp; Kaunda Sq. (S)</t>
  </si>
  <si>
    <t>ERR:</t>
  </si>
  <si>
    <t>NPV:</t>
  </si>
  <si>
    <t>Chunga Matero (CM) (Sewer ~ P-II)
(Flag above = 0 --&gt; larger project)</t>
  </si>
  <si>
    <t>Chunga Matero (CM) (Sewer ~ P-II)
(Flag above = 1 --&gt; smaller project)</t>
  </si>
  <si>
    <t xml:space="preserve">Ngwerere </t>
  </si>
  <si>
    <t>Kanyama Drain</t>
  </si>
  <si>
    <t>Bombay Drain</t>
  </si>
  <si>
    <t>Combined Chelston &amp; Kaunda Sq. + Ls3 (Chelston - W)</t>
  </si>
  <si>
    <t>Original ERR</t>
  </si>
  <si>
    <t>Project description</t>
  </si>
  <si>
    <t>Costs included in ERR (other than costs borne by MCC)</t>
  </si>
  <si>
    <t>Estimated ERR and time horizon</t>
  </si>
  <si>
    <t>Table of Contents</t>
  </si>
  <si>
    <t>Cost Benefit Summary</t>
  </si>
  <si>
    <t>This worksheet presents the aggregated costs and benefits from the project activities year-by-year, calculating a combined ERR</t>
  </si>
  <si>
    <t>Summary of ERR calculations</t>
  </si>
  <si>
    <t>17.0% over 20 years</t>
  </si>
  <si>
    <t>Health-Stunting</t>
  </si>
  <si>
    <t>A separate sheet for calculating health-related stunting effects.</t>
  </si>
  <si>
    <t>Travel Time Analysis</t>
  </si>
  <si>
    <t>For calculating time savings benefits for the drainage project.</t>
  </si>
  <si>
    <t>BA Data</t>
  </si>
  <si>
    <t>Data for beneficiary analysis</t>
  </si>
  <si>
    <t>A graphical representation of key beneficiary analysis findings</t>
  </si>
  <si>
    <t>Barchart</t>
  </si>
  <si>
    <t>A tabular representation of key beneficiary analysis findings</t>
  </si>
  <si>
    <t>Barchart data</t>
  </si>
  <si>
    <t>Data used for barchart</t>
  </si>
  <si>
    <t>Original Project</t>
  </si>
  <si>
    <t>Average monthly urban wage for Lusaka PUAs (2008 ZMK/mo)*</t>
  </si>
  <si>
    <t>887,170-1,774,340</t>
  </si>
  <si>
    <t>1) Through the Infrastructure activity, providing support to the city's water utility, Lusaka Water and Sewerage Company (LWSC), which manages water and sanitation assets and to the city government's Lusaka City Council (LCC), which manages drainage assets</t>
  </si>
  <si>
    <t>2) Through the Insitutional Strengthening activity, providing targeted technical assistance to LWSC and LCC to continue reform efforts and pursue new ones designed to ensure improved sector management</t>
  </si>
  <si>
    <t>Compact activities take place under two related frameworks: Infrastructure and Institutional Strengthening. There is no separate ERR for the Institutional Strengthening project - it is assumed the full benefits of the Infrastructure project can not be achieved without successful completion of the Institutional Strengthening project. The following is a brief description of the primary components of each:</t>
  </si>
  <si>
    <t>Switchboard for alternate measures of the opportunity cost of time:</t>
  </si>
  <si>
    <t>Split the schistosomiasis benefit evenly (i.e., 1/2 each) amongst water and sanitation.  Each plays a role and they clearly interact.  Rosen and Vincent (1999:17), Table 4 note a median reduction of 77% in prevalence (from better studies).  This figure is divided in thirds in this table for the three types of interventions.  Also see WHO RFP C-B Analysis_ WatSan_2005.pdf</t>
  </si>
  <si>
    <t xml:space="preserve">From 1995-2010, there were 4 severe flood events in Lusaka, Namely, 1998, 2000, 2008, and 2010. Report on Floods, 3 </t>
  </si>
  <si>
    <t>2007 WB Enterprise Survey</t>
  </si>
  <si>
    <t># Total ben</t>
  </si>
  <si>
    <t>WHO (2004b) intestinal nematode infection estimated death rate for Zambia</t>
  </si>
  <si>
    <t xml:space="preserve">Inflated by 40% to account for PUAs having higher infection rates than Lusaka Province average. </t>
  </si>
  <si>
    <t xml:space="preserve">WHO (2004b) schistosomiasis estimated death rate for Zambia. </t>
  </si>
  <si>
    <t xml:space="preserve">Estimated using trend in prevalence in http://www.who.int/neglected_diseases/preventive_chemotherapy/sch/db/index.html?units=minimal&amp;region=all&amp;country=zmb&amp;countries=zmb&amp;year=all#.  </t>
  </si>
  <si>
    <t xml:space="preserve">WHO (2004b). </t>
  </si>
  <si>
    <t xml:space="preserve">Real, undiscounted wage bill (before opportunity wage is deducted) </t>
  </si>
  <si>
    <t>$354.8 million</t>
  </si>
  <si>
    <t>Zambia: Lusaka Water Supply, Sanitation, and Drainage Project</t>
  </si>
  <si>
    <t>Last updated: 2/13/2014</t>
  </si>
  <si>
    <t>Last updated:2/13/2014</t>
  </si>
  <si>
    <t>ERR Version: Last updated: 2/13/2014</t>
  </si>
  <si>
    <t>Zambia:  Lusaka Water Supply, Sanitation, and Drainage Project</t>
  </si>
  <si>
    <t xml:space="preserve"> Lusaka Water Supply, Sanitation, and Drainage Project (LWSSD)</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</si>
</sst>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0.0%"/>
    <numFmt numFmtId="167" formatCode="0.0"/>
    <numFmt numFmtId="168" formatCode="_-* #,##0.00_-;\-* #,##0.00_-;_-* &quot;-&quot;??_-;_-@_-"/>
    <numFmt numFmtId="169" formatCode="&quot;$&quot;#,##0;\-&quot;$&quot;#,##0"/>
    <numFmt numFmtId="170" formatCode="0_)"/>
    <numFmt numFmtId="171" formatCode="_(* #,##0.0_);_(* \(#,##0.0\);_(* &quot;-&quot;??_);_(@_)"/>
    <numFmt numFmtId="172" formatCode="#,##0.000"/>
    <numFmt numFmtId="173" formatCode="_(&quot;$&quot;* #,##0_);_(&quot;$&quot;* \(#,##0\);_(&quot;$&quot;* &quot;-&quot;??_);_(@_)"/>
    <numFmt numFmtId="174" formatCode="#,##0.000_);\(#,##0.000\)"/>
    <numFmt numFmtId="175" formatCode="_(&quot;$&quot;* #,##0.000_);_(&quot;$&quot;* \(#,##0.000\);_(&quot;$&quot;* &quot;-&quot;??_);_(@_)"/>
    <numFmt numFmtId="176" formatCode="0.000000000000000%"/>
    <numFmt numFmtId="177" formatCode="0.000%"/>
    <numFmt numFmtId="178" formatCode="_(* #,##0.000_);_(* \(#,##0.000\);_(* &quot;-&quot;??_);_(@_)"/>
    <numFmt numFmtId="179" formatCode="&quot;$&quot;#,##0.000"/>
    <numFmt numFmtId="180" formatCode="&quot;$&quot;#,##0.000_);[Red]\(&quot;$&quot;#,##0.000\)"/>
    <numFmt numFmtId="181" formatCode="&quot;$&quot;#,##0.00"/>
    <numFmt numFmtId="182" formatCode="&quot;$&quot;#,##0"/>
    <numFmt numFmtId="183" formatCode="#,##0.0000"/>
    <numFmt numFmtId="184" formatCode="_(* #,##0.0000_);_(* \(#,##0.0000\);_(* &quot;-&quot;??_);_(@_)"/>
    <numFmt numFmtId="185" formatCode="0,,"/>
    <numFmt numFmtId="186" formatCode="0.0,,"/>
  </numFmts>
  <fonts count="98">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indexed="8"/>
      <name val="Arial"/>
      <family val="2"/>
    </font>
    <font>
      <sz val="11"/>
      <color indexed="8"/>
      <name val="Calibri"/>
      <family val="2"/>
      <scheme val="minor"/>
    </font>
    <font>
      <sz val="10"/>
      <name val="Arial"/>
      <family val="2"/>
    </font>
    <font>
      <sz val="11"/>
      <color rgb="FFFF0000"/>
      <name val="Calibri"/>
      <family val="2"/>
      <scheme val="minor"/>
    </font>
    <font>
      <i/>
      <sz val="10"/>
      <name val="Arial"/>
      <family val="2"/>
    </font>
    <font>
      <b/>
      <sz val="8"/>
      <color indexed="81"/>
      <name val="Tahoma"/>
      <family val="2"/>
    </font>
    <font>
      <sz val="8"/>
      <color indexed="81"/>
      <name val="Tahoma"/>
      <family val="2"/>
    </font>
    <font>
      <sz val="11"/>
      <color indexed="8"/>
      <name val="Calibri"/>
      <family val="2"/>
    </font>
    <font>
      <b/>
      <sz val="10"/>
      <name val="Arial"/>
      <family val="2"/>
    </font>
    <font>
      <u/>
      <sz val="10"/>
      <color theme="10"/>
      <name val="Arial"/>
      <family val="2"/>
    </font>
    <font>
      <b/>
      <i/>
      <sz val="10"/>
      <name val="Arial"/>
      <family val="2"/>
    </font>
    <font>
      <sz val="11"/>
      <color theme="9" tint="-0.24994659260841701"/>
      <name val="Calibri"/>
      <family val="2"/>
      <scheme val="minor"/>
    </font>
    <font>
      <b/>
      <sz val="12"/>
      <name val="Helvetica"/>
    </font>
    <font>
      <u/>
      <sz val="10"/>
      <color indexed="12"/>
      <name val="Arial"/>
      <family val="2"/>
    </font>
    <font>
      <sz val="10"/>
      <name val="Geneva"/>
    </font>
    <font>
      <sz val="9"/>
      <name val="Helvetica"/>
    </font>
    <font>
      <b/>
      <i/>
      <sz val="9"/>
      <name val="Helvetica"/>
    </font>
    <font>
      <b/>
      <sz val="14"/>
      <color theme="1"/>
      <name val="Calibri"/>
      <family val="2"/>
      <scheme val="minor"/>
    </font>
    <font>
      <b/>
      <sz val="11"/>
      <name val="Calibri"/>
      <family val="2"/>
      <scheme val="minor"/>
    </font>
    <font>
      <b/>
      <sz val="12"/>
      <name val="Arial MT"/>
    </font>
    <font>
      <b/>
      <sz val="12"/>
      <name val="Arial"/>
      <family val="2"/>
    </font>
    <font>
      <sz val="8"/>
      <name val="Arial"/>
      <family val="2"/>
    </font>
    <font>
      <sz val="12"/>
      <name val="Arial"/>
      <family val="2"/>
    </font>
    <font>
      <i/>
      <sz val="11"/>
      <color theme="1"/>
      <name val="Calibri"/>
      <family val="2"/>
      <scheme val="minor"/>
    </font>
    <font>
      <sz val="12"/>
      <name val="Arial"/>
      <family val="2"/>
    </font>
    <font>
      <i/>
      <sz val="11"/>
      <name val="Calibri"/>
      <family val="2"/>
      <scheme val="minor"/>
    </font>
    <font>
      <b/>
      <sz val="12"/>
      <color theme="1"/>
      <name val="Calibri"/>
      <family val="2"/>
      <scheme val="minor"/>
    </font>
    <font>
      <i/>
      <sz val="8"/>
      <color indexed="81"/>
      <name val="Tahoma"/>
      <family val="2"/>
    </font>
    <font>
      <b/>
      <i/>
      <sz val="11"/>
      <color theme="1"/>
      <name val="Calibri"/>
      <family val="2"/>
      <scheme val="minor"/>
    </font>
    <font>
      <b/>
      <i/>
      <sz val="12"/>
      <color theme="1"/>
      <name val="Calibri"/>
      <family val="2"/>
      <scheme val="minor"/>
    </font>
    <font>
      <vertAlign val="superscript"/>
      <sz val="11"/>
      <color theme="1"/>
      <name val="Calibri"/>
      <family val="2"/>
      <scheme val="minor"/>
    </font>
    <font>
      <sz val="11"/>
      <color theme="1"/>
      <name val="Cambria"/>
      <family val="1"/>
      <scheme val="major"/>
    </font>
    <font>
      <sz val="8"/>
      <color theme="1"/>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
      <sz val="11"/>
      <color theme="1"/>
      <name val="Calibri"/>
      <family val="2"/>
    </font>
    <font>
      <sz val="8"/>
      <color indexed="10"/>
      <name val="Arial"/>
      <family val="2"/>
    </font>
    <font>
      <b/>
      <sz val="14"/>
      <name val="Calibri"/>
      <family val="2"/>
      <scheme val="minor"/>
    </font>
    <font>
      <b/>
      <sz val="16"/>
      <name val="Calibri"/>
      <family val="2"/>
      <scheme val="minor"/>
    </font>
    <font>
      <b/>
      <sz val="12"/>
      <name val="Calibri"/>
      <family val="2"/>
      <scheme val="minor"/>
    </font>
    <font>
      <sz val="12"/>
      <color theme="1"/>
      <name val="Calibri"/>
      <family val="2"/>
      <scheme val="minor"/>
    </font>
    <font>
      <b/>
      <sz val="10"/>
      <color indexed="9"/>
      <name val="Calibri"/>
      <family val="2"/>
      <scheme val="minor"/>
    </font>
    <font>
      <sz val="10"/>
      <color indexed="12"/>
      <name val="Arial"/>
      <family val="2"/>
    </font>
    <font>
      <b/>
      <sz val="10"/>
      <name val="Calibri"/>
      <family val="2"/>
      <scheme val="minor"/>
    </font>
    <font>
      <b/>
      <sz val="10"/>
      <color indexed="12"/>
      <name val="Calibri"/>
      <family val="2"/>
      <scheme val="minor"/>
    </font>
    <font>
      <sz val="10"/>
      <name val="Calibri"/>
      <family val="2"/>
      <scheme val="minor"/>
    </font>
    <font>
      <b/>
      <sz val="10"/>
      <color indexed="9"/>
      <name val="Arial"/>
      <family val="2"/>
    </font>
    <font>
      <b/>
      <sz val="10"/>
      <color indexed="55"/>
      <name val="Arial"/>
      <family val="2"/>
    </font>
    <font>
      <sz val="10"/>
      <color indexed="23"/>
      <name val="Arial"/>
      <family val="2"/>
    </font>
    <font>
      <u/>
      <sz val="11"/>
      <color theme="1"/>
      <name val="Calibri"/>
      <family val="2"/>
      <scheme val="minor"/>
    </font>
    <font>
      <b/>
      <u/>
      <sz val="11"/>
      <color theme="1"/>
      <name val="Calibri"/>
      <family val="2"/>
      <scheme val="minor"/>
    </font>
    <font>
      <sz val="11"/>
      <color theme="1"/>
      <name val="Symbol"/>
      <family val="1"/>
      <charset val="2"/>
    </font>
    <font>
      <u/>
      <sz val="11"/>
      <color theme="10"/>
      <name val="Calibri"/>
      <family val="2"/>
    </font>
    <font>
      <sz val="11"/>
      <color rgb="FF0066FF"/>
      <name val="Calibri"/>
      <family val="2"/>
      <scheme val="minor"/>
    </font>
    <font>
      <sz val="11"/>
      <color rgb="FF92D050"/>
      <name val="Calibri"/>
      <family val="2"/>
      <scheme val="minor"/>
    </font>
    <font>
      <sz val="11"/>
      <color rgb="FF000000"/>
      <name val="Calibri"/>
      <family val="2"/>
      <scheme val="minor"/>
    </font>
    <font>
      <u/>
      <sz val="11"/>
      <color rgb="FF000000"/>
      <name val="Calibri"/>
      <family val="2"/>
      <scheme val="minor"/>
    </font>
    <font>
      <vertAlign val="superscript"/>
      <sz val="11"/>
      <color rgb="FF0066FF"/>
      <name val="Calibri"/>
      <family val="2"/>
      <scheme val="minor"/>
    </font>
    <font>
      <b/>
      <sz val="11"/>
      <color rgb="FF000000"/>
      <name val="Calibri"/>
      <family val="2"/>
      <scheme val="minor"/>
    </font>
    <font>
      <b/>
      <vertAlign val="superscript"/>
      <sz val="11"/>
      <color rgb="FF000000"/>
      <name val="Calibri"/>
      <family val="2"/>
      <scheme val="minor"/>
    </font>
    <font>
      <b/>
      <sz val="11"/>
      <color indexed="9"/>
      <name val="Calibri"/>
      <family val="2"/>
      <scheme val="minor"/>
    </font>
    <font>
      <i/>
      <sz val="11"/>
      <color indexed="12"/>
      <name val="Calibri"/>
      <family val="2"/>
      <scheme val="minor"/>
    </font>
    <font>
      <b/>
      <sz val="9"/>
      <color indexed="81"/>
      <name val="Tahoma"/>
      <family val="2"/>
    </font>
    <font>
      <sz val="9"/>
      <color indexed="81"/>
      <name val="Tahoma"/>
      <family val="2"/>
    </font>
    <font>
      <vertAlign val="superscript"/>
      <sz val="8"/>
      <name val="Arial"/>
      <family val="2"/>
    </font>
    <font>
      <sz val="9"/>
      <name val="Arial"/>
      <family val="2"/>
    </font>
    <font>
      <vertAlign val="superscript"/>
      <sz val="9"/>
      <name val="Arial"/>
      <family val="2"/>
    </font>
    <font>
      <b/>
      <sz val="9"/>
      <name val="Arial"/>
      <family val="2"/>
    </font>
    <font>
      <sz val="9"/>
      <color indexed="12"/>
      <name val="Arial"/>
      <family val="2"/>
    </font>
    <font>
      <sz val="10"/>
      <color indexed="9"/>
      <name val="Arial"/>
      <family val="2"/>
    </font>
    <font>
      <b/>
      <sz val="8"/>
      <name val="Arial"/>
      <family val="2"/>
    </font>
    <font>
      <b/>
      <sz val="11"/>
      <name val="Arial"/>
      <family val="2"/>
    </font>
    <font>
      <sz val="10"/>
      <color indexed="42"/>
      <name val="Arial"/>
      <family val="2"/>
    </font>
    <font>
      <b/>
      <sz val="12"/>
      <color indexed="12"/>
      <name val="Arial"/>
      <family val="2"/>
    </font>
    <font>
      <b/>
      <sz val="16"/>
      <name val="Arial"/>
      <family val="2"/>
    </font>
    <font>
      <sz val="9"/>
      <color rgb="FF000000"/>
      <name val="Times New Roman"/>
      <family val="1"/>
    </font>
    <font>
      <sz val="8"/>
      <color rgb="FF008000"/>
      <name val="Arial"/>
      <family val="2"/>
    </font>
    <font>
      <sz val="8"/>
      <color indexed="17"/>
      <name val="Arial"/>
      <family val="2"/>
    </font>
    <font>
      <sz val="10"/>
      <color theme="1"/>
      <name val="Arial"/>
      <family val="2"/>
    </font>
    <font>
      <sz val="10"/>
      <name val="Times New Roman"/>
      <family val="1"/>
    </font>
    <font>
      <u/>
      <sz val="10"/>
      <color indexed="12"/>
      <name val="Times New Roman"/>
      <family val="1"/>
    </font>
    <font>
      <sz val="10"/>
      <color indexed="63"/>
      <name val="Arial"/>
      <family val="2"/>
    </font>
    <font>
      <sz val="14"/>
      <name val="Arial"/>
      <family val="2"/>
    </font>
    <font>
      <b/>
      <sz val="14"/>
      <name val="Arial"/>
      <family val="2"/>
    </font>
    <font>
      <b/>
      <u/>
      <sz val="10"/>
      <name val="Arial"/>
      <family val="2"/>
    </font>
    <font>
      <u/>
      <sz val="10"/>
      <name val="Arial"/>
      <family val="2"/>
    </font>
    <font>
      <b/>
      <sz val="10"/>
      <color theme="1"/>
      <name val="Arial"/>
      <family val="2"/>
    </font>
    <font>
      <i/>
      <sz val="10"/>
      <color theme="1"/>
      <name val="Arial"/>
      <family val="2"/>
    </font>
    <font>
      <sz val="10"/>
      <color rgb="FF000000"/>
      <name val="Arial"/>
      <family val="2"/>
    </font>
    <font>
      <b/>
      <sz val="10"/>
      <color rgb="FF0000FF"/>
      <name val="Arial"/>
      <family val="2"/>
    </font>
    <font>
      <b/>
      <sz val="10"/>
      <color indexed="12"/>
      <name val="Arial"/>
      <family val="2"/>
    </font>
    <font>
      <sz val="9"/>
      <color indexed="55"/>
      <name val="Arial"/>
      <family val="2"/>
    </font>
    <font>
      <b/>
      <sz val="10"/>
      <color theme="0"/>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FFCC99"/>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41"/>
        <bgColor indexed="64"/>
      </patternFill>
    </fill>
    <fill>
      <patternFill patternType="solid">
        <fgColor indexed="47"/>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99FF99"/>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66"/>
        <bgColor indexed="64"/>
      </patternFill>
    </fill>
    <fill>
      <patternFill patternType="solid">
        <fgColor rgb="FFFFCC66"/>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22"/>
        <bgColor indexed="0"/>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C0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79998168889431442"/>
        <bgColor indexed="64"/>
      </patternFill>
    </fill>
  </fills>
  <borders count="109">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12"/>
      </right>
      <top/>
      <bottom style="medium">
        <color indexed="12"/>
      </bottom>
      <diagonal/>
    </border>
    <border>
      <left/>
      <right/>
      <top/>
      <bottom style="medium">
        <color indexed="12"/>
      </bottom>
      <diagonal/>
    </border>
    <border>
      <left style="medium">
        <color indexed="12"/>
      </left>
      <right/>
      <top/>
      <bottom style="medium">
        <color indexed="12"/>
      </bottom>
      <diagonal/>
    </border>
    <border>
      <left/>
      <right style="medium">
        <color indexed="12"/>
      </right>
      <top/>
      <bottom/>
      <diagonal/>
    </border>
    <border>
      <left style="medium">
        <color indexed="12"/>
      </left>
      <right/>
      <top/>
      <bottom/>
      <diagonal/>
    </border>
    <border>
      <left/>
      <right/>
      <top style="thin">
        <color indexed="12"/>
      </top>
      <bottom/>
      <diagonal/>
    </border>
    <border>
      <left/>
      <right/>
      <top/>
      <bottom style="thin">
        <color indexed="12"/>
      </bottom>
      <diagonal/>
    </border>
    <border>
      <left/>
      <right/>
      <top style="thin">
        <color indexed="39"/>
      </top>
      <bottom/>
      <diagonal/>
    </border>
    <border>
      <left/>
      <right/>
      <top/>
      <bottom style="thin">
        <color indexed="39"/>
      </bottom>
      <diagonal/>
    </border>
    <border>
      <left/>
      <right style="medium">
        <color indexed="12"/>
      </right>
      <top style="medium">
        <color indexed="12"/>
      </top>
      <bottom/>
      <diagonal/>
    </border>
    <border>
      <left/>
      <right/>
      <top style="medium">
        <color indexed="12"/>
      </top>
      <bottom/>
      <diagonal/>
    </border>
    <border>
      <left style="medium">
        <color indexed="12"/>
      </left>
      <right/>
      <top style="medium">
        <color indexed="12"/>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9"/>
      </left>
      <right style="dashed">
        <color indexed="9"/>
      </right>
      <top style="dashed">
        <color indexed="9"/>
      </top>
      <bottom style="dashed">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9"/>
      </left>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9"/>
      </left>
      <right style="medium">
        <color indexed="9"/>
      </right>
      <top/>
      <bottom style="medium">
        <color indexed="9"/>
      </bottom>
      <diagonal/>
    </border>
    <border>
      <left/>
      <right style="double">
        <color indexed="9"/>
      </right>
      <top style="double">
        <color indexed="9"/>
      </top>
      <bottom style="double">
        <color indexed="9"/>
      </bottom>
      <diagonal/>
    </border>
    <border>
      <left style="double">
        <color indexed="9"/>
      </left>
      <right style="medium">
        <color indexed="9"/>
      </right>
      <top style="medium">
        <color indexed="9"/>
      </top>
      <bottom style="medium">
        <color indexed="9"/>
      </bottom>
      <diagonal/>
    </border>
    <border>
      <left style="double">
        <color indexed="9"/>
      </left>
      <right style="medium">
        <color indexed="9"/>
      </right>
      <top style="medium">
        <color indexed="9"/>
      </top>
      <bottom style="double">
        <color indexed="9"/>
      </bottom>
      <diagonal/>
    </border>
    <border>
      <left style="double">
        <color indexed="9"/>
      </left>
      <right/>
      <top style="double">
        <color indexed="9"/>
      </top>
      <bottom style="double">
        <color indexed="9"/>
      </bottom>
      <diagonal/>
    </border>
    <border>
      <left style="medium">
        <color indexed="9"/>
      </left>
      <right/>
      <top style="medium">
        <color indexed="9"/>
      </top>
      <bottom/>
      <diagonal/>
    </border>
    <border>
      <left/>
      <right style="double">
        <color indexed="9"/>
      </right>
      <top style="double">
        <color indexed="9"/>
      </top>
      <bottom/>
      <diagonal/>
    </border>
    <border>
      <left style="double">
        <color indexed="9"/>
      </left>
      <right/>
      <top style="double">
        <color indexed="9"/>
      </top>
      <bottom/>
      <diagonal/>
    </border>
    <border>
      <left style="double">
        <color indexed="64"/>
      </left>
      <right style="thin">
        <color indexed="64"/>
      </right>
      <top/>
      <bottom/>
      <diagonal/>
    </border>
    <border>
      <left/>
      <right style="medium">
        <color indexed="64"/>
      </right>
      <top/>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3" fillId="0" borderId="0" applyNumberFormat="0" applyFill="0" applyBorder="0" applyAlignment="0" applyProtection="0"/>
    <xf numFmtId="0" fontId="15" fillId="4" borderId="40" applyNumberForma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8"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0" fontId="16" fillId="0" borderId="50" applyNumberFormat="0" applyFill="0" applyBorder="0" applyProtection="0">
      <alignment horizontal="left"/>
    </xf>
    <xf numFmtId="0" fontId="17" fillId="0" borderId="0" applyNumberFormat="0" applyFill="0" applyBorder="0" applyAlignment="0" applyProtection="0">
      <alignment vertical="top"/>
      <protection locked="0"/>
    </xf>
    <xf numFmtId="0" fontId="18" fillId="0" borderId="0"/>
    <xf numFmtId="0" fontId="6" fillId="0" borderId="0" applyFont="0" applyFill="0" applyBorder="0" applyAlignment="0" applyProtection="0"/>
    <xf numFmtId="0" fontId="1" fillId="0" borderId="0"/>
    <xf numFmtId="0" fontId="4"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170" fontId="19" fillId="0" borderId="50" applyNumberFormat="0" applyFill="0" applyBorder="0" applyProtection="0">
      <alignment horizontal="left"/>
    </xf>
    <xf numFmtId="170" fontId="19" fillId="0" borderId="50" applyNumberFormat="0" applyFill="0" applyBorder="0" applyProtection="0">
      <alignment horizontal="right"/>
    </xf>
    <xf numFmtId="170" fontId="20" fillId="0" borderId="0" applyNumberFormat="0" applyFill="0" applyBorder="0" applyAlignment="0" applyProtection="0">
      <alignment horizontal="left"/>
    </xf>
    <xf numFmtId="44" fontId="1" fillId="0" borderId="0" applyFont="0" applyFill="0" applyBorder="0" applyAlignment="0" applyProtection="0"/>
    <xf numFmtId="0" fontId="26" fillId="0" borderId="0"/>
    <xf numFmtId="9" fontId="26" fillId="0" borderId="0" applyFont="0" applyFill="0" applyBorder="0" applyAlignment="0" applyProtection="0"/>
    <xf numFmtId="0" fontId="28" fillId="0" borderId="0"/>
    <xf numFmtId="168" fontId="11" fillId="0" borderId="0" applyFont="0" applyFill="0" applyBorder="0" applyAlignment="0" applyProtection="0"/>
    <xf numFmtId="168" fontId="11" fillId="0" borderId="0" applyFont="0" applyFill="0" applyBorder="0" applyAlignment="0" applyProtection="0"/>
    <xf numFmtId="43" fontId="1" fillId="0" borderId="0" applyFont="0" applyFill="0" applyBorder="0" applyAlignment="0" applyProtection="0"/>
    <xf numFmtId="168" fontId="11" fillId="0" borderId="0" applyFont="0" applyFill="0" applyBorder="0" applyAlignment="0" applyProtection="0"/>
    <xf numFmtId="0" fontId="57" fillId="0" borderId="0" applyNumberFormat="0" applyFill="0" applyBorder="0" applyAlignment="0" applyProtection="0">
      <alignment vertical="top"/>
      <protection locked="0"/>
    </xf>
    <xf numFmtId="0" fontId="6" fillId="0" borderId="0"/>
    <xf numFmtId="0" fontId="4" fillId="0" borderId="0"/>
    <xf numFmtId="0" fontId="4" fillId="0" borderId="0"/>
    <xf numFmtId="0" fontId="6" fillId="0" borderId="0"/>
    <xf numFmtId="0" fontId="84" fillId="0" borderId="0"/>
    <xf numFmtId="0" fontId="85" fillId="0" borderId="0" applyNumberFormat="0" applyFill="0" applyBorder="0" applyAlignment="0" applyProtection="0">
      <alignment vertical="top"/>
      <protection locked="0"/>
    </xf>
    <xf numFmtId="0" fontId="6" fillId="0" borderId="0"/>
    <xf numFmtId="0" fontId="6" fillId="0" borderId="0"/>
    <xf numFmtId="0" fontId="6" fillId="0" borderId="0"/>
    <xf numFmtId="0" fontId="17" fillId="0" borderId="0" applyNumberFormat="0" applyFill="0" applyBorder="0" applyAlignment="0" applyProtection="0">
      <alignment vertical="top"/>
      <protection locked="0"/>
    </xf>
    <xf numFmtId="0" fontId="6" fillId="0" borderId="0"/>
  </cellStyleXfs>
  <cellXfs count="1331">
    <xf numFmtId="0" fontId="0" fillId="0" borderId="0" xfId="0"/>
    <xf numFmtId="0" fontId="0" fillId="0" borderId="0" xfId="0"/>
    <xf numFmtId="3" fontId="0" fillId="0" borderId="0" xfId="0" applyNumberFormat="1"/>
    <xf numFmtId="0" fontId="2" fillId="0" borderId="0" xfId="0" applyFont="1"/>
    <xf numFmtId="9" fontId="0" fillId="0" borderId="0" xfId="0" applyNumberFormat="1"/>
    <xf numFmtId="9" fontId="0" fillId="0" borderId="1" xfId="2" applyNumberFormat="1" applyFont="1" applyBorder="1" applyAlignment="1">
      <alignment horizontal="center"/>
    </xf>
    <xf numFmtId="9" fontId="0" fillId="0" borderId="0" xfId="2" applyNumberFormat="1" applyFont="1" applyBorder="1" applyAlignment="1">
      <alignment horizontal="center"/>
    </xf>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9" fontId="0" fillId="0" borderId="0" xfId="0" applyNumberFormat="1" applyFill="1" applyAlignment="1">
      <alignment horizontal="center"/>
    </xf>
    <xf numFmtId="0" fontId="0" fillId="0" borderId="1" xfId="0" applyBorder="1" applyAlignment="1">
      <alignment horizontal="center"/>
    </xf>
    <xf numFmtId="0" fontId="0" fillId="0" borderId="0" xfId="0" applyAlignment="1">
      <alignment horizontal="center"/>
    </xf>
    <xf numFmtId="9" fontId="0" fillId="0" borderId="0" xfId="0" applyNumberFormat="1" applyAlignment="1">
      <alignment horizontal="center"/>
    </xf>
    <xf numFmtId="9" fontId="0" fillId="0" borderId="1" xfId="2" applyFont="1" applyBorder="1" applyAlignment="1">
      <alignment horizontal="center"/>
    </xf>
    <xf numFmtId="9" fontId="0" fillId="0" borderId="0" xfId="2" applyFont="1" applyBorder="1" applyAlignment="1">
      <alignment horizontal="center"/>
    </xf>
    <xf numFmtId="9" fontId="0" fillId="0" borderId="0" xfId="2" applyFont="1" applyFill="1" applyBorder="1" applyAlignment="1">
      <alignment horizont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vertical="center"/>
    </xf>
    <xf numFmtId="0" fontId="0" fillId="0" borderId="0" xfId="0" applyBorder="1" applyAlignment="1">
      <alignment horizontal="center" vertical="center" wrapText="1"/>
    </xf>
    <xf numFmtId="0" fontId="3" fillId="0" borderId="9" xfId="0" applyFont="1" applyBorder="1" applyAlignment="1">
      <alignment horizontal="center" vertical="center"/>
    </xf>
    <xf numFmtId="0" fontId="0" fillId="0" borderId="17" xfId="0" applyFill="1" applyBorder="1"/>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0" borderId="1" xfId="3" applyFont="1" applyFill="1" applyBorder="1" applyAlignment="1">
      <alignment wrapText="1"/>
    </xf>
    <xf numFmtId="164" fontId="0" fillId="0" borderId="0" xfId="1" applyNumberFormat="1" applyFont="1" applyBorder="1"/>
    <xf numFmtId="164" fontId="0" fillId="0" borderId="8" xfId="1" applyNumberFormat="1" applyFont="1" applyBorder="1"/>
    <xf numFmtId="164" fontId="0" fillId="0" borderId="1" xfId="1" applyNumberFormat="1" applyFont="1" applyBorder="1"/>
    <xf numFmtId="164" fontId="0" fillId="0" borderId="21" xfId="1" applyNumberFormat="1" applyFont="1" applyBorder="1"/>
    <xf numFmtId="0" fontId="0" fillId="0" borderId="1" xfId="0" applyFill="1" applyBorder="1"/>
    <xf numFmtId="164" fontId="0" fillId="0" borderId="13" xfId="1" applyNumberFormat="1" applyFont="1" applyBorder="1"/>
    <xf numFmtId="164" fontId="0" fillId="3" borderId="22" xfId="1" applyNumberFormat="1" applyFont="1" applyFill="1" applyBorder="1"/>
    <xf numFmtId="164" fontId="0" fillId="3" borderId="23" xfId="1" applyNumberFormat="1" applyFont="1" applyFill="1" applyBorder="1"/>
    <xf numFmtId="164" fontId="0" fillId="3" borderId="24" xfId="1" applyNumberFormat="1" applyFont="1" applyFill="1" applyBorder="1"/>
    <xf numFmtId="164" fontId="0" fillId="0" borderId="8" xfId="1" applyNumberFormat="1" applyFont="1" applyFill="1" applyBorder="1"/>
    <xf numFmtId="164" fontId="0" fillId="0" borderId="1" xfId="0" applyNumberFormat="1" applyBorder="1"/>
    <xf numFmtId="164" fontId="0" fillId="0" borderId="8" xfId="0" applyNumberFormat="1" applyBorder="1"/>
    <xf numFmtId="164" fontId="0" fillId="0" borderId="21" xfId="0" applyNumberFormat="1" applyBorder="1"/>
    <xf numFmtId="0" fontId="5" fillId="0" borderId="25" xfId="3" applyFont="1" applyFill="1" applyBorder="1" applyAlignment="1">
      <alignment wrapText="1"/>
    </xf>
    <xf numFmtId="164" fontId="0" fillId="3" borderId="26" xfId="1" applyNumberFormat="1" applyFont="1" applyFill="1" applyBorder="1"/>
    <xf numFmtId="164" fontId="0" fillId="0" borderId="27" xfId="1" applyNumberFormat="1" applyFont="1" applyBorder="1"/>
    <xf numFmtId="164" fontId="0" fillId="0" borderId="28" xfId="0" applyNumberFormat="1" applyBorder="1"/>
    <xf numFmtId="164" fontId="0" fillId="0" borderId="28" xfId="1" applyNumberFormat="1" applyFont="1" applyBorder="1"/>
    <xf numFmtId="164" fontId="0" fillId="0" borderId="29" xfId="1" applyNumberFormat="1" applyFont="1" applyBorder="1"/>
    <xf numFmtId="164" fontId="0" fillId="0" borderId="25" xfId="0" applyNumberFormat="1" applyBorder="1"/>
    <xf numFmtId="164" fontId="0" fillId="0" borderId="29" xfId="0" applyNumberFormat="1" applyBorder="1"/>
    <xf numFmtId="164" fontId="0" fillId="0" borderId="27" xfId="0" applyNumberFormat="1" applyBorder="1"/>
    <xf numFmtId="0" fontId="5" fillId="0" borderId="1" xfId="3" applyFont="1" applyFill="1" applyBorder="1" applyAlignment="1"/>
    <xf numFmtId="164" fontId="0" fillId="0" borderId="0" xfId="0" applyNumberFormat="1"/>
    <xf numFmtId="0" fontId="0" fillId="0" borderId="33" xfId="0" applyBorder="1" applyAlignment="1">
      <alignment horizontal="center" vertical="center"/>
    </xf>
    <xf numFmtId="0" fontId="0" fillId="0" borderId="9" xfId="0" applyBorder="1" applyAlignment="1">
      <alignment horizontal="center" vertical="center"/>
    </xf>
    <xf numFmtId="0" fontId="2" fillId="2" borderId="30" xfId="0" applyFont="1" applyFill="1" applyBorder="1" applyAlignment="1">
      <alignment horizontal="center"/>
    </xf>
    <xf numFmtId="0" fontId="2" fillId="2" borderId="34" xfId="0" applyFont="1" applyFill="1" applyBorder="1" applyAlignment="1">
      <alignment horizontal="center"/>
    </xf>
    <xf numFmtId="164" fontId="0" fillId="0" borderId="35" xfId="1" applyNumberFormat="1" applyFont="1" applyFill="1" applyBorder="1" applyAlignment="1"/>
    <xf numFmtId="164" fontId="0" fillId="0" borderId="36" xfId="1" applyNumberFormat="1" applyFont="1" applyFill="1" applyBorder="1" applyAlignment="1"/>
    <xf numFmtId="0" fontId="0" fillId="3" borderId="24" xfId="0" applyFill="1" applyBorder="1"/>
    <xf numFmtId="0" fontId="0" fillId="0" borderId="37" xfId="0" applyBorder="1"/>
    <xf numFmtId="164" fontId="0" fillId="0" borderId="11" xfId="1" applyNumberFormat="1" applyFont="1" applyBorder="1"/>
    <xf numFmtId="164" fontId="0" fillId="0" borderId="25" xfId="1" applyNumberFormat="1" applyFont="1" applyBorder="1"/>
    <xf numFmtId="0" fontId="0" fillId="0" borderId="38" xfId="0" applyBorder="1"/>
    <xf numFmtId="164" fontId="0" fillId="0" borderId="39" xfId="1" applyNumberFormat="1" applyFont="1" applyBorder="1"/>
    <xf numFmtId="0" fontId="6" fillId="0" borderId="0" xfId="0" applyFont="1"/>
    <xf numFmtId="0" fontId="8" fillId="0" borderId="0" xfId="0" applyFont="1"/>
    <xf numFmtId="0" fontId="6" fillId="0" borderId="13" xfId="0" applyFont="1" applyBorder="1" applyAlignment="1">
      <alignment horizontal="left" indent="1"/>
    </xf>
    <xf numFmtId="0" fontId="0" fillId="0" borderId="13" xfId="0" applyBorder="1"/>
    <xf numFmtId="1" fontId="0" fillId="0" borderId="13" xfId="0" applyNumberFormat="1" applyBorder="1"/>
    <xf numFmtId="0" fontId="6" fillId="0" borderId="0" xfId="0" applyFont="1" applyBorder="1" applyAlignment="1">
      <alignment horizontal="left" indent="2"/>
    </xf>
    <xf numFmtId="0" fontId="0" fillId="0" borderId="0" xfId="0" applyBorder="1"/>
    <xf numFmtId="1" fontId="0" fillId="0" borderId="0" xfId="0" applyNumberFormat="1" applyBorder="1"/>
    <xf numFmtId="0" fontId="0" fillId="0" borderId="0" xfId="0" applyAlignment="1">
      <alignment horizontal="left" indent="2"/>
    </xf>
    <xf numFmtId="1" fontId="0" fillId="0" borderId="0" xfId="0" applyNumberFormat="1"/>
    <xf numFmtId="2" fontId="0" fillId="0" borderId="0" xfId="0" applyNumberFormat="1"/>
    <xf numFmtId="2" fontId="0" fillId="0" borderId="13" xfId="0" applyNumberFormat="1" applyBorder="1"/>
    <xf numFmtId="0" fontId="6" fillId="0" borderId="0" xfId="0" applyFont="1" applyFill="1" applyBorder="1" applyAlignment="1">
      <alignment horizontal="left" indent="1"/>
    </xf>
    <xf numFmtId="9" fontId="0" fillId="0" borderId="22" xfId="0" applyNumberFormat="1" applyBorder="1" applyAlignment="1">
      <alignment horizontal="center"/>
    </xf>
    <xf numFmtId="0" fontId="6" fillId="2" borderId="0"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13" xfId="0" applyFont="1" applyFill="1" applyBorder="1" applyAlignment="1">
      <alignment wrapText="1"/>
    </xf>
    <xf numFmtId="0" fontId="6" fillId="0" borderId="0" xfId="0" applyFont="1" applyAlignment="1">
      <alignment horizontal="left" indent="1"/>
    </xf>
    <xf numFmtId="0" fontId="6" fillId="0" borderId="0" xfId="0" quotePrefix="1" applyFont="1" applyFill="1" applyBorder="1" applyAlignment="1">
      <alignment horizontal="right"/>
    </xf>
    <xf numFmtId="164" fontId="6" fillId="0" borderId="41" xfId="1" applyNumberFormat="1" applyFont="1" applyFill="1" applyBorder="1" applyAlignment="1">
      <alignment horizontal="right"/>
    </xf>
    <xf numFmtId="164" fontId="6" fillId="0" borderId="0" xfId="1" applyNumberFormat="1" applyFont="1" applyFill="1" applyAlignment="1">
      <alignment horizontal="right"/>
    </xf>
    <xf numFmtId="166" fontId="0" fillId="0" borderId="41" xfId="2" applyNumberFormat="1" applyFont="1" applyBorder="1"/>
    <xf numFmtId="166" fontId="0" fillId="0" borderId="0" xfId="2" applyNumberFormat="1" applyFont="1" applyBorder="1"/>
    <xf numFmtId="166" fontId="0" fillId="0" borderId="0" xfId="2" applyNumberFormat="1" applyFont="1" applyFill="1"/>
    <xf numFmtId="164" fontId="6" fillId="0" borderId="21" xfId="1" applyNumberFormat="1" applyFont="1" applyFill="1" applyBorder="1" applyAlignment="1">
      <alignment horizontal="right"/>
    </xf>
    <xf numFmtId="166" fontId="0" fillId="0" borderId="21" xfId="2" applyNumberFormat="1" applyFont="1" applyFill="1" applyBorder="1"/>
    <xf numFmtId="0" fontId="6" fillId="0" borderId="0" xfId="0" applyFont="1" applyAlignment="1">
      <alignment horizontal="left" indent="2"/>
    </xf>
    <xf numFmtId="0" fontId="6" fillId="0" borderId="0" xfId="4" applyFont="1" applyAlignment="1">
      <alignment horizontal="left" indent="3"/>
    </xf>
    <xf numFmtId="0" fontId="6" fillId="0" borderId="0" xfId="0" applyFont="1" applyFill="1" applyAlignment="1">
      <alignment horizontal="left" indent="2"/>
    </xf>
    <xf numFmtId="166" fontId="0" fillId="2" borderId="0" xfId="2" applyNumberFormat="1" applyFont="1" applyFill="1"/>
    <xf numFmtId="0" fontId="6" fillId="0" borderId="0" xfId="0" applyFont="1" applyFill="1"/>
    <xf numFmtId="1" fontId="0" fillId="0" borderId="0" xfId="0" applyNumberFormat="1" applyAlignment="1">
      <alignment horizontal="center"/>
    </xf>
    <xf numFmtId="0" fontId="6" fillId="0" borderId="13" xfId="0" quotePrefix="1" applyFont="1" applyFill="1" applyBorder="1" applyAlignment="1">
      <alignment horizontal="right"/>
    </xf>
    <xf numFmtId="166" fontId="0" fillId="0" borderId="42" xfId="2" applyNumberFormat="1" applyFont="1" applyFill="1" applyBorder="1"/>
    <xf numFmtId="166" fontId="0" fillId="0" borderId="13" xfId="2" applyNumberFormat="1" applyFont="1" applyFill="1" applyBorder="1"/>
    <xf numFmtId="0" fontId="6" fillId="0" borderId="0" xfId="0" applyFont="1" applyFill="1" applyBorder="1" applyAlignment="1">
      <alignment horizontal="right"/>
    </xf>
    <xf numFmtId="166" fontId="0" fillId="0" borderId="0" xfId="0" applyNumberFormat="1"/>
    <xf numFmtId="164" fontId="6" fillId="0" borderId="42" xfId="1" applyNumberFormat="1" applyFont="1" applyFill="1" applyBorder="1" applyAlignment="1">
      <alignment horizontal="right"/>
    </xf>
    <xf numFmtId="164" fontId="6" fillId="0" borderId="13" xfId="1" applyNumberFormat="1" applyFont="1" applyFill="1" applyBorder="1" applyAlignment="1">
      <alignment horizontal="right"/>
    </xf>
    <xf numFmtId="164" fontId="0" fillId="0" borderId="0" xfId="1" applyNumberFormat="1" applyFont="1"/>
    <xf numFmtId="166" fontId="0" fillId="0" borderId="0" xfId="2" applyNumberFormat="1" applyFont="1"/>
    <xf numFmtId="0" fontId="14" fillId="0" borderId="13" xfId="0" applyFont="1" applyBorder="1"/>
    <xf numFmtId="9" fontId="0" fillId="0" borderId="0" xfId="2" applyFont="1" applyAlignment="1">
      <alignment horizontal="center"/>
    </xf>
    <xf numFmtId="0" fontId="6" fillId="0" borderId="13" xfId="0" applyFont="1" applyBorder="1"/>
    <xf numFmtId="1" fontId="6" fillId="0" borderId="0" xfId="0" applyNumberFormat="1" applyFont="1"/>
    <xf numFmtId="167" fontId="0" fillId="0" borderId="0" xfId="0" applyNumberFormat="1"/>
    <xf numFmtId="167" fontId="0" fillId="0" borderId="0" xfId="0" applyNumberFormat="1" applyAlignment="1">
      <alignment horizontal="center"/>
    </xf>
    <xf numFmtId="167" fontId="0" fillId="0" borderId="0" xfId="0" applyNumberFormat="1" applyFill="1"/>
    <xf numFmtId="0" fontId="0" fillId="0" borderId="0" xfId="0" applyAlignment="1">
      <alignment horizontal="right"/>
    </xf>
    <xf numFmtId="164" fontId="0" fillId="0" borderId="0" xfId="0" applyNumberFormat="1" applyBorder="1"/>
    <xf numFmtId="0" fontId="0" fillId="0" borderId="29" xfId="0" applyBorder="1"/>
    <xf numFmtId="0" fontId="0" fillId="0" borderId="25" xfId="0" applyBorder="1"/>
    <xf numFmtId="0" fontId="0" fillId="0" borderId="8" xfId="0" applyBorder="1"/>
    <xf numFmtId="0" fontId="0" fillId="0" borderId="1" xfId="0" applyBorder="1"/>
    <xf numFmtId="0" fontId="2" fillId="0" borderId="2" xfId="0" applyFont="1" applyBorder="1"/>
    <xf numFmtId="0" fontId="0" fillId="0" borderId="47" xfId="0" applyBorder="1"/>
    <xf numFmtId="0" fontId="0" fillId="0" borderId="21" xfId="0" applyBorder="1"/>
    <xf numFmtId="0" fontId="0" fillId="0" borderId="0" xfId="0" applyNumberFormat="1"/>
    <xf numFmtId="43" fontId="0" fillId="0" borderId="0" xfId="0" applyNumberFormat="1"/>
    <xf numFmtId="0" fontId="0" fillId="0" borderId="2" xfId="0" applyBorder="1"/>
    <xf numFmtId="0" fontId="0" fillId="5" borderId="0" xfId="0" applyFill="1"/>
    <xf numFmtId="0" fontId="21" fillId="0" borderId="0" xfId="0" applyFont="1"/>
    <xf numFmtId="0" fontId="2" fillId="0" borderId="0" xfId="0" applyFont="1" applyAlignment="1">
      <alignment horizontal="left" indent="1"/>
    </xf>
    <xf numFmtId="164" fontId="0" fillId="0" borderId="0" xfId="6" applyNumberFormat="1" applyFont="1"/>
    <xf numFmtId="3" fontId="0" fillId="0" borderId="0" xfId="6" applyNumberFormat="1" applyFont="1"/>
    <xf numFmtId="0" fontId="6" fillId="0" borderId="0" xfId="0" applyFont="1" applyAlignment="1">
      <alignment horizontal="center"/>
    </xf>
    <xf numFmtId="10" fontId="0" fillId="0" borderId="0" xfId="0" applyNumberFormat="1"/>
    <xf numFmtId="0" fontId="0" fillId="0" borderId="13" xfId="0" applyBorder="1" applyAlignment="1">
      <alignment horizontal="center"/>
    </xf>
    <xf numFmtId="166" fontId="0" fillId="0" borderId="0" xfId="21" applyNumberFormat="1" applyFont="1"/>
    <xf numFmtId="0" fontId="0" fillId="0" borderId="0" xfId="0" applyAlignment="1">
      <alignment horizontal="left" indent="1"/>
    </xf>
    <xf numFmtId="9" fontId="0" fillId="0" borderId="0" xfId="0" applyNumberFormat="1" applyAlignment="1">
      <alignment horizontal="right"/>
    </xf>
    <xf numFmtId="0" fontId="0" fillId="0" borderId="0" xfId="0" quotePrefix="1" applyAlignment="1">
      <alignment horizontal="center"/>
    </xf>
    <xf numFmtId="9" fontId="0" fillId="0" borderId="13" xfId="0" applyNumberFormat="1" applyBorder="1" applyAlignment="1">
      <alignment horizontal="center"/>
    </xf>
    <xf numFmtId="167" fontId="0" fillId="0" borderId="13" xfId="0" applyNumberFormat="1" applyBorder="1" applyAlignment="1">
      <alignment horizontal="center"/>
    </xf>
    <xf numFmtId="0" fontId="6" fillId="0" borderId="0" xfId="0" applyFont="1" applyBorder="1" applyAlignment="1">
      <alignment horizontal="right"/>
    </xf>
    <xf numFmtId="2" fontId="0" fillId="0" borderId="0" xfId="0" applyNumberFormat="1" applyBorder="1" applyAlignment="1">
      <alignment horizontal="center"/>
    </xf>
    <xf numFmtId="0" fontId="8" fillId="0" borderId="13" xfId="0" applyFont="1" applyBorder="1" applyAlignment="1">
      <alignment horizontal="center"/>
    </xf>
    <xf numFmtId="0" fontId="0" fillId="0" borderId="10" xfId="0" applyBorder="1"/>
    <xf numFmtId="0" fontId="12" fillId="0" borderId="0" xfId="0" applyFont="1"/>
    <xf numFmtId="2" fontId="0" fillId="0" borderId="0" xfId="0" applyNumberFormat="1" applyAlignment="1">
      <alignment horizontal="center"/>
    </xf>
    <xf numFmtId="0" fontId="14" fillId="0" borderId="0" xfId="0" applyFont="1"/>
    <xf numFmtId="0" fontId="8" fillId="0" borderId="0" xfId="0" applyFont="1" applyAlignment="1">
      <alignment horizontal="left" indent="1"/>
    </xf>
    <xf numFmtId="2" fontId="0" fillId="0" borderId="21" xfId="0" applyNumberFormat="1" applyBorder="1" applyAlignment="1">
      <alignment horizontal="center"/>
    </xf>
    <xf numFmtId="2" fontId="0" fillId="0" borderId="10" xfId="0" applyNumberFormat="1" applyBorder="1" applyAlignment="1">
      <alignment horizontal="center"/>
    </xf>
    <xf numFmtId="9" fontId="0" fillId="0" borderId="21" xfId="21" applyFont="1" applyBorder="1" applyAlignment="1">
      <alignment horizontal="center"/>
    </xf>
    <xf numFmtId="9" fontId="0" fillId="0" borderId="10" xfId="21" applyFont="1" applyBorder="1" applyAlignment="1">
      <alignment horizontal="center"/>
    </xf>
    <xf numFmtId="0" fontId="6" fillId="0" borderId="0" xfId="0" applyFont="1" applyAlignment="1">
      <alignment horizontal="right"/>
    </xf>
    <xf numFmtId="166" fontId="0" fillId="0" borderId="0" xfId="0" applyNumberFormat="1" applyAlignment="1">
      <alignment horizontal="center"/>
    </xf>
    <xf numFmtId="9" fontId="0" fillId="0" borderId="0" xfId="21" applyFont="1" applyAlignment="1">
      <alignment horizontal="center"/>
    </xf>
    <xf numFmtId="0" fontId="0" fillId="0" borderId="0" xfId="0" applyAlignment="1"/>
    <xf numFmtId="16" fontId="0" fillId="0" borderId="0" xfId="0" applyNumberFormat="1"/>
    <xf numFmtId="0" fontId="3" fillId="0" borderId="0" xfId="17" applyFont="1" applyAlignment="1">
      <alignment horizontal="left"/>
    </xf>
    <xf numFmtId="3" fontId="3" fillId="0" borderId="0" xfId="17" applyNumberFormat="1" applyFont="1" applyAlignment="1">
      <alignment horizontal="center"/>
    </xf>
    <xf numFmtId="10" fontId="3" fillId="0" borderId="0" xfId="2" applyNumberFormat="1" applyFont="1" applyAlignment="1">
      <alignment horizontal="center"/>
    </xf>
    <xf numFmtId="0" fontId="3" fillId="0" borderId="0" xfId="17" applyFont="1" applyAlignment="1">
      <alignment horizontal="center"/>
    </xf>
    <xf numFmtId="10" fontId="3" fillId="0" borderId="0" xfId="17" applyNumberFormat="1" applyFont="1" applyAlignment="1">
      <alignment horizontal="center"/>
    </xf>
    <xf numFmtId="0" fontId="22" fillId="0" borderId="0" xfId="17" applyFont="1" applyAlignment="1">
      <alignment horizontal="left"/>
    </xf>
    <xf numFmtId="0" fontId="23" fillId="0" borderId="0" xfId="0" applyFont="1" applyAlignment="1">
      <alignment horizontal="left"/>
    </xf>
    <xf numFmtId="16" fontId="23" fillId="0" borderId="0" xfId="0" quotePrefix="1" applyNumberFormat="1" applyFont="1" applyAlignment="1">
      <alignment horizontal="left"/>
    </xf>
    <xf numFmtId="17" fontId="23" fillId="0" borderId="0" xfId="0" quotePrefix="1" applyNumberFormat="1" applyFont="1" applyAlignment="1">
      <alignment horizontal="left"/>
    </xf>
    <xf numFmtId="0" fontId="23" fillId="0" borderId="0" xfId="0" quotePrefix="1" applyFont="1" applyAlignment="1">
      <alignment horizontal="left"/>
    </xf>
    <xf numFmtId="9" fontId="0" fillId="9" borderId="41" xfId="0" applyNumberFormat="1" applyFill="1" applyBorder="1"/>
    <xf numFmtId="0" fontId="0" fillId="9" borderId="50" xfId="0" applyFill="1" applyBorder="1" applyAlignment="1">
      <alignment horizontal="left"/>
    </xf>
    <xf numFmtId="0" fontId="0" fillId="9" borderId="54" xfId="0" applyFill="1" applyBorder="1"/>
    <xf numFmtId="0" fontId="0" fillId="9" borderId="21" xfId="0" applyFill="1" applyBorder="1"/>
    <xf numFmtId="0" fontId="0" fillId="9" borderId="0" xfId="0" applyFill="1" applyBorder="1" applyAlignment="1">
      <alignment horizontal="left"/>
    </xf>
    <xf numFmtId="0" fontId="0" fillId="9" borderId="47" xfId="0" applyFill="1" applyBorder="1"/>
    <xf numFmtId="167" fontId="0" fillId="8" borderId="0" xfId="0" applyNumberFormat="1" applyFill="1"/>
    <xf numFmtId="165" fontId="0" fillId="0" borderId="0" xfId="0" applyNumberFormat="1"/>
    <xf numFmtId="9" fontId="0" fillId="0" borderId="0" xfId="2" applyFont="1"/>
    <xf numFmtId="0" fontId="27" fillId="0" borderId="0" xfId="0" applyFont="1"/>
    <xf numFmtId="6" fontId="0" fillId="0" borderId="0" xfId="0" applyNumberFormat="1"/>
    <xf numFmtId="173" fontId="0" fillId="0" borderId="0" xfId="26" applyNumberFormat="1" applyFont="1"/>
    <xf numFmtId="0" fontId="0" fillId="0" borderId="25" xfId="0" applyFill="1" applyBorder="1"/>
    <xf numFmtId="9" fontId="0" fillId="0" borderId="28" xfId="0" applyNumberFormat="1" applyFill="1" applyBorder="1"/>
    <xf numFmtId="9" fontId="0" fillId="0" borderId="28" xfId="0" applyNumberFormat="1" applyBorder="1"/>
    <xf numFmtId="0" fontId="0" fillId="0" borderId="0" xfId="0" applyFill="1" applyAlignment="1">
      <alignment horizontal="left"/>
    </xf>
    <xf numFmtId="44" fontId="0" fillId="0" borderId="0" xfId="0" applyNumberFormat="1"/>
    <xf numFmtId="173" fontId="0" fillId="0" borderId="0" xfId="0" applyNumberFormat="1"/>
    <xf numFmtId="174" fontId="0" fillId="0" borderId="0" xfId="0" applyNumberFormat="1" applyFill="1"/>
    <xf numFmtId="175" fontId="0" fillId="0" borderId="0" xfId="26" applyNumberFormat="1" applyFont="1"/>
    <xf numFmtId="3" fontId="0" fillId="0" borderId="0" xfId="1" applyNumberFormat="1" applyFont="1" applyBorder="1" applyAlignment="1">
      <alignment horizontal="center"/>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horizontal="center" wrapText="1"/>
    </xf>
    <xf numFmtId="37" fontId="0" fillId="0" borderId="0" xfId="0" applyNumberFormat="1"/>
    <xf numFmtId="37" fontId="0" fillId="0" borderId="13" xfId="0" applyNumberFormat="1" applyBorder="1"/>
    <xf numFmtId="8" fontId="0" fillId="0" borderId="0" xfId="0" applyNumberFormat="1" applyAlignment="1">
      <alignment horizontal="center"/>
    </xf>
    <xf numFmtId="0" fontId="29" fillId="0" borderId="0" xfId="0" applyFont="1" applyAlignment="1">
      <alignment horizontal="left"/>
    </xf>
    <xf numFmtId="0" fontId="30" fillId="0" borderId="0" xfId="0" applyFont="1"/>
    <xf numFmtId="0" fontId="0" fillId="0" borderId="0" xfId="0" applyFont="1" applyAlignment="1">
      <alignment horizontal="left" indent="1"/>
    </xf>
    <xf numFmtId="0" fontId="3" fillId="0" borderId="0" xfId="0" applyFont="1" applyAlignment="1">
      <alignment horizontal="left" indent="1"/>
    </xf>
    <xf numFmtId="0" fontId="27" fillId="0" borderId="0" xfId="0" applyFont="1" applyAlignment="1">
      <alignment horizontal="left"/>
    </xf>
    <xf numFmtId="0" fontId="29" fillId="0" borderId="0" xfId="0" applyFont="1"/>
    <xf numFmtId="0" fontId="2" fillId="0" borderId="0" xfId="0" applyFont="1" applyBorder="1"/>
    <xf numFmtId="9" fontId="0" fillId="0" borderId="0" xfId="0" applyNumberFormat="1" applyBorder="1"/>
    <xf numFmtId="9" fontId="0" fillId="0" borderId="0" xfId="0" applyNumberFormat="1" applyFill="1" applyBorder="1"/>
    <xf numFmtId="0" fontId="0" fillId="0" borderId="0" xfId="0" applyFill="1" applyBorder="1" applyAlignment="1">
      <alignment horizontal="center"/>
    </xf>
    <xf numFmtId="0" fontId="0" fillId="0" borderId="0" xfId="0" applyFill="1" applyBorder="1"/>
    <xf numFmtId="0" fontId="0" fillId="0" borderId="0" xfId="0" applyBorder="1" applyAlignment="1">
      <alignment horizontal="center"/>
    </xf>
    <xf numFmtId="0" fontId="0" fillId="0" borderId="0" xfId="0" applyFill="1" applyAlignment="1">
      <alignment horizontal="center" vertical="center"/>
    </xf>
    <xf numFmtId="0" fontId="0" fillId="0" borderId="0" xfId="0" applyFill="1" applyBorder="1" applyAlignment="1">
      <alignment wrapText="1"/>
    </xf>
    <xf numFmtId="43" fontId="0" fillId="0" borderId="0" xfId="0" applyNumberFormat="1" applyBorder="1"/>
    <xf numFmtId="3" fontId="0" fillId="0" borderId="0" xfId="1" applyNumberFormat="1" applyFont="1" applyAlignment="1">
      <alignment horizontal="center"/>
    </xf>
    <xf numFmtId="9" fontId="0" fillId="0" borderId="0" xfId="2" applyFont="1" applyBorder="1"/>
    <xf numFmtId="0" fontId="0" fillId="0" borderId="0" xfId="0" applyFill="1" applyBorder="1" applyAlignment="1">
      <alignment horizontal="left"/>
    </xf>
    <xf numFmtId="6" fontId="0" fillId="0" borderId="0" xfId="0" applyNumberFormat="1" applyFill="1" applyAlignment="1">
      <alignment horizontal="center"/>
    </xf>
    <xf numFmtId="0" fontId="2" fillId="0" borderId="0" xfId="0" applyFont="1" applyBorder="1" applyAlignment="1">
      <alignment horizontal="center"/>
    </xf>
    <xf numFmtId="0" fontId="0" fillId="0" borderId="13" xfId="0" applyFill="1" applyBorder="1" applyAlignment="1">
      <alignment horizontal="center"/>
    </xf>
    <xf numFmtId="8" fontId="0" fillId="0" borderId="13" xfId="0" applyNumberFormat="1" applyFont="1" applyFill="1" applyBorder="1" applyAlignment="1">
      <alignment horizontal="center"/>
    </xf>
    <xf numFmtId="0" fontId="0" fillId="10" borderId="0" xfId="0" applyFill="1"/>
    <xf numFmtId="0" fontId="0" fillId="10" borderId="0" xfId="0" applyFill="1" applyBorder="1"/>
    <xf numFmtId="0" fontId="0" fillId="11" borderId="0" xfId="0" applyFill="1" applyBorder="1"/>
    <xf numFmtId="0" fontId="0" fillId="11" borderId="0" xfId="0" applyFill="1"/>
    <xf numFmtId="0" fontId="0" fillId="11" borderId="0" xfId="0" applyFill="1" applyBorder="1" applyAlignment="1">
      <alignment horizontal="center"/>
    </xf>
    <xf numFmtId="9" fontId="0" fillId="5" borderId="0" xfId="0" applyNumberFormat="1" applyFill="1" applyAlignment="1">
      <alignment horizontal="center"/>
    </xf>
    <xf numFmtId="166" fontId="0" fillId="0" borderId="0" xfId="2" applyNumberFormat="1" applyFont="1" applyAlignment="1">
      <alignment horizontal="center"/>
    </xf>
    <xf numFmtId="9" fontId="0" fillId="0" borderId="0" xfId="2" applyNumberFormat="1" applyFont="1" applyAlignment="1">
      <alignment horizontal="right"/>
    </xf>
    <xf numFmtId="0" fontId="2" fillId="0" borderId="0" xfId="0" applyFont="1" applyAlignment="1">
      <alignment horizontal="center"/>
    </xf>
    <xf numFmtId="9" fontId="0" fillId="0" borderId="0" xfId="0" applyNumberFormat="1" applyFill="1"/>
    <xf numFmtId="9" fontId="0" fillId="0" borderId="0" xfId="2" applyNumberFormat="1" applyFont="1"/>
    <xf numFmtId="176" fontId="0" fillId="0" borderId="0" xfId="0" applyNumberFormat="1"/>
    <xf numFmtId="9" fontId="0" fillId="5" borderId="0" xfId="0" applyNumberFormat="1" applyFill="1"/>
    <xf numFmtId="165" fontId="0" fillId="0" borderId="0" xfId="0" applyNumberFormat="1" applyAlignment="1">
      <alignment horizontal="center"/>
    </xf>
    <xf numFmtId="2" fontId="0" fillId="0" borderId="0" xfId="0" applyNumberFormat="1" applyAlignment="1">
      <alignment horizontal="right"/>
    </xf>
    <xf numFmtId="164" fontId="0" fillId="0" borderId="0" xfId="1" applyNumberFormat="1" applyFont="1" applyFill="1"/>
    <xf numFmtId="0" fontId="0" fillId="0" borderId="0" xfId="0" applyBorder="1" applyAlignment="1">
      <alignment vertical="center"/>
    </xf>
    <xf numFmtId="166" fontId="0" fillId="0" borderId="22" xfId="2" applyNumberFormat="1" applyFont="1" applyBorder="1" applyAlignment="1">
      <alignment vertical="center"/>
    </xf>
    <xf numFmtId="167" fontId="0" fillId="0" borderId="0" xfId="1" applyNumberFormat="1" applyFont="1" applyFill="1"/>
    <xf numFmtId="0" fontId="0" fillId="0" borderId="0" xfId="1" applyNumberFormat="1" applyFont="1" applyFill="1"/>
    <xf numFmtId="166" fontId="0" fillId="0" borderId="0" xfId="1" applyNumberFormat="1" applyFont="1" applyFill="1"/>
    <xf numFmtId="165" fontId="0" fillId="0" borderId="0" xfId="0" applyNumberFormat="1" applyBorder="1" applyAlignment="1">
      <alignment vertical="center"/>
    </xf>
    <xf numFmtId="167" fontId="0" fillId="0" borderId="13" xfId="1" applyNumberFormat="1" applyFont="1" applyFill="1" applyBorder="1"/>
    <xf numFmtId="2" fontId="0" fillId="0" borderId="0" xfId="0" applyNumberFormat="1" applyBorder="1" applyAlignment="1">
      <alignment vertical="center"/>
    </xf>
    <xf numFmtId="167" fontId="0" fillId="0" borderId="0" xfId="0" applyNumberFormat="1" applyBorder="1" applyAlignment="1">
      <alignment vertical="center"/>
    </xf>
    <xf numFmtId="0" fontId="0" fillId="0" borderId="0" xfId="0" applyFill="1" applyBorder="1" applyAlignment="1">
      <alignment horizontal="left" vertical="center" indent="1"/>
    </xf>
    <xf numFmtId="9" fontId="0" fillId="0" borderId="0" xfId="1" applyNumberFormat="1" applyFont="1" applyFill="1"/>
    <xf numFmtId="0" fontId="0" fillId="0" borderId="0" xfId="0" applyBorder="1" applyAlignment="1">
      <alignment horizontal="left" vertical="center"/>
    </xf>
    <xf numFmtId="0" fontId="0" fillId="0" borderId="0" xfId="0" applyAlignment="1">
      <alignment horizontal="left"/>
    </xf>
    <xf numFmtId="167" fontId="0" fillId="2" borderId="0" xfId="1" applyNumberFormat="1" applyFont="1" applyFill="1"/>
    <xf numFmtId="0" fontId="0" fillId="0" borderId="0" xfId="0" applyFill="1" applyBorder="1" applyAlignment="1">
      <alignment horizontal="left" vertical="center"/>
    </xf>
    <xf numFmtId="2" fontId="0" fillId="0" borderId="0" xfId="1" applyNumberFormat="1" applyFont="1" applyFill="1"/>
    <xf numFmtId="9" fontId="0" fillId="0" borderId="0" xfId="2" applyFont="1" applyFill="1" applyBorder="1"/>
    <xf numFmtId="0" fontId="0" fillId="0" borderId="0" xfId="0" applyFill="1" applyBorder="1" applyAlignment="1">
      <alignment horizontal="left" indent="2"/>
    </xf>
    <xf numFmtId="164" fontId="3" fillId="0" borderId="0" xfId="17" applyNumberFormat="1" applyFont="1" applyAlignment="1">
      <alignment horizontal="left"/>
    </xf>
    <xf numFmtId="0" fontId="3" fillId="0" borderId="0" xfId="17" applyFont="1" applyAlignment="1">
      <alignment horizontal="right"/>
    </xf>
    <xf numFmtId="166" fontId="3" fillId="12" borderId="0" xfId="17" applyNumberFormat="1" applyFont="1" applyFill="1" applyAlignment="1">
      <alignment horizontal="center"/>
    </xf>
    <xf numFmtId="0" fontId="0" fillId="0" borderId="0" xfId="0" applyFont="1"/>
    <xf numFmtId="0" fontId="0" fillId="13" borderId="0" xfId="0" applyFont="1" applyFill="1"/>
    <xf numFmtId="0" fontId="0" fillId="0" borderId="0" xfId="0" applyFont="1" applyBorder="1"/>
    <xf numFmtId="0" fontId="0" fillId="13" borderId="0" xfId="0" applyFill="1"/>
    <xf numFmtId="9" fontId="0" fillId="0" borderId="0" xfId="0" applyNumberFormat="1" applyFont="1" applyBorder="1" applyAlignment="1">
      <alignment wrapText="1"/>
    </xf>
    <xf numFmtId="0" fontId="27" fillId="0" borderId="13" xfId="0" applyFont="1" applyBorder="1"/>
    <xf numFmtId="0" fontId="27" fillId="0" borderId="13" xfId="0" applyFont="1" applyBorder="1" applyAlignment="1">
      <alignment horizontal="left"/>
    </xf>
    <xf numFmtId="0" fontId="27" fillId="0" borderId="0" xfId="0" applyFont="1" applyBorder="1"/>
    <xf numFmtId="0" fontId="2" fillId="0" borderId="0" xfId="0" applyFont="1" applyAlignment="1">
      <alignment horizontal="left"/>
    </xf>
    <xf numFmtId="0" fontId="30" fillId="0" borderId="0" xfId="0" applyFont="1" applyAlignment="1">
      <alignment horizontal="left"/>
    </xf>
    <xf numFmtId="37" fontId="0" fillId="0" borderId="0" xfId="0" applyNumberFormat="1" applyBorder="1"/>
    <xf numFmtId="0" fontId="0" fillId="0" borderId="0" xfId="0" applyFill="1" applyBorder="1" applyAlignment="1">
      <alignment horizontal="left" vertical="center" wrapText="1" indent="2"/>
    </xf>
    <xf numFmtId="0" fontId="0" fillId="0" borderId="0" xfId="0" applyBorder="1" applyAlignment="1">
      <alignment horizontal="left" vertical="center" wrapText="1" indent="2"/>
    </xf>
    <xf numFmtId="37" fontId="27" fillId="0" borderId="0" xfId="0" applyNumberFormat="1" applyFont="1" applyBorder="1"/>
    <xf numFmtId="164" fontId="27" fillId="0" borderId="0" xfId="0" applyNumberFormat="1" applyFont="1" applyFill="1" applyBorder="1" applyAlignment="1">
      <alignment horizontal="center"/>
    </xf>
    <xf numFmtId="0" fontId="27" fillId="0" borderId="0" xfId="0" applyFont="1" applyBorder="1" applyAlignment="1">
      <alignment horizontal="center"/>
    </xf>
    <xf numFmtId="0" fontId="27" fillId="0" borderId="0" xfId="0" applyFont="1" applyAlignment="1">
      <alignment horizontal="left" indent="1"/>
    </xf>
    <xf numFmtId="0" fontId="0" fillId="0" borderId="0" xfId="0" applyBorder="1" applyAlignment="1">
      <alignment horizontal="left" vertical="center" indent="2"/>
    </xf>
    <xf numFmtId="0" fontId="27" fillId="0" borderId="0" xfId="0" applyFont="1" applyFill="1" applyBorder="1" applyAlignment="1">
      <alignment horizontal="center"/>
    </xf>
    <xf numFmtId="0" fontId="27" fillId="0" borderId="0" xfId="0" applyFont="1" applyBorder="1" applyAlignment="1">
      <alignment horizontal="center" wrapText="1"/>
    </xf>
    <xf numFmtId="0" fontId="33" fillId="0" borderId="0" xfId="0" applyFont="1" applyBorder="1"/>
    <xf numFmtId="0" fontId="2" fillId="0" borderId="0" xfId="0" applyFont="1" applyAlignment="1">
      <alignment horizontal="left" wrapText="1"/>
    </xf>
    <xf numFmtId="0" fontId="30" fillId="0" borderId="0" xfId="0" applyFont="1" applyBorder="1"/>
    <xf numFmtId="10" fontId="27" fillId="0" borderId="22" xfId="2" applyNumberFormat="1" applyFont="1" applyBorder="1"/>
    <xf numFmtId="0" fontId="27" fillId="0" borderId="0" xfId="0" applyFont="1" applyAlignment="1">
      <alignment horizontal="right"/>
    </xf>
    <xf numFmtId="3" fontId="27" fillId="0" borderId="0" xfId="0" applyNumberFormat="1" applyFont="1"/>
    <xf numFmtId="0" fontId="27" fillId="0" borderId="0" xfId="0" applyFont="1" applyAlignment="1">
      <alignment horizontal="center"/>
    </xf>
    <xf numFmtId="0" fontId="2" fillId="0" borderId="0" xfId="0" applyFont="1" applyFill="1" applyBorder="1" applyAlignment="1">
      <alignment wrapText="1"/>
    </xf>
    <xf numFmtId="0" fontId="0" fillId="0" borderId="0" xfId="0" applyAlignment="1">
      <alignment horizontal="center" vertical="center"/>
    </xf>
    <xf numFmtId="0" fontId="0" fillId="0" borderId="0" xfId="0" applyAlignment="1">
      <alignment horizontal="left" vertical="center" wrapText="1"/>
    </xf>
    <xf numFmtId="11" fontId="0" fillId="0" borderId="0" xfId="0" applyNumberFormat="1" applyFill="1" applyAlignment="1">
      <alignment horizontal="center"/>
    </xf>
    <xf numFmtId="166" fontId="0" fillId="0" borderId="0" xfId="2" applyNumberFormat="1" applyFont="1" applyFill="1" applyAlignment="1">
      <alignment horizontal="center"/>
    </xf>
    <xf numFmtId="11" fontId="0" fillId="14" borderId="0" xfId="0" applyNumberFormat="1" applyFill="1" applyAlignment="1">
      <alignment horizontal="center"/>
    </xf>
    <xf numFmtId="11" fontId="0" fillId="0" borderId="0" xfId="0" applyNumberFormat="1"/>
    <xf numFmtId="0" fontId="27" fillId="0" borderId="0" xfId="0" applyFont="1" applyAlignment="1">
      <alignment horizontal="left" wrapText="1" indent="1"/>
    </xf>
    <xf numFmtId="0" fontId="0" fillId="0" borderId="0" xfId="0" applyAlignment="1">
      <alignment vertical="center"/>
    </xf>
    <xf numFmtId="0" fontId="0" fillId="0" borderId="0" xfId="0" applyAlignment="1">
      <alignment horizontal="left" indent="3"/>
    </xf>
    <xf numFmtId="0" fontId="27" fillId="0" borderId="0" xfId="0" applyFont="1" applyAlignment="1">
      <alignment horizontal="left" indent="2"/>
    </xf>
    <xf numFmtId="0" fontId="7" fillId="0" borderId="0" xfId="0" applyFont="1"/>
    <xf numFmtId="11" fontId="0" fillId="0" borderId="0" xfId="0" applyNumberFormat="1" applyFill="1"/>
    <xf numFmtId="10" fontId="0" fillId="0" borderId="0" xfId="0" applyNumberFormat="1" applyAlignment="1">
      <alignment horizontal="center" vertical="center"/>
    </xf>
    <xf numFmtId="166" fontId="0" fillId="0" borderId="0" xfId="0" applyNumberFormat="1" applyAlignment="1">
      <alignment horizontal="center" vertical="center"/>
    </xf>
    <xf numFmtId="9" fontId="0" fillId="0" borderId="0" xfId="0" applyNumberFormat="1" applyAlignment="1">
      <alignment horizontal="center" vertical="center"/>
    </xf>
    <xf numFmtId="3" fontId="0" fillId="0" borderId="0" xfId="2" applyNumberFormat="1" applyFont="1" applyAlignment="1">
      <alignment horizontal="center"/>
    </xf>
    <xf numFmtId="0" fontId="27" fillId="0" borderId="0" xfId="0" applyFont="1" applyAlignment="1">
      <alignment horizontal="left" vertical="center" wrapText="1" indent="1"/>
    </xf>
    <xf numFmtId="0" fontId="0" fillId="0" borderId="0" xfId="0" applyFont="1" applyAlignment="1">
      <alignment horizontal="left" wrapText="1" indent="1"/>
    </xf>
    <xf numFmtId="9" fontId="0" fillId="0" borderId="0" xfId="2" applyFont="1" applyAlignment="1">
      <alignment horizontal="center" vertical="center"/>
    </xf>
    <xf numFmtId="0" fontId="0" fillId="0" borderId="0" xfId="0" applyFont="1" applyAlignment="1">
      <alignment horizontal="left" wrapText="1" indent="2"/>
    </xf>
    <xf numFmtId="0" fontId="0" fillId="0" borderId="0" xfId="0" applyAlignment="1">
      <alignment horizontal="left" vertical="center" wrapText="1" indent="2"/>
    </xf>
    <xf numFmtId="0" fontId="0" fillId="0" borderId="0" xfId="0" applyFont="1" applyAlignment="1">
      <alignment horizontal="left"/>
    </xf>
    <xf numFmtId="2" fontId="0" fillId="0" borderId="0" xfId="2" applyNumberFormat="1" applyFont="1" applyFill="1" applyBorder="1" applyAlignment="1">
      <alignment horizontal="center"/>
    </xf>
    <xf numFmtId="0" fontId="0" fillId="0" borderId="0" xfId="0" applyFill="1" applyBorder="1" applyAlignment="1">
      <alignment horizontal="left" indent="1"/>
    </xf>
    <xf numFmtId="9" fontId="0" fillId="0" borderId="0" xfId="2" applyNumberFormat="1" applyFont="1" applyFill="1" applyBorder="1" applyAlignment="1">
      <alignment horizontal="center"/>
    </xf>
    <xf numFmtId="1" fontId="0" fillId="0" borderId="0"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Border="1" applyAlignment="1">
      <alignment horizontal="left"/>
    </xf>
    <xf numFmtId="9" fontId="0" fillId="0" borderId="0" xfId="0" applyNumberFormat="1" applyFill="1" applyBorder="1" applyAlignment="1">
      <alignment horizontal="center"/>
    </xf>
    <xf numFmtId="3" fontId="0" fillId="0" borderId="0" xfId="0" applyNumberFormat="1" applyFont="1" applyAlignment="1">
      <alignment horizontal="center"/>
    </xf>
    <xf numFmtId="0" fontId="0" fillId="0" borderId="0" xfId="0" applyBorder="1" applyAlignment="1">
      <alignment horizontal="left" indent="1"/>
    </xf>
    <xf numFmtId="2" fontId="0" fillId="0" borderId="0" xfId="2" applyNumberFormat="1" applyFont="1" applyAlignment="1">
      <alignment horizontal="center"/>
    </xf>
    <xf numFmtId="0" fontId="0" fillId="0" borderId="0" xfId="0" applyFont="1" applyFill="1"/>
    <xf numFmtId="9" fontId="0" fillId="0" borderId="0" xfId="0" applyNumberFormat="1" applyFont="1" applyFill="1" applyAlignment="1">
      <alignment horizontal="center"/>
    </xf>
    <xf numFmtId="0" fontId="0" fillId="0" borderId="0" xfId="0" applyFont="1" applyFill="1" applyAlignment="1">
      <alignment horizontal="center"/>
    </xf>
    <xf numFmtId="0" fontId="0" fillId="0" borderId="0" xfId="0" applyFill="1" applyAlignment="1">
      <alignment horizontal="left" indent="1"/>
    </xf>
    <xf numFmtId="0" fontId="0" fillId="0" borderId="0" xfId="0" applyFont="1" applyFill="1" applyAlignment="1">
      <alignment wrapText="1"/>
    </xf>
    <xf numFmtId="3" fontId="0" fillId="0" borderId="0" xfId="0" applyNumberFormat="1" applyBorder="1" applyAlignment="1">
      <alignment horizontal="center"/>
    </xf>
    <xf numFmtId="3" fontId="0" fillId="0" borderId="21" xfId="0" applyNumberFormat="1" applyBorder="1" applyAlignment="1">
      <alignment horizontal="center"/>
    </xf>
    <xf numFmtId="0" fontId="0" fillId="2" borderId="0" xfId="0" applyFill="1"/>
    <xf numFmtId="0" fontId="0" fillId="0" borderId="10" xfId="0" applyBorder="1" applyAlignment="1">
      <alignment horizontal="center"/>
    </xf>
    <xf numFmtId="0" fontId="3" fillId="0" borderId="10" xfId="0" applyFont="1" applyBorder="1"/>
    <xf numFmtId="0" fontId="35" fillId="0" borderId="0" xfId="0" applyFont="1" applyBorder="1"/>
    <xf numFmtId="9" fontId="0" fillId="0" borderId="0" xfId="0" applyNumberFormat="1" applyBorder="1" applyAlignment="1">
      <alignment horizontal="center"/>
    </xf>
    <xf numFmtId="9" fontId="0" fillId="0" borderId="21" xfId="0" applyNumberFormat="1" applyBorder="1" applyAlignment="1">
      <alignment horizontal="center"/>
    </xf>
    <xf numFmtId="166" fontId="0" fillId="0" borderId="0" xfId="0" applyNumberFormat="1" applyBorder="1" applyAlignment="1">
      <alignment horizontal="center"/>
    </xf>
    <xf numFmtId="0" fontId="3" fillId="0" borderId="10" xfId="0" applyFont="1" applyBorder="1" applyAlignment="1">
      <alignment horizontal="center"/>
    </xf>
    <xf numFmtId="0" fontId="2" fillId="0" borderId="0" xfId="0" applyFont="1" applyAlignment="1">
      <alignment horizontal="left" vertical="center" wrapText="1"/>
    </xf>
    <xf numFmtId="0" fontId="0" fillId="0" borderId="0" xfId="0" applyFont="1" applyAlignment="1">
      <alignment horizontal="left" indent="2"/>
    </xf>
    <xf numFmtId="166" fontId="0" fillId="0" borderId="0" xfId="2" applyNumberFormat="1" applyFont="1" applyBorder="1" applyAlignment="1">
      <alignment horizontal="center"/>
    </xf>
    <xf numFmtId="9" fontId="0" fillId="0" borderId="0" xfId="0" applyNumberFormat="1" applyBorder="1" applyAlignment="1">
      <alignment horizontal="left"/>
    </xf>
    <xf numFmtId="164" fontId="0" fillId="0" borderId="0" xfId="0" applyNumberFormat="1" applyBorder="1" applyAlignment="1">
      <alignment horizontal="left"/>
    </xf>
    <xf numFmtId="43" fontId="0" fillId="0" borderId="0" xfId="0" applyNumberFormat="1" applyBorder="1" applyAlignment="1">
      <alignment horizontal="left"/>
    </xf>
    <xf numFmtId="9" fontId="0" fillId="0" borderId="0" xfId="0" applyNumberFormat="1" applyFill="1" applyBorder="1" applyAlignment="1">
      <alignment horizontal="left"/>
    </xf>
    <xf numFmtId="164" fontId="36" fillId="0" borderId="0" xfId="1" applyNumberFormat="1" applyFont="1"/>
    <xf numFmtId="0" fontId="0" fillId="0" borderId="0" xfId="0" applyAlignment="1">
      <alignment horizontal="left" wrapText="1"/>
    </xf>
    <xf numFmtId="9" fontId="0" fillId="0" borderId="0" xfId="0" applyNumberFormat="1" applyBorder="1" applyAlignment="1">
      <alignment horizontal="left" wrapText="1"/>
    </xf>
    <xf numFmtId="9" fontId="0" fillId="0" borderId="0" xfId="0" applyNumberFormat="1" applyBorder="1" applyAlignment="1">
      <alignment horizontal="center" wrapText="1"/>
    </xf>
    <xf numFmtId="9" fontId="0" fillId="0" borderId="21" xfId="0" applyNumberFormat="1" applyBorder="1" applyAlignment="1">
      <alignment horizontal="center" wrapText="1"/>
    </xf>
    <xf numFmtId="0" fontId="0" fillId="0" borderId="0" xfId="0" applyFont="1" applyAlignment="1">
      <alignment horizontal="left" wrapText="1"/>
    </xf>
    <xf numFmtId="0" fontId="0" fillId="0" borderId="0" xfId="0" applyBorder="1" applyAlignment="1">
      <alignment horizontal="left" wrapText="1"/>
    </xf>
    <xf numFmtId="0" fontId="0" fillId="0" borderId="0" xfId="0" applyFont="1" applyAlignment="1">
      <alignment horizontal="left" vertical="center" indent="1"/>
    </xf>
    <xf numFmtId="1" fontId="0" fillId="0" borderId="0" xfId="0" applyNumberFormat="1" applyBorder="1" applyAlignment="1">
      <alignment horizontal="left"/>
    </xf>
    <xf numFmtId="3" fontId="0" fillId="0" borderId="0" xfId="0" applyNumberFormat="1" applyBorder="1" applyAlignment="1">
      <alignment horizontal="left"/>
    </xf>
    <xf numFmtId="0" fontId="0" fillId="0" borderId="44" xfId="0"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xf>
    <xf numFmtId="0" fontId="0" fillId="0" borderId="21" xfId="0" applyFont="1" applyBorder="1"/>
    <xf numFmtId="0" fontId="3" fillId="0" borderId="14" xfId="0" applyFont="1" applyBorder="1" applyAlignment="1">
      <alignment horizontal="center"/>
    </xf>
    <xf numFmtId="0" fontId="2" fillId="0" borderId="13" xfId="0" applyFont="1" applyBorder="1" applyAlignment="1">
      <alignment horizontal="left"/>
    </xf>
    <xf numFmtId="3" fontId="0" fillId="0" borderId="0" xfId="0" applyNumberFormat="1" applyFont="1" applyBorder="1" applyAlignment="1">
      <alignment horizontal="center"/>
    </xf>
    <xf numFmtId="3" fontId="0" fillId="0" borderId="56" xfId="0" applyNumberFormat="1" applyFont="1" applyBorder="1"/>
    <xf numFmtId="0" fontId="0" fillId="0" borderId="0" xfId="0" applyFont="1" applyFill="1" applyBorder="1"/>
    <xf numFmtId="3" fontId="0" fillId="0" borderId="22" xfId="0" applyNumberFormat="1" applyFont="1" applyBorder="1" applyAlignment="1">
      <alignment horizontal="center"/>
    </xf>
    <xf numFmtId="3" fontId="0" fillId="0" borderId="21" xfId="0" applyNumberFormat="1" applyFont="1" applyBorder="1" applyAlignment="1">
      <alignment horizontal="center"/>
    </xf>
    <xf numFmtId="1" fontId="0" fillId="0" borderId="41" xfId="0" applyNumberFormat="1" applyFont="1" applyBorder="1" applyAlignment="1">
      <alignment horizontal="center"/>
    </xf>
    <xf numFmtId="0" fontId="0" fillId="0" borderId="46" xfId="0" applyFont="1" applyBorder="1"/>
    <xf numFmtId="0" fontId="0" fillId="0" borderId="13" xfId="0" applyFont="1" applyBorder="1"/>
    <xf numFmtId="0" fontId="27" fillId="0" borderId="21" xfId="0" applyFont="1" applyBorder="1"/>
    <xf numFmtId="0" fontId="0" fillId="0" borderId="0" xfId="0" applyFont="1" applyBorder="1" applyAlignment="1">
      <alignment horizontal="center"/>
    </xf>
    <xf numFmtId="0" fontId="0" fillId="0" borderId="0" xfId="0" applyFont="1" applyBorder="1" applyAlignment="1">
      <alignment horizontal="left"/>
    </xf>
    <xf numFmtId="0" fontId="0" fillId="0" borderId="47" xfId="0" applyFont="1" applyBorder="1"/>
    <xf numFmtId="0" fontId="35" fillId="0" borderId="46" xfId="0" applyFont="1" applyBorder="1"/>
    <xf numFmtId="0" fontId="35" fillId="0" borderId="13" xfId="0" applyFont="1" applyBorder="1"/>
    <xf numFmtId="0" fontId="0" fillId="0" borderId="46" xfId="0" applyBorder="1"/>
    <xf numFmtId="0" fontId="0" fillId="0" borderId="13" xfId="0" applyBorder="1" applyAlignment="1">
      <alignment horizontal="left"/>
    </xf>
    <xf numFmtId="0" fontId="35" fillId="0" borderId="47" xfId="0" applyFont="1" applyBorder="1"/>
    <xf numFmtId="177" fontId="0" fillId="0" borderId="47" xfId="2" applyNumberFormat="1" applyFont="1" applyBorder="1" applyAlignment="1">
      <alignment horizontal="center"/>
    </xf>
    <xf numFmtId="177" fontId="0" fillId="0" borderId="0" xfId="2" applyNumberFormat="1" applyFont="1" applyAlignment="1">
      <alignment horizontal="center"/>
    </xf>
    <xf numFmtId="177" fontId="0" fillId="0" borderId="0" xfId="2" applyNumberFormat="1" applyFont="1" applyBorder="1" applyAlignment="1">
      <alignment horizontal="center"/>
    </xf>
    <xf numFmtId="166" fontId="0" fillId="0" borderId="47" xfId="2" applyNumberFormat="1" applyFont="1" applyBorder="1" applyAlignment="1">
      <alignment horizontal="center"/>
    </xf>
    <xf numFmtId="166" fontId="0" fillId="0" borderId="21" xfId="2" applyNumberFormat="1" applyFont="1" applyBorder="1" applyAlignment="1">
      <alignment horizontal="center"/>
    </xf>
    <xf numFmtId="10" fontId="0" fillId="0" borderId="21" xfId="2" applyNumberFormat="1" applyFont="1" applyBorder="1" applyAlignment="1">
      <alignment horizontal="center"/>
    </xf>
    <xf numFmtId="0" fontId="0" fillId="0" borderId="21" xfId="0" applyBorder="1" applyAlignment="1">
      <alignment horizontal="center"/>
    </xf>
    <xf numFmtId="3" fontId="0" fillId="0" borderId="0" xfId="0" applyNumberFormat="1" applyBorder="1"/>
    <xf numFmtId="0" fontId="37" fillId="0" borderId="10" xfId="0" applyFont="1" applyBorder="1" applyAlignment="1">
      <alignment horizontal="center"/>
    </xf>
    <xf numFmtId="3" fontId="0" fillId="0" borderId="0" xfId="0" applyNumberFormat="1" applyFont="1" applyBorder="1"/>
    <xf numFmtId="3" fontId="0" fillId="0" borderId="47" xfId="0" applyNumberFormat="1" applyBorder="1"/>
    <xf numFmtId="0" fontId="0" fillId="0" borderId="21" xfId="0" applyFill="1" applyBorder="1"/>
    <xf numFmtId="0" fontId="0" fillId="0" borderId="47" xfId="0" applyBorder="1" applyAlignment="1">
      <alignment horizontal="center" vertical="center" wrapText="1"/>
    </xf>
    <xf numFmtId="0" fontId="0" fillId="0" borderId="10" xfId="0" applyBorder="1" applyAlignment="1">
      <alignment vertical="top" wrapText="1"/>
    </xf>
    <xf numFmtId="9" fontId="0" fillId="0" borderId="0" xfId="0" applyNumberFormat="1" applyBorder="1" applyAlignment="1">
      <alignment horizontal="left" vertical="center" wrapText="1"/>
    </xf>
    <xf numFmtId="9" fontId="0" fillId="0" borderId="47" xfId="0" applyNumberFormat="1" applyBorder="1" applyAlignment="1">
      <alignment horizontal="left" vertical="center" wrapText="1"/>
    </xf>
    <xf numFmtId="9"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indent="1"/>
    </xf>
    <xf numFmtId="9" fontId="0" fillId="0" borderId="0" xfId="0" applyNumberFormat="1" applyAlignment="1">
      <alignment horizontal="left"/>
    </xf>
    <xf numFmtId="0" fontId="0" fillId="0" borderId="0" xfId="0" applyFont="1" applyAlignment="1">
      <alignment horizontal="left" vertical="center"/>
    </xf>
    <xf numFmtId="0" fontId="2" fillId="0" borderId="0" xfId="0" applyFont="1" applyBorder="1" applyAlignment="1">
      <alignment horizontal="left"/>
    </xf>
    <xf numFmtId="0" fontId="0" fillId="0" borderId="0" xfId="0" applyFill="1" applyBorder="1" applyAlignment="1">
      <alignment horizontal="center" vertical="center" wrapText="1"/>
    </xf>
    <xf numFmtId="178" fontId="0" fillId="0" borderId="0" xfId="0" applyNumberFormat="1" applyBorder="1" applyAlignment="1">
      <alignment horizontal="center" vertical="center"/>
    </xf>
    <xf numFmtId="178" fontId="0" fillId="0" borderId="21" xfId="0" applyNumberFormat="1" applyBorder="1" applyAlignment="1">
      <alignment horizontal="center" vertical="center"/>
    </xf>
    <xf numFmtId="164" fontId="0" fillId="0" borderId="0" xfId="0" applyNumberFormat="1" applyFill="1" applyBorder="1" applyAlignment="1">
      <alignment horizontal="center" vertical="center" wrapText="1"/>
    </xf>
    <xf numFmtId="164" fontId="0" fillId="0" borderId="0"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0" xfId="0" applyNumberFormat="1" applyBorder="1" applyAlignment="1">
      <alignment horizontal="center" vertical="center"/>
    </xf>
    <xf numFmtId="164" fontId="0" fillId="0" borderId="0" xfId="1" applyNumberFormat="1" applyFont="1" applyBorder="1" applyAlignment="1">
      <alignment horizontal="center" vertical="center"/>
    </xf>
    <xf numFmtId="0" fontId="0" fillId="0" borderId="7" xfId="0" applyBorder="1" applyAlignment="1">
      <alignment horizontal="center" vertical="top" wrapText="1"/>
    </xf>
    <xf numFmtId="0" fontId="0" fillId="0" borderId="50" xfId="0" applyBorder="1" applyAlignment="1">
      <alignment horizontal="center" vertical="center" wrapText="1"/>
    </xf>
    <xf numFmtId="0" fontId="0" fillId="0" borderId="57" xfId="0" applyBorder="1" applyAlignment="1">
      <alignment vertical="top" wrapText="1"/>
    </xf>
    <xf numFmtId="0" fontId="0" fillId="0" borderId="42" xfId="0" applyBorder="1"/>
    <xf numFmtId="0" fontId="2" fillId="15" borderId="22" xfId="0" applyFont="1" applyFill="1" applyBorder="1" applyAlignment="1">
      <alignment horizontal="left" vertical="center" wrapText="1"/>
    </xf>
    <xf numFmtId="0" fontId="2" fillId="15" borderId="22" xfId="0" applyFont="1" applyFill="1" applyBorder="1" applyAlignment="1">
      <alignment horizontal="left" vertical="center"/>
    </xf>
    <xf numFmtId="10" fontId="0" fillId="0" borderId="0" xfId="2" applyNumberFormat="1" applyFont="1"/>
    <xf numFmtId="10" fontId="0" fillId="0" borderId="0" xfId="2" applyNumberFormat="1" applyFont="1" applyBorder="1"/>
    <xf numFmtId="0" fontId="3" fillId="0" borderId="0" xfId="0" applyFont="1" applyAlignment="1">
      <alignment horizontal="left" vertical="center"/>
    </xf>
    <xf numFmtId="0" fontId="2" fillId="15" borderId="22" xfId="0" applyFont="1" applyFill="1" applyBorder="1"/>
    <xf numFmtId="165" fontId="0" fillId="5" borderId="0" xfId="0" applyNumberFormat="1" applyFill="1" applyAlignment="1">
      <alignment horizontal="center"/>
    </xf>
    <xf numFmtId="165" fontId="27" fillId="0" borderId="0" xfId="0" applyNumberFormat="1" applyFont="1" applyAlignment="1">
      <alignment horizontal="center" wrapText="1"/>
    </xf>
    <xf numFmtId="0" fontId="27" fillId="0" borderId="0" xfId="0" applyFont="1" applyAlignment="1">
      <alignment horizontal="center" wrapText="1"/>
    </xf>
    <xf numFmtId="0" fontId="32" fillId="0" borderId="0" xfId="0" applyFont="1" applyAlignment="1">
      <alignment horizontal="left"/>
    </xf>
    <xf numFmtId="9" fontId="0" fillId="0" borderId="0" xfId="0" applyNumberFormat="1" applyFont="1" applyAlignment="1">
      <alignment horizontal="center" wrapText="1"/>
    </xf>
    <xf numFmtId="0" fontId="0" fillId="0" borderId="0" xfId="0" applyFont="1" applyAlignment="1">
      <alignment horizontal="center" vertical="center"/>
    </xf>
    <xf numFmtId="0" fontId="0" fillId="0" borderId="0" xfId="0" applyFont="1" applyAlignment="1">
      <alignment horizontal="center" wrapText="1"/>
    </xf>
    <xf numFmtId="0" fontId="27" fillId="0" borderId="0" xfId="0" applyFont="1" applyAlignment="1">
      <alignment horizontal="center" vertical="center"/>
    </xf>
    <xf numFmtId="0" fontId="0" fillId="16" borderId="0" xfId="0" applyFill="1"/>
    <xf numFmtId="0" fontId="0" fillId="16" borderId="13" xfId="0" applyFill="1" applyBorder="1"/>
    <xf numFmtId="0" fontId="27" fillId="16" borderId="13" xfId="0" applyFont="1" applyFill="1" applyBorder="1" applyAlignment="1">
      <alignment horizontal="center"/>
    </xf>
    <xf numFmtId="0" fontId="2" fillId="16" borderId="0" xfId="0" applyFont="1" applyFill="1" applyAlignment="1">
      <alignment horizontal="left"/>
    </xf>
    <xf numFmtId="0" fontId="0" fillId="0" borderId="0" xfId="0" applyAlignment="1">
      <alignment vertical="center" wrapText="1"/>
    </xf>
    <xf numFmtId="0" fontId="0" fillId="0" borderId="0" xfId="0" applyFont="1" applyFill="1" applyAlignment="1">
      <alignment horizontal="left"/>
    </xf>
    <xf numFmtId="166" fontId="0" fillId="0" borderId="0" xfId="2" applyNumberFormat="1" applyFont="1" applyAlignment="1">
      <alignment horizontal="center" vertical="center"/>
    </xf>
    <xf numFmtId="0" fontId="38" fillId="0" borderId="0" xfId="0" applyFont="1" applyFill="1" applyBorder="1" applyAlignment="1">
      <alignment horizontal="left"/>
    </xf>
    <xf numFmtId="165" fontId="0" fillId="0" borderId="0" xfId="0" applyNumberFormat="1" applyFill="1" applyAlignment="1">
      <alignment horizontal="center"/>
    </xf>
    <xf numFmtId="0" fontId="27" fillId="0" borderId="0" xfId="0" applyFont="1" applyAlignment="1">
      <alignment horizontal="center" vertical="center" wrapText="1"/>
    </xf>
    <xf numFmtId="0" fontId="0" fillId="16" borderId="0" xfId="0" applyFill="1" applyAlignment="1">
      <alignment horizontal="center"/>
    </xf>
    <xf numFmtId="0" fontId="37" fillId="0" borderId="0" xfId="0" applyFont="1" applyFill="1" applyBorder="1"/>
    <xf numFmtId="179" fontId="37" fillId="0" borderId="0" xfId="0" applyNumberFormat="1" applyFont="1" applyFill="1" applyBorder="1"/>
    <xf numFmtId="180" fontId="37" fillId="0" borderId="0" xfId="0" applyNumberFormat="1" applyFont="1" applyFill="1" applyBorder="1"/>
    <xf numFmtId="0" fontId="37" fillId="0" borderId="0" xfId="0" applyFont="1" applyBorder="1"/>
    <xf numFmtId="180" fontId="37" fillId="0" borderId="0" xfId="0" applyNumberFormat="1" applyFont="1" applyBorder="1"/>
    <xf numFmtId="8" fontId="37" fillId="0" borderId="0" xfId="0" applyNumberFormat="1" applyFont="1" applyBorder="1"/>
    <xf numFmtId="0" fontId="0" fillId="0" borderId="55" xfId="0" applyBorder="1"/>
    <xf numFmtId="0" fontId="2" fillId="0" borderId="55" xfId="0" applyFont="1" applyFill="1" applyBorder="1"/>
    <xf numFmtId="0" fontId="0" fillId="0" borderId="25" xfId="0" applyFont="1" applyBorder="1"/>
    <xf numFmtId="165" fontId="0" fillId="0" borderId="0" xfId="0" applyNumberFormat="1" applyFont="1" applyFill="1" applyBorder="1"/>
    <xf numFmtId="9" fontId="0" fillId="0" borderId="8" xfId="2" applyFont="1" applyFill="1" applyBorder="1"/>
    <xf numFmtId="0" fontId="0" fillId="0" borderId="1" xfId="0" applyFill="1" applyBorder="1" applyAlignment="1">
      <alignment horizontal="left"/>
    </xf>
    <xf numFmtId="165" fontId="0" fillId="0" borderId="8" xfId="0" applyNumberFormat="1" applyFont="1" applyFill="1" applyBorder="1"/>
    <xf numFmtId="8" fontId="0" fillId="0" borderId="0" xfId="0" applyNumberFormat="1" applyBorder="1"/>
    <xf numFmtId="172" fontId="0" fillId="0" borderId="8" xfId="0" applyNumberFormat="1" applyFont="1" applyFill="1" applyBorder="1"/>
    <xf numFmtId="172" fontId="0" fillId="0" borderId="0" xfId="0" applyNumberFormat="1" applyFont="1" applyFill="1" applyBorder="1"/>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xf numFmtId="0" fontId="2" fillId="0" borderId="0" xfId="0" applyFont="1" applyFill="1" applyBorder="1"/>
    <xf numFmtId="0" fontId="2" fillId="0" borderId="8" xfId="0" applyFont="1" applyBorder="1"/>
    <xf numFmtId="0" fontId="2"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2" fillId="0" borderId="8" xfId="0" applyFont="1" applyFill="1" applyBorder="1" applyAlignment="1">
      <alignment horizontal="right"/>
    </xf>
    <xf numFmtId="0" fontId="27" fillId="0" borderId="1" xfId="0" applyFont="1" applyFill="1" applyBorder="1" applyAlignment="1">
      <alignment horizontal="right"/>
    </xf>
    <xf numFmtId="0" fontId="0" fillId="10" borderId="48" xfId="0" applyFill="1" applyBorder="1"/>
    <xf numFmtId="0" fontId="0" fillId="10" borderId="49" xfId="0" applyFill="1" applyBorder="1"/>
    <xf numFmtId="0" fontId="0" fillId="2" borderId="49" xfId="0" applyFill="1" applyBorder="1" applyAlignment="1">
      <alignment horizontal="center"/>
    </xf>
    <xf numFmtId="0" fontId="2" fillId="0" borderId="49" xfId="0" applyFont="1" applyFill="1" applyBorder="1"/>
    <xf numFmtId="0" fontId="27" fillId="0" borderId="2" xfId="0" applyFont="1" applyBorder="1" applyAlignment="1">
      <alignment horizontal="left"/>
    </xf>
    <xf numFmtId="0" fontId="0" fillId="14" borderId="58" xfId="0" applyFill="1" applyBorder="1"/>
    <xf numFmtId="0" fontId="0" fillId="14" borderId="26" xfId="0" applyFill="1" applyBorder="1" applyAlignment="1">
      <alignment horizontal="right"/>
    </xf>
    <xf numFmtId="166" fontId="39" fillId="0" borderId="0" xfId="2" applyNumberFormat="1" applyFont="1"/>
    <xf numFmtId="0" fontId="37" fillId="0" borderId="0" xfId="0" applyFont="1" applyAlignment="1">
      <alignment horizontal="right"/>
    </xf>
    <xf numFmtId="0" fontId="0" fillId="14" borderId="59" xfId="0" applyFill="1" applyBorder="1"/>
    <xf numFmtId="0" fontId="0" fillId="14" borderId="60" xfId="0" applyFill="1" applyBorder="1" applyAlignment="1">
      <alignment horizontal="right"/>
    </xf>
    <xf numFmtId="0" fontId="2" fillId="0" borderId="0" xfId="0" applyFont="1" applyBorder="1" applyAlignment="1"/>
    <xf numFmtId="0" fontId="7" fillId="0" borderId="0" xfId="0" applyFont="1" applyBorder="1"/>
    <xf numFmtId="181" fontId="1" fillId="0" borderId="0" xfId="26" applyNumberFormat="1" applyFont="1" applyBorder="1"/>
    <xf numFmtId="0" fontId="0" fillId="0" borderId="0" xfId="0" applyBorder="1" applyAlignment="1">
      <alignment horizontal="right" vertical="center"/>
    </xf>
    <xf numFmtId="181" fontId="0" fillId="0" borderId="8" xfId="0" applyNumberFormat="1" applyFont="1" applyBorder="1"/>
    <xf numFmtId="181" fontId="0" fillId="0" borderId="0" xfId="0" applyNumberFormat="1" applyFont="1" applyBorder="1"/>
    <xf numFmtId="8" fontId="0" fillId="0" borderId="0" xfId="0" applyNumberFormat="1"/>
    <xf numFmtId="181" fontId="0" fillId="0" borderId="0" xfId="0" applyNumberFormat="1"/>
    <xf numFmtId="0" fontId="2" fillId="0" borderId="21" xfId="0" applyFont="1" applyBorder="1" applyAlignment="1">
      <alignment horizontal="center"/>
    </xf>
    <xf numFmtId="0" fontId="40" fillId="0" borderId="0" xfId="0" applyFont="1" applyBorder="1" applyAlignment="1">
      <alignment horizontal="center" vertical="center"/>
    </xf>
    <xf numFmtId="166" fontId="0" fillId="0" borderId="0" xfId="0" applyNumberFormat="1" applyBorder="1" applyAlignment="1">
      <alignment horizontal="center" vertical="center"/>
    </xf>
    <xf numFmtId="166" fontId="0" fillId="0" borderId="0" xfId="0" applyNumberFormat="1" applyFont="1" applyAlignment="1">
      <alignment horizontal="center"/>
    </xf>
    <xf numFmtId="166" fontId="0" fillId="0" borderId="0" xfId="0" applyNumberFormat="1" applyFont="1" applyBorder="1" applyAlignment="1">
      <alignment horizontal="center" vertical="center"/>
    </xf>
    <xf numFmtId="0" fontId="0" fillId="0" borderId="0" xfId="0" applyFont="1" applyAlignment="1">
      <alignment horizontal="center"/>
    </xf>
    <xf numFmtId="0" fontId="0" fillId="0" borderId="0" xfId="0" applyFont="1" applyBorder="1" applyAlignment="1">
      <alignment horizontal="center" vertical="center"/>
    </xf>
    <xf numFmtId="9" fontId="0" fillId="0" borderId="56" xfId="0" applyNumberFormat="1" applyBorder="1" applyAlignment="1">
      <alignment horizontal="center"/>
    </xf>
    <xf numFmtId="1" fontId="0" fillId="0" borderId="0" xfId="0" applyNumberFormat="1" applyBorder="1" applyAlignment="1">
      <alignment vertical="center"/>
    </xf>
    <xf numFmtId="0" fontId="2" fillId="0" borderId="0" xfId="0" applyFont="1" applyFill="1" applyBorder="1" applyAlignment="1">
      <alignment horizontal="center"/>
    </xf>
    <xf numFmtId="9" fontId="0" fillId="17" borderId="7" xfId="0" applyNumberFormat="1" applyFill="1" applyBorder="1" applyAlignment="1">
      <alignment horizontal="center"/>
    </xf>
    <xf numFmtId="0" fontId="0" fillId="14" borderId="61" xfId="0" applyFill="1" applyBorder="1" applyAlignment="1">
      <alignment horizontal="center"/>
    </xf>
    <xf numFmtId="0" fontId="0" fillId="14" borderId="53" xfId="0" applyFill="1" applyBorder="1" applyAlignment="1">
      <alignment horizontal="right"/>
    </xf>
    <xf numFmtId="9" fontId="0" fillId="17" borderId="22" xfId="0" applyNumberFormat="1" applyFill="1" applyBorder="1" applyAlignment="1">
      <alignment horizontal="center"/>
    </xf>
    <xf numFmtId="0" fontId="0" fillId="14" borderId="39" xfId="0" applyFill="1" applyBorder="1" applyAlignment="1">
      <alignment horizontal="center"/>
    </xf>
    <xf numFmtId="0" fontId="0" fillId="14" borderId="25" xfId="0" applyFill="1" applyBorder="1" applyAlignment="1">
      <alignment horizontal="right"/>
    </xf>
    <xf numFmtId="0" fontId="0" fillId="0" borderId="0" xfId="0" applyBorder="1" applyAlignment="1" applyProtection="1">
      <alignment horizontal="center"/>
      <protection locked="0"/>
    </xf>
    <xf numFmtId="0" fontId="0" fillId="0" borderId="62" xfId="0" applyFill="1" applyBorder="1" applyAlignment="1">
      <alignment horizontal="center"/>
    </xf>
    <xf numFmtId="0" fontId="2" fillId="0" borderId="62" xfId="0" applyFont="1" applyBorder="1" applyAlignment="1">
      <alignment horizontal="center"/>
    </xf>
    <xf numFmtId="0" fontId="0" fillId="5" borderId="0" xfId="0" applyFont="1" applyFill="1" applyAlignment="1">
      <alignment horizontal="center"/>
    </xf>
    <xf numFmtId="0" fontId="0" fillId="14" borderId="58" xfId="0" applyFill="1" applyBorder="1" applyAlignment="1">
      <alignment horizontal="center"/>
    </xf>
    <xf numFmtId="167" fontId="40" fillId="0" borderId="0" xfId="0" applyNumberFormat="1" applyFont="1" applyBorder="1" applyAlignment="1">
      <alignment horizontal="center" vertical="center"/>
    </xf>
    <xf numFmtId="0" fontId="0" fillId="0" borderId="59" xfId="0"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ill="1" applyBorder="1" applyAlignment="1">
      <alignment vertical="center"/>
    </xf>
    <xf numFmtId="167" fontId="40" fillId="0" borderId="13" xfId="0" applyNumberFormat="1" applyFont="1" applyBorder="1" applyAlignment="1">
      <alignment horizontal="center" vertical="center"/>
    </xf>
    <xf numFmtId="0" fontId="0" fillId="0" borderId="51" xfId="0" applyFill="1" applyBorder="1" applyAlignment="1">
      <alignment horizontal="center"/>
    </xf>
    <xf numFmtId="0" fontId="0" fillId="0" borderId="63" xfId="0" applyFill="1" applyBorder="1" applyAlignment="1">
      <alignment horizontal="center"/>
    </xf>
    <xf numFmtId="0" fontId="0" fillId="0" borderId="58" xfId="0" applyFill="1" applyBorder="1" applyAlignment="1">
      <alignment horizontal="center" vertical="center"/>
    </xf>
    <xf numFmtId="0" fontId="0" fillId="14" borderId="23" xfId="0" applyFill="1" applyBorder="1" applyAlignment="1">
      <alignment horizontal="center" vertical="center"/>
    </xf>
    <xf numFmtId="0" fontId="0" fillId="14" borderId="24" xfId="0" applyFill="1" applyBorder="1" applyAlignment="1">
      <alignment horizontal="right"/>
    </xf>
    <xf numFmtId="0" fontId="2" fillId="0" borderId="22" xfId="0" applyFont="1" applyFill="1" applyBorder="1" applyAlignment="1">
      <alignment horizontal="center"/>
    </xf>
    <xf numFmtId="0" fontId="0" fillId="0" borderId="0" xfId="0" applyBorder="1" applyAlignment="1">
      <alignment horizontal="right" vertical="center" indent="1"/>
    </xf>
    <xf numFmtId="0" fontId="0" fillId="0" borderId="23" xfId="0" applyFill="1" applyBorder="1" applyAlignment="1">
      <alignment horizontal="center" vertical="center"/>
    </xf>
    <xf numFmtId="0" fontId="0" fillId="5" borderId="0" xfId="0" applyFont="1" applyFill="1" applyBorder="1" applyAlignment="1">
      <alignment horizontal="center" vertical="center"/>
    </xf>
    <xf numFmtId="0" fontId="0" fillId="0" borderId="0" xfId="0" applyBorder="1" applyProtection="1">
      <protection locked="0"/>
    </xf>
    <xf numFmtId="3" fontId="0" fillId="0" borderId="0" xfId="0" applyNumberFormat="1" applyBorder="1" applyProtection="1">
      <protection locked="0"/>
    </xf>
    <xf numFmtId="37" fontId="25" fillId="0" borderId="0" xfId="0" applyNumberFormat="1" applyFont="1" applyBorder="1" applyProtection="1">
      <protection locked="0"/>
    </xf>
    <xf numFmtId="37" fontId="3" fillId="0" borderId="0" xfId="0" applyNumberFormat="1" applyFont="1" applyBorder="1" applyProtection="1">
      <protection locked="0"/>
    </xf>
    <xf numFmtId="10" fontId="3" fillId="0" borderId="22" xfId="2" applyNumberFormat="1" applyFont="1" applyFill="1" applyBorder="1" applyAlignment="1" applyProtection="1">
      <alignment horizontal="center"/>
      <protection locked="0"/>
    </xf>
    <xf numFmtId="37" fontId="41" fillId="0" borderId="0" xfId="0" applyNumberFormat="1" applyFont="1" applyBorder="1" applyProtection="1">
      <protection locked="0"/>
    </xf>
    <xf numFmtId="0" fontId="0" fillId="0" borderId="0" xfId="0" applyFill="1" applyBorder="1" applyProtection="1">
      <protection locked="0"/>
    </xf>
    <xf numFmtId="0" fontId="0" fillId="14" borderId="59" xfId="0" applyFill="1" applyBorder="1" applyAlignment="1" applyProtection="1">
      <alignment horizontal="center"/>
      <protection locked="0"/>
    </xf>
    <xf numFmtId="0" fontId="0" fillId="14" borderId="60" xfId="0" applyFont="1" applyFill="1" applyBorder="1" applyAlignment="1">
      <alignment horizontal="right"/>
    </xf>
    <xf numFmtId="37" fontId="25" fillId="0" borderId="0" xfId="0" applyNumberFormat="1" applyFont="1" applyFill="1" applyBorder="1" applyProtection="1">
      <protection locked="0"/>
    </xf>
    <xf numFmtId="37" fontId="25" fillId="0" borderId="29" xfId="0" applyNumberFormat="1" applyFont="1" applyBorder="1" applyProtection="1">
      <protection locked="0"/>
    </xf>
    <xf numFmtId="37" fontId="25" fillId="0" borderId="55" xfId="0" applyNumberFormat="1" applyFont="1" applyBorder="1" applyProtection="1">
      <protection locked="0"/>
    </xf>
    <xf numFmtId="37" fontId="25" fillId="0" borderId="55" xfId="0" applyNumberFormat="1" applyFont="1" applyFill="1" applyBorder="1" applyProtection="1">
      <protection locked="0"/>
    </xf>
    <xf numFmtId="37" fontId="41" fillId="0" borderId="55" xfId="0" applyNumberFormat="1" applyFont="1" applyBorder="1" applyProtection="1">
      <protection locked="0"/>
    </xf>
    <xf numFmtId="0" fontId="0" fillId="0" borderId="55" xfId="0" applyFill="1" applyBorder="1" applyProtection="1">
      <protection locked="0"/>
    </xf>
    <xf numFmtId="8" fontId="2" fillId="0" borderId="0" xfId="0" applyNumberFormat="1" applyFont="1" applyFill="1" applyBorder="1"/>
    <xf numFmtId="3" fontId="0" fillId="0" borderId="8" xfId="0" applyNumberFormat="1" applyBorder="1" applyProtection="1">
      <protection locked="0"/>
    </xf>
    <xf numFmtId="181" fontId="0" fillId="0" borderId="0" xfId="0" applyNumberFormat="1" applyBorder="1" applyProtection="1">
      <protection locked="0"/>
    </xf>
    <xf numFmtId="181" fontId="0" fillId="0" borderId="0" xfId="0" applyNumberFormat="1" applyFill="1" applyBorder="1" applyProtection="1">
      <protection locked="0"/>
    </xf>
    <xf numFmtId="181" fontId="0" fillId="0" borderId="0" xfId="0" applyNumberFormat="1" applyBorder="1"/>
    <xf numFmtId="181" fontId="1" fillId="0" borderId="8" xfId="26" applyNumberFormat="1" applyFont="1" applyBorder="1"/>
    <xf numFmtId="2" fontId="2" fillId="0" borderId="0" xfId="0" applyNumberFormat="1" applyFont="1" applyFill="1" applyBorder="1" applyAlignment="1">
      <alignment horizontal="center"/>
    </xf>
    <xf numFmtId="0" fontId="2" fillId="0" borderId="49" xfId="0" applyFont="1" applyFill="1" applyBorder="1" applyAlignment="1">
      <alignment horizontal="center"/>
    </xf>
    <xf numFmtId="0" fontId="0" fillId="0" borderId="49" xfId="0" applyBorder="1"/>
    <xf numFmtId="2" fontId="2" fillId="0" borderId="2" xfId="0" applyNumberFormat="1" applyFont="1" applyFill="1" applyBorder="1"/>
    <xf numFmtId="166" fontId="42" fillId="18" borderId="52" xfId="17" applyNumberFormat="1" applyFont="1" applyFill="1" applyBorder="1" applyAlignment="1">
      <alignment vertical="center"/>
    </xf>
    <xf numFmtId="0" fontId="42" fillId="0" borderId="53" xfId="17" applyFont="1" applyBorder="1" applyAlignment="1">
      <alignment vertical="center"/>
    </xf>
    <xf numFmtId="0" fontId="43" fillId="0" borderId="0" xfId="17" applyFont="1" applyBorder="1" applyAlignment="1">
      <alignment vertical="center"/>
    </xf>
    <xf numFmtId="22" fontId="0" fillId="0" borderId="0" xfId="0" applyNumberFormat="1"/>
    <xf numFmtId="181" fontId="3" fillId="0" borderId="0" xfId="17" applyNumberFormat="1" applyFont="1" applyAlignment="1">
      <alignment horizontal="left"/>
    </xf>
    <xf numFmtId="10" fontId="3" fillId="0" borderId="0" xfId="21" applyNumberFormat="1" applyFont="1" applyAlignment="1">
      <alignment horizontal="left"/>
    </xf>
    <xf numFmtId="10" fontId="3" fillId="0" borderId="0" xfId="17" applyNumberFormat="1" applyFont="1" applyAlignment="1">
      <alignment horizontal="left"/>
    </xf>
    <xf numFmtId="0" fontId="22" fillId="0" borderId="0" xfId="17" applyFont="1" applyAlignment="1">
      <alignment horizontal="center"/>
    </xf>
    <xf numFmtId="10" fontId="22" fillId="0" borderId="0" xfId="21" applyNumberFormat="1" applyFont="1" applyAlignment="1">
      <alignment horizontal="center"/>
    </xf>
    <xf numFmtId="181" fontId="22" fillId="0" borderId="0" xfId="17" applyNumberFormat="1" applyFont="1" applyAlignment="1">
      <alignment horizontal="center"/>
    </xf>
    <xf numFmtId="181" fontId="3" fillId="0" borderId="0" xfId="17" applyNumberFormat="1" applyFont="1" applyAlignment="1">
      <alignment horizontal="center"/>
    </xf>
    <xf numFmtId="167" fontId="0" fillId="0" borderId="0" xfId="0" applyNumberFormat="1" applyFill="1" applyAlignment="1">
      <alignment horizontal="center"/>
    </xf>
    <xf numFmtId="2" fontId="3" fillId="0" borderId="0" xfId="17" applyNumberFormat="1" applyFont="1" applyAlignment="1">
      <alignment horizontal="right"/>
    </xf>
    <xf numFmtId="9" fontId="3" fillId="0" borderId="0" xfId="2" applyFont="1" applyAlignment="1">
      <alignment horizontal="right"/>
    </xf>
    <xf numFmtId="166" fontId="3" fillId="0" borderId="0" xfId="2" applyNumberFormat="1" applyFont="1" applyAlignment="1">
      <alignment horizontal="right"/>
    </xf>
    <xf numFmtId="1" fontId="3" fillId="0" borderId="0" xfId="17" applyNumberFormat="1" applyFont="1" applyAlignment="1">
      <alignment horizontal="right"/>
    </xf>
    <xf numFmtId="164" fontId="3" fillId="0" borderId="0" xfId="1" applyNumberFormat="1" applyFont="1" applyAlignment="1">
      <alignment horizontal="center"/>
    </xf>
    <xf numFmtId="166" fontId="3" fillId="0" borderId="0" xfId="2" applyNumberFormat="1" applyFont="1" applyAlignment="1">
      <alignment horizontal="center"/>
    </xf>
    <xf numFmtId="166" fontId="0" fillId="0" borderId="0" xfId="0" applyNumberFormat="1" applyFill="1" applyAlignment="1">
      <alignment horizontal="right"/>
    </xf>
    <xf numFmtId="10" fontId="3" fillId="0" borderId="0" xfId="2" applyNumberFormat="1" applyFont="1" applyAlignment="1">
      <alignment horizontal="right"/>
    </xf>
    <xf numFmtId="166" fontId="3" fillId="0" borderId="0" xfId="17" applyNumberFormat="1" applyFont="1" applyAlignment="1">
      <alignment horizontal="right"/>
    </xf>
    <xf numFmtId="0" fontId="0" fillId="19" borderId="0" xfId="0" applyFont="1" applyFill="1" applyAlignment="1">
      <alignment horizontal="center"/>
    </xf>
    <xf numFmtId="167" fontId="0" fillId="19" borderId="0" xfId="0" applyNumberFormat="1" applyFill="1" applyAlignment="1">
      <alignment horizontal="center"/>
    </xf>
    <xf numFmtId="166" fontId="0" fillId="19" borderId="0" xfId="0" applyNumberFormat="1" applyFill="1" applyAlignment="1">
      <alignment horizontal="right"/>
    </xf>
    <xf numFmtId="10" fontId="3" fillId="19" borderId="0" xfId="2" applyNumberFormat="1" applyFont="1" applyFill="1" applyAlignment="1">
      <alignment horizontal="right"/>
    </xf>
    <xf numFmtId="2" fontId="3" fillId="19" borderId="0" xfId="17" applyNumberFormat="1" applyFont="1" applyFill="1" applyAlignment="1">
      <alignment horizontal="right"/>
    </xf>
    <xf numFmtId="0" fontId="3" fillId="0" borderId="0" xfId="17" applyNumberFormat="1" applyFont="1" applyAlignment="1">
      <alignment horizontal="center"/>
    </xf>
    <xf numFmtId="37" fontId="0" fillId="0" borderId="0" xfId="0" applyNumberFormat="1" applyAlignment="1">
      <alignment horizontal="center"/>
    </xf>
    <xf numFmtId="0" fontId="6" fillId="0" borderId="0" xfId="0" applyFont="1" applyAlignment="1">
      <alignment horizontal="left"/>
    </xf>
    <xf numFmtId="166" fontId="0" fillId="0" borderId="56" xfId="0" applyNumberFormat="1" applyBorder="1" applyAlignment="1">
      <alignment horizontal="center"/>
    </xf>
    <xf numFmtId="3" fontId="0" fillId="0" borderId="22" xfId="0" applyNumberFormat="1" applyBorder="1"/>
    <xf numFmtId="0" fontId="2" fillId="5" borderId="0" xfId="0" applyFont="1" applyFill="1"/>
    <xf numFmtId="0" fontId="2" fillId="0" borderId="0" xfId="0" applyFont="1" applyFill="1"/>
    <xf numFmtId="0" fontId="24" fillId="0" borderId="0" xfId="0" applyFont="1" applyFill="1" applyBorder="1" applyAlignment="1">
      <alignment horizontal="left" vertical="center"/>
    </xf>
    <xf numFmtId="2" fontId="0" fillId="0" borderId="0" xfId="0" applyNumberFormat="1" applyFill="1" applyBorder="1" applyAlignment="1">
      <alignment vertical="center"/>
    </xf>
    <xf numFmtId="0" fontId="0" fillId="0" borderId="0" xfId="0" applyFont="1" applyFill="1" applyBorder="1" applyAlignment="1">
      <alignment vertical="center"/>
    </xf>
    <xf numFmtId="166" fontId="0" fillId="0" borderId="0" xfId="0" applyNumberFormat="1" applyFont="1" applyFill="1" applyBorder="1" applyAlignment="1">
      <alignment horizontal="center" vertical="center"/>
    </xf>
    <xf numFmtId="0" fontId="44" fillId="0" borderId="0" xfId="0" applyFont="1" applyFill="1" applyBorder="1" applyAlignment="1">
      <alignment horizontal="right" vertical="center"/>
    </xf>
    <xf numFmtId="0" fontId="45" fillId="0" borderId="0" xfId="0" applyFont="1" applyFill="1" applyBorder="1" applyAlignment="1">
      <alignment vertical="center"/>
    </xf>
    <xf numFmtId="166" fontId="46" fillId="0" borderId="0" xfId="0" applyNumberFormat="1" applyFont="1" applyFill="1" applyBorder="1" applyAlignment="1">
      <alignment horizontal="center" vertical="center"/>
    </xf>
    <xf numFmtId="0" fontId="47" fillId="0" borderId="0" xfId="15" applyFont="1" applyFill="1" applyBorder="1" applyAlignment="1" applyProtection="1">
      <alignment vertical="center"/>
    </xf>
    <xf numFmtId="0" fontId="48" fillId="0" borderId="0" xfId="0" applyFont="1" applyFill="1" applyBorder="1" applyAlignment="1">
      <alignment horizontal="left" vertical="center" wrapText="1"/>
    </xf>
    <xf numFmtId="2"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2" fontId="49"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47" fillId="0" borderId="0" xfId="15" applyFont="1" applyFill="1" applyBorder="1" applyAlignment="1" applyProtection="1">
      <alignment horizontal="center" vertical="center"/>
    </xf>
    <xf numFmtId="3" fontId="50" fillId="0" borderId="0"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49"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0" fontId="50"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10" fontId="49"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9" fontId="49" fillId="0" borderId="0" xfId="0" applyNumberFormat="1" applyFont="1" applyFill="1" applyBorder="1" applyAlignment="1">
      <alignment horizontal="center" vertical="center"/>
    </xf>
    <xf numFmtId="0" fontId="51" fillId="0" borderId="0" xfId="0" applyFont="1" applyFill="1" applyBorder="1" applyAlignment="1">
      <alignment horizontal="center" vertical="center"/>
    </xf>
    <xf numFmtId="9" fontId="0" fillId="0" borderId="0" xfId="0" applyNumberForma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wrapText="1"/>
    </xf>
    <xf numFmtId="0" fontId="0" fillId="0" borderId="12" xfId="0" applyFont="1" applyBorder="1" applyAlignment="1">
      <alignment horizontal="left"/>
    </xf>
    <xf numFmtId="9" fontId="0" fillId="0" borderId="0" xfId="2" applyNumberFormat="1" applyFont="1" applyFill="1" applyBorder="1"/>
    <xf numFmtId="8" fontId="0" fillId="0" borderId="0" xfId="0" applyNumberFormat="1" applyFont="1" applyFill="1" applyBorder="1"/>
    <xf numFmtId="8" fontId="0" fillId="0" borderId="0" xfId="0" applyNumberFormat="1" applyFill="1" applyBorder="1"/>
    <xf numFmtId="0" fontId="0" fillId="0" borderId="1" xfId="0" applyFill="1" applyBorder="1" applyAlignment="1">
      <alignment horizontal="left" indent="1"/>
    </xf>
    <xf numFmtId="180" fontId="0" fillId="0" borderId="0" xfId="0" applyNumberFormat="1" applyFill="1" applyBorder="1"/>
    <xf numFmtId="0" fontId="0" fillId="0" borderId="1" xfId="0" applyFont="1" applyBorder="1" applyAlignment="1">
      <alignment horizontal="left"/>
    </xf>
    <xf numFmtId="0" fontId="0" fillId="0" borderId="1" xfId="0" applyBorder="1" applyAlignment="1">
      <alignment horizontal="left" indent="1"/>
    </xf>
    <xf numFmtId="180" fontId="0" fillId="0" borderId="0" xfId="0" applyNumberFormat="1" applyBorder="1"/>
    <xf numFmtId="180" fontId="0" fillId="0" borderId="48" xfId="0" applyNumberFormat="1" applyBorder="1"/>
    <xf numFmtId="180" fontId="0" fillId="0" borderId="49" xfId="0" applyNumberFormat="1" applyBorder="1"/>
    <xf numFmtId="180" fontId="0" fillId="0" borderId="49" xfId="0" applyNumberFormat="1" applyFill="1" applyBorder="1"/>
    <xf numFmtId="8" fontId="0" fillId="0" borderId="49" xfId="0" applyNumberFormat="1" applyBorder="1"/>
    <xf numFmtId="0" fontId="0" fillId="0" borderId="55" xfId="0" applyFill="1" applyBorder="1"/>
    <xf numFmtId="180" fontId="0" fillId="0" borderId="0" xfId="26" applyNumberFormat="1" applyFont="1" applyFill="1" applyBorder="1"/>
    <xf numFmtId="0" fontId="0" fillId="0" borderId="1" xfId="0" applyFont="1" applyFill="1" applyBorder="1"/>
    <xf numFmtId="0" fontId="32" fillId="0" borderId="0" xfId="0" applyFont="1" applyBorder="1"/>
    <xf numFmtId="0" fontId="32" fillId="0" borderId="1" xfId="0" applyFont="1" applyBorder="1"/>
    <xf numFmtId="0" fontId="2" fillId="0" borderId="8" xfId="0" applyFont="1" applyFill="1" applyBorder="1"/>
    <xf numFmtId="2" fontId="2" fillId="0" borderId="0" xfId="0" applyNumberFormat="1" applyFont="1" applyFill="1"/>
    <xf numFmtId="0" fontId="2" fillId="0" borderId="1" xfId="0" applyFont="1" applyFill="1" applyBorder="1"/>
    <xf numFmtId="0" fontId="2" fillId="12" borderId="0" xfId="0" applyFont="1" applyFill="1"/>
    <xf numFmtId="0" fontId="2" fillId="20" borderId="0" xfId="0" applyFont="1" applyFill="1"/>
    <xf numFmtId="0" fontId="2" fillId="19" borderId="0" xfId="0" applyFont="1" applyFill="1"/>
    <xf numFmtId="0" fontId="27" fillId="21" borderId="0" xfId="0" applyFont="1" applyFill="1" applyAlignment="1">
      <alignment horizontal="center"/>
    </xf>
    <xf numFmtId="0" fontId="27" fillId="2" borderId="0" xfId="0" applyFont="1" applyFill="1" applyAlignment="1">
      <alignment horizontal="center"/>
    </xf>
    <xf numFmtId="0" fontId="43" fillId="0" borderId="0" xfId="17" applyFont="1" applyBorder="1" applyAlignment="1">
      <alignment horizontal="left" vertical="center"/>
    </xf>
    <xf numFmtId="2" fontId="2" fillId="0" borderId="0" xfId="0" applyNumberFormat="1" applyFont="1" applyFill="1" applyAlignment="1">
      <alignment vertical="center"/>
    </xf>
    <xf numFmtId="164" fontId="0" fillId="0" borderId="0" xfId="1" applyNumberFormat="1" applyFont="1" applyBorder="1" applyAlignment="1">
      <alignment horizontal="center"/>
    </xf>
    <xf numFmtId="3" fontId="0" fillId="0" borderId="0" xfId="1" applyNumberFormat="1" applyFont="1" applyBorder="1" applyAlignment="1"/>
    <xf numFmtId="0" fontId="0" fillId="0" borderId="0" xfId="0" applyBorder="1" applyAlignment="1">
      <alignment horizontal="right"/>
    </xf>
    <xf numFmtId="0" fontId="27" fillId="0" borderId="0" xfId="0" applyFont="1" applyFill="1" applyBorder="1"/>
    <xf numFmtId="10" fontId="0" fillId="0" borderId="0" xfId="0" applyNumberFormat="1" applyBorder="1"/>
    <xf numFmtId="164" fontId="0" fillId="0" borderId="0" xfId="0" applyNumberFormat="1" applyFill="1" applyBorder="1" applyAlignment="1">
      <alignment horizontal="center"/>
    </xf>
    <xf numFmtId="4" fontId="0" fillId="0" borderId="0" xfId="0" applyNumberFormat="1" applyBorder="1" applyAlignment="1">
      <alignment horizontal="center" vertical="center"/>
    </xf>
    <xf numFmtId="0" fontId="0" fillId="0" borderId="0" xfId="0" applyFill="1" applyAlignment="1">
      <alignment horizontal="left" wrapText="1"/>
    </xf>
    <xf numFmtId="3" fontId="0" fillId="0" borderId="13" xfId="0" applyNumberFormat="1" applyBorder="1"/>
    <xf numFmtId="167" fontId="0" fillId="0" borderId="0" xfId="0" applyNumberFormat="1" applyBorder="1"/>
    <xf numFmtId="3" fontId="0" fillId="0" borderId="0" xfId="0" applyNumberFormat="1" applyBorder="1" applyAlignment="1">
      <alignment horizontal="right"/>
    </xf>
    <xf numFmtId="3" fontId="0" fillId="0" borderId="21" xfId="1" applyNumberFormat="1" applyFont="1" applyFill="1" applyBorder="1" applyAlignment="1">
      <alignment horizontal="right"/>
    </xf>
    <xf numFmtId="3" fontId="0" fillId="0" borderId="21" xfId="1" applyNumberFormat="1" applyFont="1" applyFill="1" applyBorder="1" applyAlignment="1">
      <alignment horizontal="center"/>
    </xf>
    <xf numFmtId="0" fontId="27" fillId="0" borderId="0" xfId="0" applyFont="1" applyBorder="1" applyAlignment="1">
      <alignment horizontal="left" indent="1"/>
    </xf>
    <xf numFmtId="0" fontId="0" fillId="0" borderId="21" xfId="0" applyFill="1" applyBorder="1" applyAlignment="1">
      <alignment horizontal="right"/>
    </xf>
    <xf numFmtId="0" fontId="0" fillId="0" borderId="21" xfId="0" applyFill="1" applyBorder="1" applyAlignment="1">
      <alignment horizontal="center"/>
    </xf>
    <xf numFmtId="0" fontId="2" fillId="6" borderId="13" xfId="0" applyFont="1" applyFill="1" applyBorder="1" applyAlignment="1">
      <alignment horizontal="center"/>
    </xf>
    <xf numFmtId="0" fontId="0" fillId="0" borderId="13" xfId="0" applyFill="1" applyBorder="1"/>
    <xf numFmtId="0" fontId="2" fillId="6" borderId="42" xfId="0" applyFont="1" applyFill="1" applyBorder="1" applyAlignment="1">
      <alignment horizontal="center"/>
    </xf>
    <xf numFmtId="0" fontId="2" fillId="6" borderId="0" xfId="0" applyFont="1" applyFill="1" applyBorder="1" applyAlignment="1">
      <alignment horizontal="center"/>
    </xf>
    <xf numFmtId="0" fontId="2" fillId="6" borderId="21" xfId="0" applyFont="1" applyFill="1" applyBorder="1" applyAlignment="1">
      <alignment horizontal="center"/>
    </xf>
    <xf numFmtId="0" fontId="32" fillId="0" borderId="0" xfId="0" applyFont="1" applyFill="1" applyBorder="1"/>
    <xf numFmtId="0" fontId="0" fillId="0" borderId="0" xfId="0" applyFont="1" applyFill="1" applyBorder="1" applyAlignment="1">
      <alignment horizontal="left"/>
    </xf>
    <xf numFmtId="0" fontId="0" fillId="0" borderId="0" xfId="0" quotePrefix="1" applyFont="1" applyFill="1" applyBorder="1" applyAlignment="1">
      <alignment horizontal="left" indent="1"/>
    </xf>
    <xf numFmtId="166" fontId="0" fillId="0" borderId="29" xfId="2" applyNumberFormat="1" applyFont="1" applyBorder="1" applyAlignment="1">
      <alignment horizontal="center"/>
    </xf>
    <xf numFmtId="166" fontId="0" fillId="0" borderId="55" xfId="2" applyNumberFormat="1" applyFont="1" applyBorder="1" applyAlignment="1">
      <alignment horizontal="center"/>
    </xf>
    <xf numFmtId="166" fontId="0" fillId="0" borderId="25" xfId="2" applyNumberFormat="1" applyFont="1" applyBorder="1" applyAlignment="1">
      <alignment horizontal="center"/>
    </xf>
    <xf numFmtId="0" fontId="0" fillId="0" borderId="47" xfId="0" applyBorder="1" applyAlignment="1">
      <alignment horizontal="center" vertical="center"/>
    </xf>
    <xf numFmtId="166" fontId="0" fillId="0" borderId="8" xfId="2" applyNumberFormat="1" applyFont="1" applyBorder="1" applyAlignment="1">
      <alignment horizontal="center"/>
    </xf>
    <xf numFmtId="166" fontId="0" fillId="0" borderId="1" xfId="2" applyNumberFormat="1" applyFont="1" applyBorder="1" applyAlignment="1">
      <alignment horizontal="center"/>
    </xf>
    <xf numFmtId="166" fontId="0" fillId="0" borderId="48" xfId="2" applyNumberFormat="1" applyFont="1" applyBorder="1" applyAlignment="1">
      <alignment horizontal="center"/>
    </xf>
    <xf numFmtId="166" fontId="0" fillId="0" borderId="49" xfId="2" applyNumberFormat="1" applyFont="1" applyBorder="1" applyAlignment="1">
      <alignment horizontal="center"/>
    </xf>
    <xf numFmtId="166" fontId="0" fillId="0" borderId="2" xfId="2" applyNumberFormat="1" applyFont="1" applyBorder="1" applyAlignment="1">
      <alignment horizontal="center"/>
    </xf>
    <xf numFmtId="0" fontId="0" fillId="0" borderId="50" xfId="0" applyBorder="1" applyAlignment="1">
      <alignment horizontal="center"/>
    </xf>
    <xf numFmtId="0" fontId="0" fillId="0" borderId="47" xfId="0" applyBorder="1" applyAlignment="1">
      <alignment horizontal="center"/>
    </xf>
    <xf numFmtId="166" fontId="0" fillId="2" borderId="13" xfId="2" applyNumberFormat="1" applyFont="1" applyFill="1" applyBorder="1" applyAlignment="1">
      <alignment horizontal="center"/>
    </xf>
    <xf numFmtId="166" fontId="0" fillId="0" borderId="13" xfId="2" applyNumberFormat="1" applyFont="1" applyBorder="1" applyAlignment="1">
      <alignment horizontal="center"/>
    </xf>
    <xf numFmtId="3" fontId="0" fillId="0" borderId="13" xfId="0" applyNumberFormat="1" applyBorder="1" applyAlignment="1">
      <alignment horizontal="center"/>
    </xf>
    <xf numFmtId="43" fontId="0" fillId="0" borderId="0" xfId="0" applyNumberFormat="1" applyBorder="1" applyAlignment="1">
      <alignment horizontal="center"/>
    </xf>
    <xf numFmtId="0" fontId="0" fillId="2" borderId="0" xfId="0" applyFill="1" applyBorder="1" applyAlignment="1">
      <alignment horizontal="center"/>
    </xf>
    <xf numFmtId="43" fontId="2" fillId="0" borderId="0" xfId="0" applyNumberFormat="1" applyFont="1" applyBorder="1" applyAlignment="1">
      <alignment horizontal="center"/>
    </xf>
    <xf numFmtId="166" fontId="0" fillId="2" borderId="0" xfId="2" applyNumberFormat="1" applyFont="1" applyFill="1" applyBorder="1" applyAlignment="1">
      <alignment horizontal="center"/>
    </xf>
    <xf numFmtId="0" fontId="2" fillId="0" borderId="13" xfId="0" applyFont="1" applyBorder="1" applyAlignment="1">
      <alignment horizontal="center"/>
    </xf>
    <xf numFmtId="43" fontId="2" fillId="0" borderId="13" xfId="0" applyNumberFormat="1" applyFont="1" applyBorder="1" applyAlignment="1">
      <alignment horizontal="center"/>
    </xf>
    <xf numFmtId="43" fontId="2" fillId="6" borderId="0" xfId="0" applyNumberFormat="1" applyFont="1" applyFill="1" applyBorder="1" applyAlignment="1">
      <alignment horizontal="left"/>
    </xf>
    <xf numFmtId="0" fontId="0" fillId="6" borderId="0" xfId="0" applyFill="1" applyBorder="1"/>
    <xf numFmtId="0" fontId="27" fillId="0" borderId="0" xfId="0" applyFont="1" applyFill="1" applyBorder="1" applyAlignment="1">
      <alignment horizontal="left"/>
    </xf>
    <xf numFmtId="0" fontId="0" fillId="0" borderId="0" xfId="0" applyBorder="1" applyAlignment="1"/>
    <xf numFmtId="9" fontId="0" fillId="0" borderId="0" xfId="21" applyFont="1" applyBorder="1"/>
    <xf numFmtId="1" fontId="0" fillId="0" borderId="0" xfId="0" applyNumberFormat="1" applyFill="1" applyBorder="1" applyAlignment="1">
      <alignment horizontal="right"/>
    </xf>
    <xf numFmtId="9" fontId="0" fillId="5" borderId="0" xfId="0" applyNumberFormat="1" applyFill="1" applyBorder="1"/>
    <xf numFmtId="1" fontId="0" fillId="5" borderId="0" xfId="0" applyNumberFormat="1" applyFill="1" applyBorder="1" applyAlignment="1">
      <alignment horizontal="center"/>
    </xf>
    <xf numFmtId="4" fontId="0" fillId="0" borderId="0" xfId="1" applyNumberFormat="1" applyFont="1" applyBorder="1" applyAlignment="1">
      <alignment horizontal="center"/>
    </xf>
    <xf numFmtId="2" fontId="0" fillId="0" borderId="0" xfId="0" applyNumberFormat="1" applyBorder="1"/>
    <xf numFmtId="4" fontId="0" fillId="5" borderId="0" xfId="1" applyNumberFormat="1" applyFont="1" applyFill="1" applyBorder="1" applyAlignment="1">
      <alignment horizontal="center"/>
    </xf>
    <xf numFmtId="164" fontId="0" fillId="5" borderId="0" xfId="1" applyNumberFormat="1" applyFont="1" applyFill="1" applyBorder="1"/>
    <xf numFmtId="165" fontId="0" fillId="0" borderId="0" xfId="0" applyNumberFormat="1" applyFill="1" applyBorder="1"/>
    <xf numFmtId="0" fontId="0" fillId="0" borderId="1" xfId="0" applyFill="1" applyBorder="1" applyAlignment="1">
      <alignment horizontal="right"/>
    </xf>
    <xf numFmtId="165" fontId="0" fillId="0" borderId="0" xfId="0" applyNumberFormat="1" applyBorder="1"/>
    <xf numFmtId="165" fontId="0" fillId="0" borderId="0" xfId="1" applyNumberFormat="1" applyFont="1" applyBorder="1"/>
    <xf numFmtId="0" fontId="54" fillId="0" borderId="1" xfId="0" applyFont="1" applyBorder="1"/>
    <xf numFmtId="0" fontId="54" fillId="0" borderId="1" xfId="0" applyFont="1" applyFill="1" applyBorder="1"/>
    <xf numFmtId="0" fontId="0" fillId="0" borderId="1" xfId="0" applyBorder="1" applyAlignment="1">
      <alignment horizontal="right"/>
    </xf>
    <xf numFmtId="0" fontId="0" fillId="0" borderId="48" xfId="0" applyBorder="1"/>
    <xf numFmtId="0" fontId="30" fillId="0" borderId="0" xfId="0" applyFont="1" applyFill="1"/>
    <xf numFmtId="9" fontId="0" fillId="0" borderId="55" xfId="0" applyNumberFormat="1" applyBorder="1"/>
    <xf numFmtId="9" fontId="0" fillId="0" borderId="55" xfId="0" applyNumberFormat="1" applyFill="1" applyBorder="1"/>
    <xf numFmtId="0" fontId="0" fillId="0" borderId="55" xfId="0" applyFill="1" applyBorder="1" applyAlignment="1">
      <alignment horizontal="center"/>
    </xf>
    <xf numFmtId="171" fontId="0" fillId="0" borderId="0" xfId="1" applyNumberFormat="1" applyFont="1" applyBorder="1"/>
    <xf numFmtId="179" fontId="0" fillId="0" borderId="0" xfId="1" applyNumberFormat="1" applyFont="1" applyBorder="1"/>
    <xf numFmtId="179" fontId="0" fillId="0" borderId="0" xfId="1" applyNumberFormat="1" applyFont="1" applyFill="1" applyBorder="1"/>
    <xf numFmtId="8" fontId="0" fillId="0" borderId="0" xfId="0" applyNumberFormat="1" applyFont="1" applyBorder="1"/>
    <xf numFmtId="0" fontId="54" fillId="0" borderId="1" xfId="0" applyFont="1" applyBorder="1" applyProtection="1">
      <protection locked="0"/>
    </xf>
    <xf numFmtId="0" fontId="27" fillId="0" borderId="1" xfId="0" applyFont="1" applyFill="1" applyBorder="1" applyAlignment="1">
      <alignment horizontal="left"/>
    </xf>
    <xf numFmtId="0" fontId="2" fillId="2" borderId="49" xfId="0" applyFont="1" applyFill="1" applyBorder="1"/>
    <xf numFmtId="0" fontId="45" fillId="0" borderId="0" xfId="0" applyFont="1"/>
    <xf numFmtId="9" fontId="0" fillId="0" borderId="0" xfId="2" applyNumberFormat="1" applyFont="1" applyBorder="1"/>
    <xf numFmtId="2" fontId="0" fillId="0" borderId="0" xfId="0" applyNumberFormat="1" applyFill="1" applyAlignment="1">
      <alignment horizontal="center"/>
    </xf>
    <xf numFmtId="9" fontId="2" fillId="0" borderId="0" xfId="2" applyFont="1" applyBorder="1"/>
    <xf numFmtId="164" fontId="0" fillId="0" borderId="0" xfId="2" applyNumberFormat="1" applyFont="1" applyBorder="1"/>
    <xf numFmtId="9" fontId="0" fillId="5" borderId="0" xfId="2" applyFont="1" applyFill="1" applyBorder="1"/>
    <xf numFmtId="3" fontId="0" fillId="0" borderId="0" xfId="0" applyNumberFormat="1" applyAlignment="1">
      <alignment horizontal="center"/>
    </xf>
    <xf numFmtId="3" fontId="0" fillId="0" borderId="0" xfId="0" applyNumberFormat="1" applyFill="1" applyAlignment="1">
      <alignment horizontal="center"/>
    </xf>
    <xf numFmtId="9" fontId="2" fillId="0" borderId="0" xfId="2" applyFont="1" applyFill="1" applyBorder="1"/>
    <xf numFmtId="164" fontId="0" fillId="0" borderId="29" xfId="2" applyNumberFormat="1" applyFont="1" applyBorder="1"/>
    <xf numFmtId="164" fontId="0" fillId="0" borderId="55" xfId="2" applyNumberFormat="1" applyFont="1" applyBorder="1"/>
    <xf numFmtId="0" fontId="0" fillId="0" borderId="55" xfId="0" applyFont="1" applyBorder="1" applyAlignment="1">
      <alignment horizontal="center"/>
    </xf>
    <xf numFmtId="0" fontId="0" fillId="0" borderId="25" xfId="0" applyFont="1" applyBorder="1" applyAlignment="1">
      <alignment horizontal="left"/>
    </xf>
    <xf numFmtId="3" fontId="0" fillId="0" borderId="0" xfId="0" applyNumberFormat="1" applyFont="1"/>
    <xf numFmtId="164" fontId="1" fillId="0" borderId="0" xfId="1" applyNumberFormat="1" applyFont="1" applyFill="1" applyBorder="1" applyAlignment="1">
      <alignment horizontal="left" indent="2"/>
    </xf>
    <xf numFmtId="164" fontId="1" fillId="0" borderId="0" xfId="1" applyNumberFormat="1" applyFont="1" applyBorder="1" applyAlignment="1">
      <alignment horizontal="left" indent="1"/>
    </xf>
    <xf numFmtId="3" fontId="0" fillId="0" borderId="0" xfId="0" applyNumberFormat="1" applyFill="1" applyBorder="1"/>
    <xf numFmtId="164" fontId="0" fillId="0" borderId="0" xfId="1" applyNumberFormat="1" applyFont="1" applyBorder="1" applyAlignment="1">
      <alignment horizontal="left" indent="1"/>
    </xf>
    <xf numFmtId="0" fontId="0" fillId="0" borderId="1" xfId="0" applyFont="1" applyBorder="1" applyAlignment="1">
      <alignment horizontal="left" indent="1"/>
    </xf>
    <xf numFmtId="9" fontId="1" fillId="0" borderId="0" xfId="2" applyFont="1" applyBorder="1"/>
    <xf numFmtId="9" fontId="0" fillId="0" borderId="0" xfId="2" applyFont="1" applyBorder="1" applyAlignment="1">
      <alignment horizontal="right"/>
    </xf>
    <xf numFmtId="0" fontId="0" fillId="0" borderId="0" xfId="0" applyFont="1" applyBorder="1" applyAlignment="1">
      <alignment horizontal="left" indent="1"/>
    </xf>
    <xf numFmtId="0" fontId="0" fillId="0" borderId="1" xfId="0" applyFont="1" applyBorder="1" applyAlignment="1">
      <alignment horizontal="left" indent="3"/>
    </xf>
    <xf numFmtId="164" fontId="0" fillId="0" borderId="0" xfId="1" applyNumberFormat="1" applyFont="1" applyFill="1" applyBorder="1"/>
    <xf numFmtId="0" fontId="55" fillId="0" borderId="1" xfId="0" applyFont="1" applyBorder="1"/>
    <xf numFmtId="0" fontId="0" fillId="0" borderId="1" xfId="0" applyBorder="1" applyAlignment="1">
      <alignment horizontal="left" indent="3"/>
    </xf>
    <xf numFmtId="166" fontId="0" fillId="0" borderId="0" xfId="2" applyNumberFormat="1" applyFont="1" applyFill="1" applyBorder="1"/>
    <xf numFmtId="177" fontId="0" fillId="0" borderId="0" xfId="0" applyNumberFormat="1"/>
    <xf numFmtId="0" fontId="0" fillId="0" borderId="0" xfId="0" applyFont="1" applyBorder="1" applyAlignment="1">
      <alignment vertical="center"/>
    </xf>
    <xf numFmtId="0" fontId="0" fillId="0" borderId="0" xfId="0" applyFont="1" applyBorder="1" applyAlignment="1">
      <alignment horizontal="left" vertical="center" indent="1"/>
    </xf>
    <xf numFmtId="0" fontId="0" fillId="0" borderId="0" xfId="0" applyFill="1" applyBorder="1" applyAlignment="1" applyProtection="1">
      <alignment horizontal="center"/>
      <protection locked="0"/>
    </xf>
    <xf numFmtId="2" fontId="32" fillId="0" borderId="0" xfId="0" applyNumberFormat="1" applyFont="1"/>
    <xf numFmtId="2" fontId="2" fillId="0" borderId="0" xfId="0" applyNumberFormat="1" applyFont="1" applyFill="1" applyAlignment="1">
      <alignment horizontal="center"/>
    </xf>
    <xf numFmtId="0" fontId="1" fillId="0" borderId="0" xfId="0" applyFont="1"/>
    <xf numFmtId="0" fontId="27" fillId="0" borderId="0" xfId="0" applyFont="1" applyFill="1"/>
    <xf numFmtId="3" fontId="0" fillId="0" borderId="0" xfId="0" applyNumberFormat="1" applyFill="1"/>
    <xf numFmtId="2" fontId="0" fillId="0" borderId="0" xfId="0" applyNumberFormat="1" applyFill="1"/>
    <xf numFmtId="4" fontId="0" fillId="0" borderId="0" xfId="0" applyNumberFormat="1" applyFill="1"/>
    <xf numFmtId="3" fontId="27" fillId="0" borderId="0" xfId="0" applyNumberFormat="1" applyFont="1" applyFill="1" applyBorder="1"/>
    <xf numFmtId="3" fontId="27" fillId="0" borderId="0" xfId="0" applyNumberFormat="1" applyFont="1" applyFill="1"/>
    <xf numFmtId="3" fontId="0" fillId="0" borderId="13" xfId="0" applyNumberFormat="1" applyFill="1" applyBorder="1"/>
    <xf numFmtId="4" fontId="0" fillId="0" borderId="0" xfId="0" applyNumberFormat="1" applyFill="1" applyBorder="1"/>
    <xf numFmtId="4" fontId="0" fillId="0" borderId="0" xfId="0" applyNumberFormat="1"/>
    <xf numFmtId="3" fontId="0" fillId="0" borderId="56" xfId="0" applyNumberForma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2" fontId="27" fillId="0" borderId="0" xfId="0" applyNumberFormat="1" applyFont="1"/>
    <xf numFmtId="0" fontId="37" fillId="5" borderId="0" xfId="0" applyFont="1" applyFill="1"/>
    <xf numFmtId="0" fontId="37" fillId="0" borderId="0" xfId="0" applyFont="1" applyFill="1" applyAlignment="1"/>
    <xf numFmtId="2" fontId="0" fillId="0" borderId="0" xfId="0" applyNumberFormat="1" applyAlignment="1">
      <alignment horizontal="center" vertical="center"/>
    </xf>
    <xf numFmtId="0" fontId="0" fillId="0" borderId="0" xfId="0" applyFill="1" applyAlignment="1">
      <alignment wrapText="1"/>
    </xf>
    <xf numFmtId="0" fontId="37" fillId="0" borderId="0" xfId="0" applyFont="1" applyFill="1"/>
    <xf numFmtId="0" fontId="37" fillId="0" borderId="0" xfId="0" applyFont="1" applyAlignment="1">
      <alignment vertical="center"/>
    </xf>
    <xf numFmtId="166" fontId="0" fillId="0" borderId="0" xfId="0" applyNumberFormat="1" applyFill="1" applyAlignment="1">
      <alignment horizontal="center" vertical="center"/>
    </xf>
    <xf numFmtId="0" fontId="0" fillId="0" borderId="0" xfId="0" applyFill="1" applyAlignment="1">
      <alignment vertical="center" wrapText="1"/>
    </xf>
    <xf numFmtId="3" fontId="0" fillId="0" borderId="0" xfId="0" applyNumberFormat="1" applyFill="1" applyAlignment="1">
      <alignment horizontal="center" vertical="center"/>
    </xf>
    <xf numFmtId="0" fontId="0" fillId="14" borderId="0" xfId="0" applyFill="1" applyAlignment="1">
      <alignment vertical="center" wrapText="1"/>
    </xf>
    <xf numFmtId="9" fontId="0" fillId="14" borderId="0" xfId="0" applyNumberFormat="1" applyFill="1" applyAlignment="1">
      <alignment horizontal="center" vertical="center"/>
    </xf>
    <xf numFmtId="0" fontId="0" fillId="14" borderId="0" xfId="0" applyFill="1" applyAlignment="1">
      <alignment horizontal="center" vertical="center"/>
    </xf>
    <xf numFmtId="165" fontId="0" fillId="0" borderId="0" xfId="0" applyNumberFormat="1" applyFill="1" applyAlignment="1">
      <alignment horizontal="center" vertical="center"/>
    </xf>
    <xf numFmtId="1" fontId="0" fillId="0" borderId="0" xfId="0" applyNumberFormat="1" applyAlignment="1">
      <alignment horizontal="center" vertical="center"/>
    </xf>
    <xf numFmtId="1" fontId="0" fillId="0" borderId="0" xfId="2" applyNumberFormat="1" applyFont="1" applyFill="1" applyAlignment="1">
      <alignment horizontal="center" vertical="center"/>
    </xf>
    <xf numFmtId="2" fontId="0" fillId="0" borderId="0" xfId="2" applyNumberFormat="1" applyFont="1" applyFill="1" applyAlignment="1">
      <alignment horizontal="center" vertical="center"/>
    </xf>
    <xf numFmtId="0" fontId="0" fillId="0" borderId="0" xfId="0" applyFill="1" applyAlignment="1">
      <alignment vertical="center"/>
    </xf>
    <xf numFmtId="9" fontId="0" fillId="0" borderId="0" xfId="2" applyFont="1" applyFill="1" applyAlignment="1">
      <alignment horizontal="center" vertical="center"/>
    </xf>
    <xf numFmtId="0" fontId="0" fillId="14" borderId="0" xfId="0" applyFill="1" applyAlignment="1">
      <alignment wrapText="1"/>
    </xf>
    <xf numFmtId="9" fontId="0" fillId="14" borderId="0" xfId="2" applyFont="1" applyFill="1" applyAlignment="1">
      <alignment horizontal="center" vertical="center"/>
    </xf>
    <xf numFmtId="0" fontId="0" fillId="14" borderId="0" xfId="0" applyFill="1"/>
    <xf numFmtId="0" fontId="0" fillId="14" borderId="0" xfId="0" applyFill="1" applyAlignment="1">
      <alignment vertical="center"/>
    </xf>
    <xf numFmtId="183" fontId="0" fillId="0" borderId="0" xfId="0" applyNumberFormat="1"/>
    <xf numFmtId="4" fontId="0" fillId="0" borderId="0" xfId="0" applyNumberFormat="1" applyAlignment="1">
      <alignment horizontal="center"/>
    </xf>
    <xf numFmtId="3" fontId="0" fillId="0" borderId="0" xfId="0" applyNumberFormat="1" applyAlignment="1">
      <alignment vertical="center"/>
    </xf>
    <xf numFmtId="3" fontId="27" fillId="0" borderId="0" xfId="0" applyNumberFormat="1" applyFont="1" applyAlignment="1">
      <alignment vertical="center"/>
    </xf>
    <xf numFmtId="3" fontId="27" fillId="0" borderId="0" xfId="0" applyNumberFormat="1" applyFont="1" applyAlignment="1">
      <alignment horizontal="center"/>
    </xf>
    <xf numFmtId="4" fontId="27" fillId="0" borderId="0" xfId="0" applyNumberFormat="1" applyFont="1" applyAlignment="1">
      <alignment horizontal="center"/>
    </xf>
    <xf numFmtId="0" fontId="27" fillId="0" borderId="0" xfId="0" applyFont="1" applyAlignment="1">
      <alignment wrapText="1"/>
    </xf>
    <xf numFmtId="183" fontId="0" fillId="0" borderId="0" xfId="0" applyNumberFormat="1" applyAlignment="1">
      <alignment vertical="center"/>
    </xf>
    <xf numFmtId="4" fontId="0" fillId="0" borderId="0" xfId="0" applyNumberFormat="1" applyAlignment="1">
      <alignment horizontal="center" vertical="center"/>
    </xf>
    <xf numFmtId="3" fontId="27" fillId="0" borderId="0" xfId="0" applyNumberFormat="1" applyFont="1" applyBorder="1"/>
    <xf numFmtId="0" fontId="2" fillId="0" borderId="0" xfId="0" applyFont="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9" fontId="0" fillId="0" borderId="0" xfId="2" applyNumberFormat="1" applyFont="1" applyAlignment="1">
      <alignment horizontal="right" vertical="center"/>
    </xf>
    <xf numFmtId="0" fontId="0" fillId="0" borderId="0" xfId="0" applyAlignment="1">
      <alignment horizontal="left" vertical="center"/>
    </xf>
    <xf numFmtId="9" fontId="0" fillId="0" borderId="0" xfId="0" applyNumberFormat="1" applyFill="1" applyAlignment="1">
      <alignment horizontal="center" vertical="center"/>
    </xf>
    <xf numFmtId="2" fontId="0" fillId="0" borderId="0" xfId="2" applyNumberFormat="1" applyFont="1" applyAlignment="1">
      <alignment vertical="center"/>
    </xf>
    <xf numFmtId="9" fontId="0" fillId="5" borderId="0" xfId="0" applyNumberFormat="1" applyFill="1" applyAlignment="1">
      <alignment horizontal="center" vertical="center"/>
    </xf>
    <xf numFmtId="2" fontId="0" fillId="5" borderId="0" xfId="0" applyNumberFormat="1" applyFill="1" applyAlignment="1">
      <alignment horizontal="center" vertical="center"/>
    </xf>
    <xf numFmtId="9" fontId="0" fillId="0" borderId="0" xfId="2" applyNumberFormat="1" applyFont="1" applyFill="1" applyAlignment="1">
      <alignment horizontal="center" vertical="center"/>
    </xf>
    <xf numFmtId="0" fontId="2" fillId="0" borderId="0" xfId="0" applyFont="1" applyFill="1" applyAlignment="1">
      <alignment horizontal="center"/>
    </xf>
    <xf numFmtId="3" fontId="0" fillId="0" borderId="56" xfId="0" applyNumberFormat="1" applyFill="1" applyBorder="1"/>
    <xf numFmtId="0" fontId="38" fillId="0" borderId="0" xfId="0" applyFont="1"/>
    <xf numFmtId="0" fontId="2" fillId="0" borderId="0" xfId="0" applyFont="1" applyAlignment="1">
      <alignment horizontal="center" vertical="center" wrapText="1"/>
    </xf>
    <xf numFmtId="172" fontId="0" fillId="0" borderId="0" xfId="0" applyNumberFormat="1"/>
    <xf numFmtId="172" fontId="0" fillId="0" borderId="21" xfId="0" applyNumberFormat="1" applyBorder="1"/>
    <xf numFmtId="172" fontId="0" fillId="0" borderId="13" xfId="0" applyNumberFormat="1" applyBorder="1"/>
    <xf numFmtId="172" fontId="0" fillId="0" borderId="42" xfId="0" applyNumberFormat="1" applyBorder="1"/>
    <xf numFmtId="172" fontId="0" fillId="0" borderId="0" xfId="0" applyNumberFormat="1" applyBorder="1"/>
    <xf numFmtId="172" fontId="0" fillId="0" borderId="50" xfId="0" applyNumberFormat="1" applyBorder="1"/>
    <xf numFmtId="172" fontId="0" fillId="0" borderId="41" xfId="0" applyNumberFormat="1" applyBorder="1"/>
    <xf numFmtId="0" fontId="2" fillId="0" borderId="42" xfId="0" applyFont="1" applyBorder="1" applyAlignment="1">
      <alignment horizontal="center"/>
    </xf>
    <xf numFmtId="0" fontId="27" fillId="0" borderId="13" xfId="0" applyFont="1" applyBorder="1" applyAlignment="1">
      <alignment horizontal="right"/>
    </xf>
    <xf numFmtId="0" fontId="0" fillId="0" borderId="22" xfId="0" applyBorder="1"/>
    <xf numFmtId="9" fontId="0" fillId="0" borderId="22" xfId="2" applyFont="1" applyBorder="1" applyAlignment="1">
      <alignment horizontal="center" vertical="center"/>
    </xf>
    <xf numFmtId="9" fontId="0" fillId="2" borderId="22" xfId="2" applyFont="1" applyFill="1" applyBorder="1" applyAlignment="1">
      <alignment horizontal="center" vertical="center"/>
    </xf>
    <xf numFmtId="9" fontId="0" fillId="0" borderId="22" xfId="2" applyFont="1" applyFill="1" applyBorder="1" applyAlignment="1">
      <alignment horizontal="center" vertical="center"/>
    </xf>
    <xf numFmtId="0" fontId="0" fillId="5" borderId="22" xfId="0" applyFont="1" applyFill="1" applyBorder="1" applyAlignment="1">
      <alignment horizontal="left" vertical="center" indent="1"/>
    </xf>
    <xf numFmtId="0" fontId="0" fillId="5" borderId="22" xfId="0" applyFill="1" applyBorder="1" applyAlignment="1" applyProtection="1">
      <alignment horizontal="center"/>
      <protection locked="0"/>
    </xf>
    <xf numFmtId="0" fontId="0" fillId="0" borderId="22" xfId="0" applyBorder="1" applyAlignment="1">
      <alignment horizontal="left" vertical="center" indent="1"/>
    </xf>
    <xf numFmtId="0" fontId="0" fillId="0" borderId="22" xfId="0" applyBorder="1" applyAlignment="1" applyProtection="1">
      <alignment horizontal="center"/>
      <protection locked="0"/>
    </xf>
    <xf numFmtId="0" fontId="0" fillId="12" borderId="22" xfId="0" applyFill="1" applyBorder="1" applyAlignment="1">
      <alignment horizontal="left" vertical="center" indent="1"/>
    </xf>
    <xf numFmtId="0" fontId="0" fillId="12" borderId="22" xfId="0" applyFill="1" applyBorder="1" applyAlignment="1" applyProtection="1">
      <alignment horizontal="center"/>
      <protection locked="0"/>
    </xf>
    <xf numFmtId="0" fontId="0" fillId="0" borderId="22" xfId="0" applyFill="1" applyBorder="1" applyAlignment="1">
      <alignment horizontal="left" vertical="center" indent="1"/>
    </xf>
    <xf numFmtId="0" fontId="0" fillId="0" borderId="22" xfId="0" applyFill="1" applyBorder="1" applyAlignment="1" applyProtection="1">
      <alignment horizontal="center"/>
      <protection locked="0"/>
    </xf>
    <xf numFmtId="0" fontId="0" fillId="5" borderId="22" xfId="0" applyFill="1" applyBorder="1" applyAlignment="1">
      <alignment horizontal="left" vertical="center" indent="1"/>
    </xf>
    <xf numFmtId="0" fontId="27" fillId="0" borderId="22" xfId="0" applyFont="1" applyBorder="1"/>
    <xf numFmtId="0" fontId="2" fillId="0" borderId="22" xfId="0" applyFont="1" applyBorder="1"/>
    <xf numFmtId="0" fontId="0" fillId="5" borderId="0" xfId="0" applyFont="1" applyFill="1" applyBorder="1" applyAlignment="1">
      <alignment horizontal="left" vertical="center" indent="1"/>
    </xf>
    <xf numFmtId="0" fontId="0" fillId="5" borderId="0" xfId="0" applyFill="1" applyBorder="1" applyAlignment="1" applyProtection="1">
      <alignment horizontal="center"/>
      <protection locked="0"/>
    </xf>
    <xf numFmtId="0" fontId="0" fillId="5" borderId="0" xfId="0" applyFill="1" applyBorder="1" applyAlignment="1">
      <alignment horizontal="left" vertical="center" indent="1"/>
    </xf>
    <xf numFmtId="0" fontId="57" fillId="0" borderId="0" xfId="34" applyAlignment="1" applyProtection="1"/>
    <xf numFmtId="0" fontId="48" fillId="0" borderId="44" xfId="18" applyFont="1" applyFill="1" applyBorder="1" applyAlignment="1">
      <alignment horizontal="center"/>
    </xf>
    <xf numFmtId="164" fontId="0" fillId="12" borderId="0" xfId="1" applyNumberFormat="1" applyFont="1" applyFill="1"/>
    <xf numFmtId="164" fontId="0" fillId="5" borderId="0" xfId="1" applyNumberFormat="1" applyFont="1" applyFill="1"/>
    <xf numFmtId="38" fontId="0" fillId="0" borderId="0" xfId="0" applyNumberFormat="1"/>
    <xf numFmtId="0" fontId="48" fillId="0" borderId="43" xfId="18" applyFont="1" applyFill="1" applyBorder="1" applyAlignment="1">
      <alignment horizontal="center"/>
    </xf>
    <xf numFmtId="10" fontId="0" fillId="0" borderId="13" xfId="0" applyNumberFormat="1" applyBorder="1"/>
    <xf numFmtId="181" fontId="0" fillId="0" borderId="13" xfId="0" applyNumberFormat="1" applyBorder="1"/>
    <xf numFmtId="3" fontId="0" fillId="2" borderId="0" xfId="0" applyNumberFormat="1" applyFill="1" applyAlignment="1">
      <alignment horizontal="center"/>
    </xf>
    <xf numFmtId="0" fontId="0" fillId="12" borderId="0" xfId="0" applyFill="1"/>
    <xf numFmtId="0" fontId="0" fillId="12" borderId="0" xfId="0" applyFill="1" applyBorder="1" applyAlignment="1">
      <alignment horizontal="left" vertical="center" indent="1"/>
    </xf>
    <xf numFmtId="0" fontId="0" fillId="12" borderId="0" xfId="0" applyFill="1" applyBorder="1" applyAlignment="1" applyProtection="1">
      <alignment horizontal="center"/>
      <protection locked="0"/>
    </xf>
    <xf numFmtId="8" fontId="7" fillId="0" borderId="0" xfId="0" applyNumberFormat="1" applyFont="1" applyAlignment="1">
      <alignment horizontal="center"/>
    </xf>
    <xf numFmtId="0" fontId="40" fillId="0" borderId="0" xfId="0" applyFont="1"/>
    <xf numFmtId="164" fontId="0" fillId="0" borderId="22" xfId="0" applyNumberFormat="1" applyBorder="1"/>
    <xf numFmtId="0" fontId="0" fillId="0" borderId="0" xfId="0" quotePrefix="1"/>
    <xf numFmtId="164" fontId="0" fillId="23" borderId="0" xfId="1" applyNumberFormat="1" applyFont="1" applyFill="1" applyBorder="1"/>
    <xf numFmtId="164" fontId="0" fillId="0" borderId="22" xfId="1" applyNumberFormat="1" applyFont="1" applyBorder="1"/>
    <xf numFmtId="164" fontId="0" fillId="23" borderId="22" xfId="1" applyNumberFormat="1" applyFont="1" applyFill="1" applyBorder="1"/>
    <xf numFmtId="1" fontId="0" fillId="5" borderId="0" xfId="0" applyNumberFormat="1" applyFill="1"/>
    <xf numFmtId="0" fontId="0" fillId="5" borderId="0" xfId="0" applyFill="1" applyAlignment="1">
      <alignment horizontal="right"/>
    </xf>
    <xf numFmtId="178" fontId="0" fillId="0" borderId="0" xfId="0" applyNumberFormat="1"/>
    <xf numFmtId="44" fontId="0" fillId="0" borderId="0" xfId="26" applyNumberFormat="1" applyFont="1" applyBorder="1"/>
    <xf numFmtId="43" fontId="0" fillId="0" borderId="0" xfId="1" applyNumberFormat="1" applyFont="1"/>
    <xf numFmtId="173" fontId="0" fillId="0" borderId="0" xfId="26" applyNumberFormat="1" applyFont="1" applyBorder="1"/>
    <xf numFmtId="0" fontId="7" fillId="0" borderId="0" xfId="0" applyFont="1" applyAlignment="1">
      <alignment horizontal="right"/>
    </xf>
    <xf numFmtId="0" fontId="2" fillId="0" borderId="0" xfId="0" applyFont="1" applyAlignment="1"/>
    <xf numFmtId="10" fontId="3" fillId="0" borderId="0" xfId="17" applyNumberFormat="1" applyFont="1" applyAlignment="1">
      <alignment horizontal="right"/>
    </xf>
    <xf numFmtId="181" fontId="3" fillId="0" borderId="0" xfId="17" applyNumberFormat="1" applyFont="1" applyAlignment="1">
      <alignment horizontal="right"/>
    </xf>
    <xf numFmtId="0" fontId="3" fillId="0" borderId="0" xfId="17" applyFont="1" applyAlignment="1">
      <alignment horizontal="right" wrapText="1"/>
    </xf>
    <xf numFmtId="10" fontId="3" fillId="0" borderId="0" xfId="21" applyNumberFormat="1" applyFont="1" applyAlignment="1">
      <alignment horizontal="right"/>
    </xf>
    <xf numFmtId="9" fontId="3" fillId="0" borderId="0" xfId="21" applyFont="1" applyAlignment="1">
      <alignment horizontal="right"/>
    </xf>
    <xf numFmtId="1" fontId="3" fillId="0" borderId="0" xfId="21" applyNumberFormat="1" applyFont="1" applyAlignment="1">
      <alignment horizontal="right"/>
    </xf>
    <xf numFmtId="2" fontId="3" fillId="0" borderId="0" xfId="17" applyNumberFormat="1" applyFont="1" applyAlignment="1">
      <alignment horizontal="left"/>
    </xf>
    <xf numFmtId="0" fontId="3" fillId="0" borderId="0" xfId="17" applyFont="1" applyAlignment="1">
      <alignment horizontal="left" wrapText="1"/>
    </xf>
    <xf numFmtId="9" fontId="3" fillId="0" borderId="0" xfId="21" applyFont="1" applyAlignment="1">
      <alignment horizontal="left"/>
    </xf>
    <xf numFmtId="1" fontId="3" fillId="0" borderId="0" xfId="21" applyNumberFormat="1" applyFont="1" applyAlignment="1">
      <alignment horizontal="left"/>
    </xf>
    <xf numFmtId="184" fontId="3" fillId="0" borderId="0" xfId="17" applyNumberFormat="1" applyFont="1" applyAlignment="1">
      <alignment horizontal="left"/>
    </xf>
    <xf numFmtId="0" fontId="3" fillId="0" borderId="0" xfId="17" applyFont="1" applyAlignment="1">
      <alignment horizontal="left" indent="2"/>
    </xf>
    <xf numFmtId="9" fontId="3" fillId="0" borderId="0" xfId="2" applyFont="1" applyAlignment="1">
      <alignment horizontal="center"/>
    </xf>
    <xf numFmtId="0" fontId="3" fillId="0" borderId="13" xfId="17" applyFont="1" applyBorder="1" applyAlignment="1">
      <alignment horizontal="center"/>
    </xf>
    <xf numFmtId="10" fontId="3" fillId="0" borderId="13" xfId="17" applyNumberFormat="1" applyFont="1" applyBorder="1" applyAlignment="1">
      <alignment horizontal="left"/>
    </xf>
    <xf numFmtId="0" fontId="3" fillId="0" borderId="13" xfId="17" applyFont="1" applyBorder="1" applyAlignment="1">
      <alignment horizontal="left"/>
    </xf>
    <xf numFmtId="3" fontId="3" fillId="0" borderId="0" xfId="17" applyNumberFormat="1" applyFont="1" applyAlignment="1">
      <alignment horizontal="left"/>
    </xf>
    <xf numFmtId="10" fontId="58" fillId="0" borderId="0" xfId="17" applyNumberFormat="1" applyFont="1" applyAlignment="1">
      <alignment horizontal="right"/>
    </xf>
    <xf numFmtId="2" fontId="58" fillId="0" borderId="0" xfId="17" applyNumberFormat="1" applyFont="1" applyAlignment="1">
      <alignment horizontal="right"/>
    </xf>
    <xf numFmtId="2" fontId="3" fillId="0" borderId="0" xfId="17" applyNumberFormat="1" applyFont="1" applyAlignment="1">
      <alignment horizontal="right" wrapText="1"/>
    </xf>
    <xf numFmtId="181" fontId="58" fillId="0" borderId="0" xfId="17" applyNumberFormat="1" applyFont="1" applyAlignment="1">
      <alignment horizontal="right"/>
    </xf>
    <xf numFmtId="0" fontId="58" fillId="0" borderId="0" xfId="17" applyFont="1" applyAlignment="1">
      <alignment horizontal="right" wrapText="1"/>
    </xf>
    <xf numFmtId="0" fontId="58" fillId="0" borderId="0" xfId="17" applyFont="1" applyAlignment="1">
      <alignment horizontal="right"/>
    </xf>
    <xf numFmtId="166" fontId="59" fillId="0" borderId="0" xfId="17" applyNumberFormat="1" applyFont="1" applyAlignment="1">
      <alignment horizontal="right" wrapText="1"/>
    </xf>
    <xf numFmtId="181" fontId="3" fillId="0" borderId="0" xfId="17" applyNumberFormat="1" applyFont="1" applyAlignment="1">
      <alignment horizontal="right" wrapText="1"/>
    </xf>
    <xf numFmtId="10" fontId="58" fillId="0" borderId="0" xfId="21" applyNumberFormat="1" applyFont="1" applyAlignment="1">
      <alignment horizontal="right"/>
    </xf>
    <xf numFmtId="164" fontId="3" fillId="0" borderId="0" xfId="1" applyNumberFormat="1" applyFont="1" applyAlignment="1">
      <alignment horizontal="right" wrapText="1"/>
    </xf>
    <xf numFmtId="2" fontId="58" fillId="0" borderId="0" xfId="21" applyNumberFormat="1" applyFont="1" applyAlignment="1">
      <alignment horizontal="right" wrapText="1"/>
    </xf>
    <xf numFmtId="164" fontId="58" fillId="0" borderId="0" xfId="6" applyNumberFormat="1" applyFont="1" applyAlignment="1">
      <alignment horizontal="right" wrapText="1"/>
    </xf>
    <xf numFmtId="10" fontId="58" fillId="0" borderId="0" xfId="21" applyNumberFormat="1" applyFont="1" applyAlignment="1">
      <alignment horizontal="right" wrapText="1"/>
    </xf>
    <xf numFmtId="166" fontId="3" fillId="0" borderId="0" xfId="2" applyNumberFormat="1" applyFont="1" applyAlignment="1">
      <alignment horizontal="right" wrapText="1"/>
    </xf>
    <xf numFmtId="3" fontId="58" fillId="0" borderId="0" xfId="17" applyNumberFormat="1" applyFont="1" applyFill="1" applyAlignment="1">
      <alignment horizontal="right" wrapText="1"/>
    </xf>
    <xf numFmtId="0" fontId="60" fillId="0" borderId="0" xfId="17" applyFont="1" applyAlignment="1">
      <alignment horizontal="left"/>
    </xf>
    <xf numFmtId="0" fontId="60" fillId="19" borderId="0" xfId="17" applyFont="1" applyFill="1" applyAlignment="1">
      <alignment horizontal="left"/>
    </xf>
    <xf numFmtId="0" fontId="61" fillId="0" borderId="0" xfId="17" applyFont="1" applyAlignment="1">
      <alignment horizontal="left"/>
    </xf>
    <xf numFmtId="3" fontId="58" fillId="0" borderId="0" xfId="17" applyNumberFormat="1" applyFont="1" applyAlignment="1">
      <alignment horizontal="right" wrapText="1"/>
    </xf>
    <xf numFmtId="0" fontId="54" fillId="0" borderId="0" xfId="0" applyFont="1"/>
    <xf numFmtId="10" fontId="58" fillId="0" borderId="0" xfId="17" applyNumberFormat="1" applyFont="1" applyAlignment="1">
      <alignment horizontal="right" wrapText="1"/>
    </xf>
    <xf numFmtId="2" fontId="58" fillId="0" borderId="0" xfId="17" applyNumberFormat="1" applyFont="1" applyAlignment="1">
      <alignment horizontal="right" wrapText="1"/>
    </xf>
    <xf numFmtId="166" fontId="3" fillId="0" borderId="0" xfId="17" applyNumberFormat="1" applyFont="1" applyAlignment="1">
      <alignment horizontal="right" wrapText="1"/>
    </xf>
    <xf numFmtId="181" fontId="58" fillId="0" borderId="0" xfId="17" applyNumberFormat="1" applyFont="1" applyAlignment="1">
      <alignment horizontal="right" wrapText="1"/>
    </xf>
    <xf numFmtId="0" fontId="60" fillId="0" borderId="0" xfId="17" applyFont="1" applyAlignment="1">
      <alignment horizontal="left" wrapText="1"/>
    </xf>
    <xf numFmtId="0" fontId="3" fillId="0" borderId="0" xfId="17" applyFont="1" applyAlignment="1">
      <alignment horizontal="center" vertical="center"/>
    </xf>
    <xf numFmtId="10" fontId="63" fillId="0" borderId="64" xfId="17" applyNumberFormat="1" applyFont="1" applyBorder="1" applyAlignment="1">
      <alignment horizontal="center" vertical="center" wrapText="1"/>
    </xf>
    <xf numFmtId="2" fontId="63" fillId="0" borderId="64" xfId="17" applyNumberFormat="1" applyFont="1" applyBorder="1" applyAlignment="1">
      <alignment horizontal="center" vertical="center" wrapText="1"/>
    </xf>
    <xf numFmtId="0" fontId="63" fillId="0" borderId="64" xfId="17" applyFont="1" applyBorder="1" applyAlignment="1">
      <alignment horizontal="center" vertical="center" wrapText="1"/>
    </xf>
    <xf numFmtId="181" fontId="63" fillId="0" borderId="64" xfId="17" applyNumberFormat="1" applyFont="1" applyBorder="1" applyAlignment="1">
      <alignment horizontal="center" vertical="center" wrapText="1"/>
    </xf>
    <xf numFmtId="10" fontId="63" fillId="0" borderId="64" xfId="21" applyNumberFormat="1" applyFont="1" applyBorder="1" applyAlignment="1">
      <alignment horizontal="center" vertical="center" wrapText="1"/>
    </xf>
    <xf numFmtId="9" fontId="63" fillId="0" borderId="64" xfId="21" applyFont="1" applyBorder="1" applyAlignment="1">
      <alignment horizontal="center" vertical="center" wrapText="1"/>
    </xf>
    <xf numFmtId="1" fontId="63" fillId="0" borderId="64" xfId="21" applyNumberFormat="1" applyFont="1" applyBorder="1" applyAlignment="1">
      <alignment horizontal="center" vertical="center" wrapText="1"/>
    </xf>
    <xf numFmtId="0" fontId="22" fillId="0" borderId="0" xfId="17" applyFont="1" applyAlignment="1">
      <alignment horizontal="center" wrapText="1"/>
    </xf>
    <xf numFmtId="0" fontId="29" fillId="0" borderId="0" xfId="17" applyFont="1" applyBorder="1" applyAlignment="1">
      <alignment horizontal="right" vertical="center"/>
    </xf>
    <xf numFmtId="0" fontId="3" fillId="0" borderId="0" xfId="17" applyFont="1" applyBorder="1" applyAlignment="1">
      <alignment horizontal="right" vertical="center"/>
    </xf>
    <xf numFmtId="166" fontId="65" fillId="0" borderId="0" xfId="17" applyNumberFormat="1" applyFont="1" applyFill="1" applyBorder="1" applyAlignment="1">
      <alignment horizontal="right" vertical="center"/>
    </xf>
    <xf numFmtId="0" fontId="22" fillId="0" borderId="0" xfId="17" applyFont="1" applyBorder="1" applyAlignment="1">
      <alignment horizontal="right" vertical="center"/>
    </xf>
    <xf numFmtId="1" fontId="29" fillId="0" borderId="0" xfId="17" applyNumberFormat="1" applyFont="1" applyBorder="1" applyAlignment="1">
      <alignment horizontal="right" vertical="center"/>
    </xf>
    <xf numFmtId="0" fontId="29" fillId="0" borderId="0" xfId="17" applyFont="1" applyBorder="1" applyAlignment="1">
      <alignment vertical="center"/>
    </xf>
    <xf numFmtId="0" fontId="22" fillId="0" borderId="0" xfId="17" applyFont="1" applyBorder="1" applyAlignment="1">
      <alignment vertical="center"/>
    </xf>
    <xf numFmtId="0" fontId="22" fillId="0" borderId="0" xfId="17" applyFont="1" applyFill="1" applyBorder="1" applyAlignment="1">
      <alignment horizontal="right" vertical="center"/>
    </xf>
    <xf numFmtId="0" fontId="0" fillId="0" borderId="0" xfId="0"/>
    <xf numFmtId="0" fontId="0" fillId="0" borderId="0" xfId="0" applyAlignment="1">
      <alignment horizontal="center"/>
    </xf>
    <xf numFmtId="4" fontId="0" fillId="0" borderId="0" xfId="0" applyNumberFormat="1" applyAlignment="1">
      <alignment horizontal="left"/>
    </xf>
    <xf numFmtId="0" fontId="3" fillId="0" borderId="0" xfId="0" applyFont="1" applyFill="1"/>
    <xf numFmtId="0" fontId="1" fillId="0" borderId="65" xfId="18" applyBorder="1"/>
    <xf numFmtId="0" fontId="1" fillId="0" borderId="66" xfId="18" applyBorder="1"/>
    <xf numFmtId="0" fontId="69" fillId="0" borderId="66" xfId="18" applyFont="1" applyBorder="1"/>
    <xf numFmtId="0" fontId="1" fillId="0" borderId="67" xfId="18" applyBorder="1"/>
    <xf numFmtId="0" fontId="1" fillId="0" borderId="0" xfId="18" applyBorder="1"/>
    <xf numFmtId="0" fontId="1" fillId="0" borderId="68" xfId="18" applyBorder="1"/>
    <xf numFmtId="0" fontId="69" fillId="0" borderId="0" xfId="18" applyFont="1" applyBorder="1"/>
    <xf numFmtId="0" fontId="1" fillId="0" borderId="69" xfId="18" applyBorder="1"/>
    <xf numFmtId="0" fontId="1" fillId="0" borderId="0" xfId="18"/>
    <xf numFmtId="9" fontId="70" fillId="0" borderId="0" xfId="18" applyNumberFormat="1" applyFont="1" applyFill="1" applyBorder="1" applyAlignment="1">
      <alignment wrapText="1"/>
    </xf>
    <xf numFmtId="0" fontId="70" fillId="0" borderId="0" xfId="18" applyFont="1" applyBorder="1"/>
    <xf numFmtId="0" fontId="70" fillId="0" borderId="0" xfId="18" applyFont="1" applyBorder="1" applyAlignment="1"/>
    <xf numFmtId="0" fontId="69" fillId="0" borderId="0" xfId="18" applyFont="1" applyBorder="1" applyAlignment="1">
      <alignment horizontal="left"/>
    </xf>
    <xf numFmtId="0" fontId="25" fillId="0" borderId="0" xfId="18" applyFont="1" applyFill="1" applyBorder="1" applyAlignment="1"/>
    <xf numFmtId="182" fontId="70" fillId="0" borderId="70" xfId="18" applyNumberFormat="1" applyFont="1" applyFill="1" applyBorder="1" applyAlignment="1">
      <alignment horizontal="right" wrapText="1"/>
    </xf>
    <xf numFmtId="0" fontId="70" fillId="0" borderId="0" xfId="18" applyFont="1" applyFill="1" applyBorder="1" applyAlignment="1">
      <alignment wrapText="1"/>
    </xf>
    <xf numFmtId="0" fontId="70" fillId="0" borderId="71" xfId="18" applyFont="1" applyBorder="1"/>
    <xf numFmtId="3" fontId="70" fillId="0" borderId="0" xfId="18" applyNumberFormat="1" applyFont="1" applyFill="1" applyBorder="1" applyAlignment="1">
      <alignment horizontal="center"/>
    </xf>
    <xf numFmtId="0" fontId="70" fillId="0" borderId="71" xfId="18" applyFont="1" applyFill="1" applyBorder="1" applyAlignment="1">
      <alignment wrapText="1"/>
    </xf>
    <xf numFmtId="182" fontId="70" fillId="0" borderId="0" xfId="18" applyNumberFormat="1" applyFont="1" applyFill="1" applyBorder="1" applyAlignment="1">
      <alignment horizontal="center" wrapText="1"/>
    </xf>
    <xf numFmtId="7" fontId="70" fillId="0" borderId="0" xfId="10" applyNumberFormat="1" applyFont="1" applyFill="1" applyBorder="1" applyAlignment="1">
      <alignment horizontal="right" wrapText="1" indent="1"/>
    </xf>
    <xf numFmtId="44" fontId="70" fillId="0" borderId="0" xfId="10" applyFont="1" applyBorder="1" applyAlignment="1">
      <alignment horizontal="right" indent="2"/>
    </xf>
    <xf numFmtId="7" fontId="70" fillId="0" borderId="0" xfId="10" applyNumberFormat="1" applyFont="1" applyBorder="1" applyAlignment="1">
      <alignment horizontal="center"/>
    </xf>
    <xf numFmtId="9" fontId="70" fillId="0" borderId="0" xfId="21" applyFont="1" applyFill="1" applyBorder="1" applyAlignment="1">
      <alignment horizontal="center"/>
    </xf>
    <xf numFmtId="0" fontId="72" fillId="0" borderId="0" xfId="18" applyFont="1" applyFill="1" applyBorder="1" applyAlignment="1">
      <alignment wrapText="1"/>
    </xf>
    <xf numFmtId="9" fontId="73" fillId="0" borderId="72" xfId="18" applyNumberFormat="1" applyFont="1" applyFill="1" applyBorder="1" applyAlignment="1">
      <alignment horizontal="right" indent="1"/>
    </xf>
    <xf numFmtId="0" fontId="73" fillId="0" borderId="72" xfId="18" applyFont="1" applyBorder="1" applyAlignment="1">
      <alignment horizontal="right" indent="2"/>
    </xf>
    <xf numFmtId="0" fontId="73" fillId="0" borderId="72" xfId="18" applyFont="1" applyBorder="1" applyAlignment="1">
      <alignment horizontal="center"/>
    </xf>
    <xf numFmtId="0" fontId="70" fillId="0" borderId="72" xfId="18" applyFont="1" applyFill="1" applyBorder="1" applyAlignment="1">
      <alignment wrapText="1"/>
    </xf>
    <xf numFmtId="2" fontId="0" fillId="0" borderId="0" xfId="2" applyNumberFormat="1" applyFont="1"/>
    <xf numFmtId="2" fontId="70" fillId="0" borderId="73" xfId="10" applyNumberFormat="1" applyFont="1" applyFill="1" applyBorder="1" applyAlignment="1">
      <alignment horizontal="center" wrapText="1"/>
    </xf>
    <xf numFmtId="2" fontId="70" fillId="0" borderId="73" xfId="10" applyNumberFormat="1" applyFont="1" applyBorder="1" applyAlignment="1">
      <alignment horizontal="right" indent="2"/>
    </xf>
    <xf numFmtId="2" fontId="70" fillId="0" borderId="73" xfId="10" applyNumberFormat="1" applyFont="1" applyBorder="1" applyAlignment="1">
      <alignment horizontal="center"/>
    </xf>
    <xf numFmtId="0" fontId="70" fillId="0" borderId="73" xfId="18" applyFont="1" applyFill="1" applyBorder="1" applyAlignment="1">
      <alignment wrapText="1"/>
    </xf>
    <xf numFmtId="0" fontId="72" fillId="0" borderId="73" xfId="18" applyFont="1" applyFill="1" applyBorder="1" applyAlignment="1">
      <alignment horizontal="center"/>
    </xf>
    <xf numFmtId="0" fontId="72" fillId="0" borderId="0" xfId="18" applyFont="1" applyFill="1" applyBorder="1" applyAlignment="1">
      <alignment horizontal="center"/>
    </xf>
    <xf numFmtId="0" fontId="73" fillId="0" borderId="0" xfId="18" applyFont="1" applyFill="1" applyBorder="1" applyAlignment="1">
      <alignment horizontal="center"/>
    </xf>
    <xf numFmtId="0" fontId="73" fillId="0" borderId="0" xfId="18" applyFont="1" applyBorder="1" applyAlignment="1">
      <alignment horizontal="right" indent="2"/>
    </xf>
    <xf numFmtId="0" fontId="73" fillId="0" borderId="0" xfId="18" applyFont="1" applyBorder="1" applyAlignment="1">
      <alignment horizontal="center"/>
    </xf>
    <xf numFmtId="0" fontId="72" fillId="0" borderId="0" xfId="18" applyFont="1" applyFill="1" applyBorder="1" applyAlignment="1"/>
    <xf numFmtId="0" fontId="73" fillId="0" borderId="73" xfId="18" applyFont="1" applyFill="1" applyBorder="1" applyAlignment="1">
      <alignment horizontal="center"/>
    </xf>
    <xf numFmtId="0" fontId="73" fillId="0" borderId="73" xfId="18" applyFont="1" applyBorder="1" applyAlignment="1">
      <alignment horizontal="right" indent="2"/>
    </xf>
    <xf numFmtId="0" fontId="73" fillId="0" borderId="73" xfId="18" applyFont="1" applyBorder="1" applyAlignment="1">
      <alignment horizontal="center"/>
    </xf>
    <xf numFmtId="0" fontId="72" fillId="0" borderId="73" xfId="18" applyFont="1" applyFill="1" applyBorder="1" applyAlignment="1"/>
    <xf numFmtId="9" fontId="73" fillId="0" borderId="72" xfId="18" applyNumberFormat="1" applyFont="1" applyFill="1" applyBorder="1" applyAlignment="1">
      <alignment horizontal="center"/>
    </xf>
    <xf numFmtId="9" fontId="70" fillId="0" borderId="73" xfId="18" applyNumberFormat="1" applyFont="1" applyFill="1" applyBorder="1" applyAlignment="1">
      <alignment horizontal="center" wrapText="1"/>
    </xf>
    <xf numFmtId="0" fontId="73" fillId="0" borderId="73" xfId="18" applyFont="1" applyFill="1" applyBorder="1" applyAlignment="1">
      <alignment horizontal="right" indent="2"/>
    </xf>
    <xf numFmtId="9" fontId="70" fillId="0" borderId="73" xfId="21" applyNumberFormat="1" applyFont="1" applyBorder="1" applyAlignment="1">
      <alignment horizontal="center"/>
    </xf>
    <xf numFmtId="0" fontId="70" fillId="0" borderId="73" xfId="18" applyFont="1" applyBorder="1"/>
    <xf numFmtId="182" fontId="70" fillId="0" borderId="0" xfId="18" applyNumberFormat="1" applyFont="1" applyFill="1" applyBorder="1" applyAlignment="1">
      <alignment horizontal="center" vertical="center"/>
    </xf>
    <xf numFmtId="0" fontId="70" fillId="0" borderId="0" xfId="18" applyFont="1" applyBorder="1" applyAlignment="1">
      <alignment horizontal="left" vertical="center" indent="2"/>
    </xf>
    <xf numFmtId="0" fontId="72" fillId="0" borderId="72" xfId="18" applyFont="1" applyFill="1" applyBorder="1" applyAlignment="1">
      <alignment horizontal="center"/>
    </xf>
    <xf numFmtId="0" fontId="72" fillId="0" borderId="72" xfId="18" applyFont="1" applyBorder="1" applyAlignment="1">
      <alignment horizontal="right"/>
    </xf>
    <xf numFmtId="0" fontId="72" fillId="0" borderId="72" xfId="18" applyFont="1" applyFill="1" applyBorder="1" applyAlignment="1"/>
    <xf numFmtId="0" fontId="72" fillId="0" borderId="73" xfId="18" applyFont="1" applyBorder="1" applyAlignment="1">
      <alignment horizontal="right"/>
    </xf>
    <xf numFmtId="9" fontId="73" fillId="0" borderId="72" xfId="21" applyFont="1" applyFill="1" applyBorder="1" applyAlignment="1">
      <alignment horizontal="center"/>
    </xf>
    <xf numFmtId="0" fontId="73" fillId="0" borderId="72" xfId="18" applyFont="1" applyFill="1" applyBorder="1" applyAlignment="1">
      <alignment horizontal="center"/>
    </xf>
    <xf numFmtId="0" fontId="73" fillId="0" borderId="72" xfId="18" applyFont="1" applyFill="1" applyBorder="1" applyAlignment="1">
      <alignment horizontal="right" indent="2"/>
    </xf>
    <xf numFmtId="0" fontId="70" fillId="0" borderId="72" xfId="18" applyFont="1" applyBorder="1"/>
    <xf numFmtId="0" fontId="74" fillId="0" borderId="69" xfId="18" applyFont="1" applyBorder="1"/>
    <xf numFmtId="0" fontId="70" fillId="0" borderId="73" xfId="18" applyFont="1" applyBorder="1" applyAlignment="1">
      <alignment horizontal="right" indent="2"/>
    </xf>
    <xf numFmtId="0" fontId="70" fillId="0" borderId="73" xfId="18" applyFont="1" applyBorder="1" applyAlignment="1">
      <alignment horizontal="center"/>
    </xf>
    <xf numFmtId="9" fontId="70" fillId="0" borderId="0" xfId="18" applyNumberFormat="1" applyFont="1" applyFill="1" applyBorder="1" applyAlignment="1">
      <alignment horizontal="center" wrapText="1"/>
    </xf>
    <xf numFmtId="0" fontId="70" fillId="0" borderId="0" xfId="18" applyFont="1" applyBorder="1" applyAlignment="1">
      <alignment horizontal="right" indent="2"/>
    </xf>
    <xf numFmtId="0" fontId="70" fillId="0" borderId="0" xfId="18" applyFont="1" applyBorder="1" applyAlignment="1">
      <alignment horizontal="center"/>
    </xf>
    <xf numFmtId="0" fontId="70" fillId="0" borderId="0" xfId="18" applyFont="1" applyFill="1" applyBorder="1" applyAlignment="1">
      <alignment horizontal="center"/>
    </xf>
    <xf numFmtId="164" fontId="70" fillId="0" borderId="0" xfId="6" applyNumberFormat="1" applyFont="1" applyFill="1" applyBorder="1" applyAlignment="1">
      <alignment horizontal="center" wrapText="1"/>
    </xf>
    <xf numFmtId="3" fontId="70" fillId="0" borderId="0" xfId="18" applyNumberFormat="1" applyFont="1" applyFill="1" applyBorder="1" applyAlignment="1">
      <alignment horizontal="center" wrapText="1"/>
    </xf>
    <xf numFmtId="0" fontId="72" fillId="0" borderId="0" xfId="18" applyFont="1" applyFill="1" applyBorder="1" applyAlignment="1">
      <alignment horizontal="center" wrapText="1"/>
    </xf>
    <xf numFmtId="0" fontId="70" fillId="0" borderId="0" xfId="18" applyFont="1" applyFill="1" applyBorder="1"/>
    <xf numFmtId="185" fontId="72" fillId="0" borderId="0" xfId="18" applyNumberFormat="1" applyFont="1" applyFill="1" applyBorder="1" applyAlignment="1">
      <alignment horizontal="center"/>
    </xf>
    <xf numFmtId="167" fontId="72" fillId="0" borderId="0" xfId="18" applyNumberFormat="1" applyFont="1" applyFill="1" applyBorder="1" applyAlignment="1">
      <alignment horizontal="center"/>
    </xf>
    <xf numFmtId="167" fontId="72" fillId="0" borderId="0" xfId="18" applyNumberFormat="1" applyFont="1" applyFill="1" applyBorder="1" applyAlignment="1">
      <alignment horizontal="center" wrapText="1"/>
    </xf>
    <xf numFmtId="166" fontId="72" fillId="0" borderId="0" xfId="21" applyNumberFormat="1" applyFont="1" applyFill="1" applyBorder="1" applyAlignment="1">
      <alignment horizontal="center" wrapText="1"/>
    </xf>
    <xf numFmtId="186" fontId="72" fillId="0" borderId="0" xfId="18" applyNumberFormat="1" applyFont="1" applyFill="1" applyBorder="1" applyAlignment="1">
      <alignment horizontal="center" wrapText="1"/>
    </xf>
    <xf numFmtId="0" fontId="1" fillId="0" borderId="74" xfId="18" applyBorder="1"/>
    <xf numFmtId="0" fontId="6" fillId="0" borderId="75" xfId="18" applyFont="1" applyBorder="1"/>
    <xf numFmtId="182" fontId="70" fillId="0" borderId="75" xfId="18" applyNumberFormat="1" applyFont="1" applyFill="1" applyBorder="1" applyAlignment="1">
      <alignment horizontal="right" wrapText="1"/>
    </xf>
    <xf numFmtId="0" fontId="70" fillId="0" borderId="75" xfId="18" applyFont="1" applyFill="1" applyBorder="1" applyAlignment="1">
      <alignment wrapText="1"/>
    </xf>
    <xf numFmtId="0" fontId="1" fillId="0" borderId="76" xfId="18" applyBorder="1"/>
    <xf numFmtId="0" fontId="76" fillId="0" borderId="0" xfId="18" applyFont="1" applyFill="1" applyBorder="1" applyAlignment="1">
      <alignment horizontal="right"/>
    </xf>
    <xf numFmtId="0" fontId="6" fillId="0" borderId="0" xfId="18" applyFont="1" applyFill="1" applyBorder="1"/>
    <xf numFmtId="0" fontId="77" fillId="0" borderId="0" xfId="18" applyFont="1" applyFill="1" applyBorder="1"/>
    <xf numFmtId="0" fontId="78" fillId="0" borderId="0" xfId="18" applyFont="1" applyFill="1" applyBorder="1" applyAlignment="1"/>
    <xf numFmtId="0" fontId="1" fillId="0" borderId="0" xfId="18" applyFill="1" applyBorder="1"/>
    <xf numFmtId="0" fontId="24" fillId="0" borderId="0" xfId="18" applyFont="1" applyFill="1" applyBorder="1" applyAlignment="1"/>
    <xf numFmtId="179" fontId="0" fillId="0" borderId="0" xfId="0" applyNumberFormat="1"/>
    <xf numFmtId="0" fontId="0" fillId="0" borderId="0" xfId="0" applyFill="1" applyBorder="1" applyAlignment="1"/>
    <xf numFmtId="181" fontId="0" fillId="0" borderId="0" xfId="26" applyNumberFormat="1" applyFont="1" applyBorder="1"/>
    <xf numFmtId="43" fontId="0" fillId="0" borderId="0" xfId="1" applyFont="1"/>
    <xf numFmtId="179" fontId="49" fillId="0" borderId="0" xfId="0" applyNumberFormat="1" applyFont="1" applyFill="1" applyBorder="1" applyAlignment="1">
      <alignment horizontal="center" vertical="center"/>
    </xf>
    <xf numFmtId="175" fontId="49" fillId="0" borderId="0" xfId="26" applyNumberFormat="1" applyFont="1" applyFill="1" applyBorder="1" applyAlignment="1">
      <alignment horizontal="center" vertical="center"/>
    </xf>
    <xf numFmtId="8" fontId="0" fillId="0" borderId="0" xfId="0" applyNumberFormat="1" applyFont="1" applyFill="1" applyBorder="1" applyAlignment="1">
      <alignment vertical="center" wrapText="1"/>
    </xf>
    <xf numFmtId="164" fontId="0" fillId="0" borderId="0" xfId="1" applyNumberFormat="1" applyFont="1" applyFill="1" applyAlignment="1">
      <alignment horizontal="center"/>
    </xf>
    <xf numFmtId="3" fontId="0" fillId="0" borderId="0" xfId="1" applyNumberFormat="1" applyFont="1" applyBorder="1" applyAlignment="1">
      <alignment horizontal="center"/>
    </xf>
    <xf numFmtId="180" fontId="0" fillId="0" borderId="0" xfId="0" applyNumberFormat="1"/>
    <xf numFmtId="0" fontId="0" fillId="14" borderId="0" xfId="0" applyFill="1" applyBorder="1" applyAlignment="1">
      <alignment horizontal="right"/>
    </xf>
    <xf numFmtId="3" fontId="0" fillId="0" borderId="0" xfId="0" applyNumberFormat="1" applyFill="1" applyBorder="1" applyAlignment="1">
      <alignment horizontal="right"/>
    </xf>
    <xf numFmtId="3" fontId="0" fillId="0" borderId="0" xfId="1" applyNumberFormat="1" applyFont="1" applyBorder="1" applyAlignment="1">
      <alignment horizontal="center"/>
    </xf>
    <xf numFmtId="164" fontId="0" fillId="3" borderId="0" xfId="1" applyNumberFormat="1" applyFont="1" applyFill="1" applyBorder="1"/>
    <xf numFmtId="14" fontId="0" fillId="0" borderId="0" xfId="0" applyNumberFormat="1"/>
    <xf numFmtId="0" fontId="0" fillId="0" borderId="0" xfId="0" applyFont="1" applyFill="1" applyBorder="1" applyAlignment="1">
      <alignment horizontal="left" vertical="center" indent="1"/>
    </xf>
    <xf numFmtId="40" fontId="0" fillId="0" borderId="0" xfId="0" applyNumberFormat="1"/>
    <xf numFmtId="0" fontId="4" fillId="2" borderId="77" xfId="36" applyFont="1" applyFill="1" applyBorder="1" applyAlignment="1">
      <alignment wrapText="1"/>
    </xf>
    <xf numFmtId="0" fontId="4" fillId="28" borderId="78" xfId="37" applyFont="1" applyFill="1" applyBorder="1" applyAlignment="1">
      <alignment horizontal="center" wrapText="1"/>
    </xf>
    <xf numFmtId="0" fontId="80" fillId="0" borderId="56" xfId="0" applyFont="1" applyBorder="1" applyAlignment="1">
      <alignment vertical="center" wrapText="1"/>
    </xf>
    <xf numFmtId="0" fontId="80" fillId="0" borderId="51" xfId="0" applyFont="1" applyBorder="1" applyAlignment="1">
      <alignment vertical="center" wrapText="1"/>
    </xf>
    <xf numFmtId="44" fontId="0" fillId="0" borderId="0" xfId="26" applyFont="1"/>
    <xf numFmtId="0" fontId="80" fillId="0" borderId="0" xfId="0" applyFont="1" applyFill="1" applyBorder="1" applyAlignment="1">
      <alignment vertical="center" wrapText="1"/>
    </xf>
    <xf numFmtId="0" fontId="6" fillId="0" borderId="0" xfId="38"/>
    <xf numFmtId="0" fontId="81" fillId="0" borderId="0" xfId="38" applyFont="1" applyAlignment="1">
      <alignment horizontal="left"/>
    </xf>
    <xf numFmtId="0" fontId="82" fillId="0" borderId="0" xfId="38" applyFont="1" applyAlignment="1"/>
    <xf numFmtId="0" fontId="6" fillId="0" borderId="0" xfId="38" applyNumberFormat="1" applyFont="1" applyBorder="1" applyAlignment="1">
      <alignment wrapText="1"/>
    </xf>
    <xf numFmtId="0" fontId="6" fillId="0" borderId="0" xfId="38" applyFont="1" applyBorder="1" applyAlignment="1">
      <alignment wrapText="1"/>
    </xf>
    <xf numFmtId="0" fontId="6" fillId="0" borderId="46" xfId="38" applyFont="1" applyBorder="1"/>
    <xf numFmtId="0" fontId="6" fillId="0" borderId="0" xfId="38" applyBorder="1"/>
    <xf numFmtId="0" fontId="79" fillId="0" borderId="0" xfId="38" applyFont="1" applyBorder="1" applyAlignment="1">
      <alignment vertical="top"/>
    </xf>
    <xf numFmtId="0" fontId="87" fillId="0" borderId="0" xfId="38" applyFont="1" applyBorder="1"/>
    <xf numFmtId="0" fontId="88" fillId="0" borderId="0" xfId="38" applyFont="1" applyBorder="1"/>
    <xf numFmtId="0" fontId="89" fillId="0" borderId="0" xfId="38" applyFont="1" applyBorder="1"/>
    <xf numFmtId="0" fontId="90" fillId="0" borderId="0" xfId="38" applyFont="1" applyBorder="1" applyAlignment="1">
      <alignment vertical="center"/>
    </xf>
    <xf numFmtId="0" fontId="91" fillId="0" borderId="0" xfId="0" applyFont="1" applyFill="1" applyAlignment="1">
      <alignment vertical="center" wrapText="1"/>
    </xf>
    <xf numFmtId="0" fontId="6" fillId="0" borderId="0" xfId="38" applyBorder="1" applyAlignment="1">
      <alignment horizontal="left" vertical="top"/>
    </xf>
    <xf numFmtId="0" fontId="83" fillId="0" borderId="0" xfId="0" quotePrefix="1" applyFont="1" applyFill="1" applyAlignment="1">
      <alignment vertical="top" wrapText="1"/>
    </xf>
    <xf numFmtId="0" fontId="12" fillId="0" borderId="0" xfId="38" applyFont="1" applyFill="1" applyBorder="1" applyAlignment="1">
      <alignment vertical="top"/>
    </xf>
    <xf numFmtId="0" fontId="89" fillId="0" borderId="0" xfId="38" applyFont="1" applyBorder="1" applyAlignment="1">
      <alignment horizontal="justify" vertical="top" wrapText="1"/>
    </xf>
    <xf numFmtId="0" fontId="93" fillId="0" borderId="0" xfId="0" applyFont="1" applyAlignment="1">
      <alignment vertical="top" wrapText="1"/>
    </xf>
    <xf numFmtId="14" fontId="82" fillId="0" borderId="0" xfId="38" applyNumberFormat="1" applyFont="1" applyBorder="1" applyAlignment="1">
      <alignment horizontal="right" vertical="top"/>
    </xf>
    <xf numFmtId="0" fontId="6" fillId="0" borderId="0" xfId="41"/>
    <xf numFmtId="0" fontId="79" fillId="0" borderId="0" xfId="38" applyFont="1" applyBorder="1" applyAlignment="1"/>
    <xf numFmtId="0" fontId="82" fillId="0" borderId="0" xfId="41" applyFont="1" applyAlignment="1">
      <alignment horizontal="right" vertical="top"/>
    </xf>
    <xf numFmtId="0" fontId="6" fillId="0" borderId="0" xfId="42"/>
    <xf numFmtId="0" fontId="87" fillId="0" borderId="0" xfId="41" applyFont="1"/>
    <xf numFmtId="14" fontId="82" fillId="0" borderId="0" xfId="41" applyNumberFormat="1" applyFont="1" applyAlignment="1">
      <alignment horizontal="right" vertical="top"/>
    </xf>
    <xf numFmtId="0" fontId="24" fillId="0" borderId="0" xfId="42" applyFont="1"/>
    <xf numFmtId="0" fontId="95" fillId="0" borderId="83" xfId="42" applyFont="1" applyBorder="1" applyAlignment="1">
      <alignment horizontal="center" vertical="center" wrapText="1"/>
    </xf>
    <xf numFmtId="0" fontId="6" fillId="0" borderId="83" xfId="42" applyFont="1" applyBorder="1" applyAlignment="1">
      <alignment horizontal="center" vertical="center" wrapText="1"/>
    </xf>
    <xf numFmtId="0" fontId="6" fillId="0" borderId="84" xfId="42" applyFont="1" applyBorder="1" applyAlignment="1">
      <alignment horizontal="center" vertical="center" wrapText="1"/>
    </xf>
    <xf numFmtId="0" fontId="53" fillId="0" borderId="7" xfId="42" applyFont="1" applyBorder="1" applyAlignment="1">
      <alignment horizontal="center" vertical="center" wrapText="1"/>
    </xf>
    <xf numFmtId="0" fontId="6" fillId="0" borderId="0" xfId="42" applyFont="1"/>
    <xf numFmtId="0" fontId="6" fillId="0" borderId="10" xfId="42" applyFill="1" applyBorder="1" applyAlignment="1">
      <alignment vertical="center"/>
    </xf>
    <xf numFmtId="0" fontId="6" fillId="0" borderId="0" xfId="42" applyBorder="1" applyAlignment="1">
      <alignment vertical="center" wrapText="1"/>
    </xf>
    <xf numFmtId="9" fontId="95" fillId="29" borderId="21" xfId="42" applyNumberFormat="1" applyFont="1" applyFill="1" applyBorder="1" applyAlignment="1">
      <alignment horizontal="center" vertical="center"/>
    </xf>
    <xf numFmtId="9" fontId="6" fillId="0" borderId="10" xfId="42" applyNumberFormat="1" applyBorder="1" applyAlignment="1">
      <alignment horizontal="center" vertical="center"/>
    </xf>
    <xf numFmtId="9" fontId="0" fillId="0" borderId="47" xfId="21" applyFont="1" applyBorder="1" applyAlignment="1">
      <alignment horizontal="center" vertical="center"/>
    </xf>
    <xf numFmtId="9" fontId="6" fillId="30" borderId="10" xfId="42" applyNumberFormat="1" applyFont="1" applyFill="1" applyBorder="1" applyAlignment="1">
      <alignment horizontal="center" vertical="center"/>
    </xf>
    <xf numFmtId="0" fontId="52" fillId="0" borderId="14" xfId="42" applyFont="1" applyFill="1" applyBorder="1" applyAlignment="1">
      <alignment horizontal="center" vertical="center" wrapText="1"/>
    </xf>
    <xf numFmtId="0" fontId="6" fillId="0" borderId="14" xfId="42" applyFill="1" applyBorder="1" applyAlignment="1">
      <alignment vertical="center"/>
    </xf>
    <xf numFmtId="0" fontId="6" fillId="0" borderId="13" xfId="42" applyBorder="1" applyAlignment="1">
      <alignment vertical="center" wrapText="1"/>
    </xf>
    <xf numFmtId="9" fontId="95" fillId="29" borderId="42" xfId="42" applyNumberFormat="1" applyFont="1" applyFill="1" applyBorder="1" applyAlignment="1">
      <alignment horizontal="center" vertical="center"/>
    </xf>
    <xf numFmtId="9" fontId="6" fillId="0" borderId="14" xfId="42" applyNumberFormat="1" applyBorder="1" applyAlignment="1">
      <alignment horizontal="center" vertical="center"/>
    </xf>
    <xf numFmtId="9" fontId="0" fillId="0" borderId="46" xfId="21" applyFont="1" applyBorder="1" applyAlignment="1">
      <alignment horizontal="center" vertical="center"/>
    </xf>
    <xf numFmtId="9" fontId="6" fillId="30" borderId="14" xfId="42" applyNumberFormat="1" applyFont="1" applyFill="1" applyBorder="1" applyAlignment="1">
      <alignment horizontal="center" vertical="center"/>
    </xf>
    <xf numFmtId="0" fontId="12" fillId="0" borderId="44" xfId="42" applyFont="1" applyFill="1" applyBorder="1" applyAlignment="1">
      <alignment vertical="center" wrapText="1"/>
    </xf>
    <xf numFmtId="0" fontId="6" fillId="0" borderId="10" xfId="42" applyBorder="1" applyAlignment="1">
      <alignment vertical="center"/>
    </xf>
    <xf numFmtId="0" fontId="6" fillId="0" borderId="0" xfId="43" applyFont="1" applyBorder="1" applyAlignment="1">
      <alignment vertical="center" wrapText="1"/>
    </xf>
    <xf numFmtId="37" fontId="95" fillId="29" borderId="21" xfId="6" quotePrefix="1" applyNumberFormat="1" applyFont="1" applyFill="1" applyBorder="1" applyAlignment="1">
      <alignment horizontal="center" vertical="center"/>
    </xf>
    <xf numFmtId="3" fontId="6" fillId="31" borderId="10" xfId="21" applyNumberFormat="1" applyFont="1" applyFill="1" applyBorder="1" applyAlignment="1">
      <alignment horizontal="center" vertical="center"/>
    </xf>
    <xf numFmtId="0" fontId="0" fillId="0" borderId="47" xfId="43" applyFont="1" applyBorder="1" applyAlignment="1">
      <alignment horizontal="center" vertical="center"/>
    </xf>
    <xf numFmtId="37" fontId="6" fillId="30" borderId="10" xfId="6" applyNumberFormat="1" applyFont="1" applyFill="1" applyBorder="1" applyAlignment="1">
      <alignment horizontal="center" vertical="center"/>
    </xf>
    <xf numFmtId="0" fontId="6" fillId="0" borderId="10" xfId="42" applyFont="1" applyBorder="1" applyAlignment="1">
      <alignment vertical="center"/>
    </xf>
    <xf numFmtId="9" fontId="95" fillId="29" borderId="21" xfId="21" applyFont="1" applyFill="1" applyBorder="1" applyAlignment="1">
      <alignment horizontal="center" vertical="center"/>
    </xf>
    <xf numFmtId="9" fontId="6" fillId="31" borderId="10" xfId="21" applyFont="1" applyFill="1" applyBorder="1" applyAlignment="1">
      <alignment horizontal="center" vertical="center"/>
    </xf>
    <xf numFmtId="9" fontId="0" fillId="0" borderId="47" xfId="43" applyNumberFormat="1" applyFont="1" applyBorder="1" applyAlignment="1">
      <alignment horizontal="center" vertical="center"/>
    </xf>
    <xf numFmtId="9" fontId="6" fillId="30" borderId="10" xfId="21" applyFont="1" applyFill="1" applyBorder="1" applyAlignment="1">
      <alignment horizontal="center" vertical="center"/>
    </xf>
    <xf numFmtId="0" fontId="6" fillId="0" borderId="50" xfId="42" applyBorder="1"/>
    <xf numFmtId="0" fontId="6" fillId="0" borderId="50" xfId="42" applyBorder="1" applyAlignment="1">
      <alignment horizontal="left" vertical="top"/>
    </xf>
    <xf numFmtId="2" fontId="6" fillId="0" borderId="50" xfId="42" applyNumberFormat="1" applyBorder="1" applyAlignment="1">
      <alignment horizontal="center" vertical="top"/>
    </xf>
    <xf numFmtId="0" fontId="6" fillId="0" borderId="50" xfId="42" applyBorder="1" applyAlignment="1">
      <alignment horizontal="left"/>
    </xf>
    <xf numFmtId="0" fontId="6" fillId="0" borderId="50" xfId="42" applyBorder="1" applyAlignment="1">
      <alignment horizontal="center"/>
    </xf>
    <xf numFmtId="0" fontId="12" fillId="0" borderId="22" xfId="42" applyFont="1" applyBorder="1" applyAlignment="1">
      <alignment vertical="center"/>
    </xf>
    <xf numFmtId="0" fontId="12" fillId="0" borderId="0" xfId="42" applyFont="1" applyFill="1" applyBorder="1" applyAlignment="1">
      <alignment horizontal="left" vertical="center" wrapText="1"/>
    </xf>
    <xf numFmtId="0" fontId="47" fillId="0" borderId="10" xfId="44" applyFont="1" applyBorder="1" applyAlignment="1" applyProtection="1">
      <alignment vertical="center"/>
    </xf>
    <xf numFmtId="0" fontId="12" fillId="0" borderId="0" xfId="42" applyFont="1" applyAlignment="1">
      <alignment horizontal="right"/>
    </xf>
    <xf numFmtId="166" fontId="51" fillId="0" borderId="0" xfId="21" applyNumberFormat="1" applyFont="1" applyFill="1" applyBorder="1" applyAlignment="1">
      <alignment horizontal="center"/>
    </xf>
    <xf numFmtId="0" fontId="47" fillId="0" borderId="14" xfId="44" applyFont="1" applyBorder="1" applyAlignment="1" applyProtection="1">
      <alignment vertical="center"/>
    </xf>
    <xf numFmtId="6" fontId="12" fillId="0" borderId="0" xfId="42" applyNumberFormat="1" applyFont="1" applyFill="1" applyBorder="1" applyAlignment="1">
      <alignment horizontal="center" vertical="center"/>
    </xf>
    <xf numFmtId="0" fontId="6" fillId="0" borderId="22" xfId="42" applyFont="1" applyBorder="1"/>
    <xf numFmtId="0" fontId="12" fillId="0" borderId="22" xfId="42" applyFont="1" applyBorder="1" applyAlignment="1">
      <alignment horizontal="center"/>
    </xf>
    <xf numFmtId="0" fontId="12" fillId="0" borderId="22" xfId="42" applyFont="1" applyBorder="1"/>
    <xf numFmtId="9" fontId="6" fillId="0" borderId="22" xfId="42" applyNumberFormat="1" applyFont="1" applyBorder="1" applyAlignment="1">
      <alignment horizontal="center"/>
    </xf>
    <xf numFmtId="14" fontId="6" fillId="0" borderId="22" xfId="38" applyNumberFormat="1" applyFont="1" applyBorder="1" applyAlignment="1">
      <alignment horizontal="center" vertical="center" wrapText="1"/>
    </xf>
    <xf numFmtId="0" fontId="12" fillId="0" borderId="0" xfId="20" applyFont="1" applyFill="1" applyAlignment="1">
      <alignment horizontal="right"/>
    </xf>
    <xf numFmtId="173" fontId="12" fillId="0" borderId="22" xfId="10" applyNumberFormat="1" applyFont="1" applyFill="1" applyBorder="1"/>
    <xf numFmtId="173" fontId="12" fillId="0" borderId="0" xfId="10" applyNumberFormat="1" applyFont="1" applyFill="1"/>
    <xf numFmtId="0" fontId="6" fillId="0" borderId="0" xfId="42" applyFill="1"/>
    <xf numFmtId="0" fontId="25" fillId="0" borderId="0" xfId="42" applyFont="1"/>
    <xf numFmtId="0" fontId="0" fillId="0" borderId="10" xfId="0" applyBorder="1" applyAlignment="1">
      <alignment vertical="center"/>
    </xf>
    <xf numFmtId="8" fontId="0" fillId="0" borderId="10" xfId="0" applyNumberFormat="1" applyBorder="1" applyAlignment="1">
      <alignment vertical="center"/>
    </xf>
    <xf numFmtId="8" fontId="0" fillId="0" borderId="13" xfId="0" applyNumberFormat="1" applyBorder="1" applyAlignment="1">
      <alignment vertical="center"/>
    </xf>
    <xf numFmtId="8" fontId="0" fillId="0" borderId="14" xfId="0" applyNumberFormat="1" applyBorder="1" applyAlignment="1">
      <alignment horizontal="center" vertical="center"/>
    </xf>
    <xf numFmtId="8" fontId="0" fillId="0" borderId="13" xfId="0" applyNumberFormat="1" applyBorder="1" applyAlignment="1">
      <alignment horizontal="center" vertical="center"/>
    </xf>
    <xf numFmtId="0" fontId="0" fillId="0" borderId="42" xfId="0" applyBorder="1" applyAlignment="1">
      <alignment vertical="center"/>
    </xf>
    <xf numFmtId="0" fontId="0" fillId="0" borderId="13" xfId="0" applyBorder="1" applyAlignment="1">
      <alignment vertical="center"/>
    </xf>
    <xf numFmtId="0" fontId="2" fillId="33" borderId="0" xfId="0" applyFont="1" applyFill="1" applyAlignment="1">
      <alignment horizontal="center" vertical="center"/>
    </xf>
    <xf numFmtId="181" fontId="0" fillId="0" borderId="10" xfId="0" applyNumberFormat="1" applyBorder="1" applyAlignment="1">
      <alignment vertical="center"/>
    </xf>
    <xf numFmtId="181" fontId="1" fillId="0" borderId="50" xfId="26" applyNumberFormat="1" applyFont="1" applyBorder="1"/>
    <xf numFmtId="0" fontId="2" fillId="0" borderId="0" xfId="0" applyFont="1" applyAlignment="1">
      <alignment horizontal="right" vertical="center"/>
    </xf>
    <xf numFmtId="166" fontId="0" fillId="0" borderId="22" xfId="0" applyNumberFormat="1" applyFill="1" applyBorder="1" applyAlignment="1">
      <alignment vertical="center"/>
    </xf>
    <xf numFmtId="8" fontId="0" fillId="0" borderId="22" xfId="0" applyNumberFormat="1" applyFill="1" applyBorder="1" applyAlignment="1">
      <alignment vertical="center"/>
    </xf>
    <xf numFmtId="0" fontId="2" fillId="33" borderId="0" xfId="0" applyFont="1" applyFill="1" applyAlignment="1">
      <alignment horizontal="right" vertical="center"/>
    </xf>
    <xf numFmtId="9" fontId="0" fillId="0" borderId="0" xfId="0" applyNumberFormat="1" applyFill="1" applyBorder="1" applyAlignment="1">
      <alignment vertical="center"/>
    </xf>
    <xf numFmtId="0" fontId="2" fillId="33" borderId="0" xfId="0" applyFont="1" applyFill="1" applyAlignment="1">
      <alignment horizontal="right"/>
    </xf>
    <xf numFmtId="181" fontId="0" fillId="0" borderId="0" xfId="26" applyNumberFormat="1" applyFont="1" applyBorder="1" applyAlignment="1">
      <alignment horizontal="right"/>
    </xf>
    <xf numFmtId="0" fontId="2" fillId="33" borderId="0" xfId="0" applyFont="1" applyFill="1" applyBorder="1" applyAlignment="1">
      <alignment horizontal="right" vertical="center"/>
    </xf>
    <xf numFmtId="0" fontId="2" fillId="33" borderId="0" xfId="0" applyFont="1" applyFill="1" applyAlignment="1">
      <alignment horizontal="right" vertical="center" wrapText="1"/>
    </xf>
    <xf numFmtId="0" fontId="0" fillId="0" borderId="10" xfId="0" applyBorder="1" applyAlignment="1">
      <alignment horizontal="left" vertical="center"/>
    </xf>
    <xf numFmtId="0" fontId="0" fillId="0" borderId="10" xfId="0" applyBorder="1" applyAlignment="1">
      <alignment horizontal="left"/>
    </xf>
    <xf numFmtId="166" fontId="0" fillId="0" borderId="10" xfId="2" applyNumberFormat="1" applyFont="1" applyBorder="1" applyAlignment="1">
      <alignment vertical="center"/>
    </xf>
    <xf numFmtId="166" fontId="0" fillId="0" borderId="22" xfId="0" applyNumberFormat="1" applyBorder="1" applyAlignment="1">
      <alignment vertical="center"/>
    </xf>
    <xf numFmtId="8" fontId="0" fillId="0" borderId="22" xfId="0" applyNumberFormat="1" applyBorder="1" applyAlignment="1">
      <alignment vertical="center"/>
    </xf>
    <xf numFmtId="0" fontId="6" fillId="0" borderId="0" xfId="45" applyAlignment="1">
      <alignment vertical="center" wrapText="1"/>
    </xf>
    <xf numFmtId="2" fontId="82" fillId="0" borderId="85" xfId="35" applyNumberFormat="1" applyFont="1" applyBorder="1" applyAlignment="1">
      <alignment horizontal="right" vertical="center" wrapText="1"/>
    </xf>
    <xf numFmtId="0" fontId="6" fillId="0" borderId="86" xfId="45" applyBorder="1" applyAlignment="1">
      <alignment vertical="center" wrapText="1"/>
    </xf>
    <xf numFmtId="0" fontId="6" fillId="0" borderId="87" xfId="45" applyBorder="1" applyAlignment="1">
      <alignment vertical="center" wrapText="1"/>
    </xf>
    <xf numFmtId="0" fontId="6" fillId="0" borderId="88" xfId="45" applyBorder="1" applyAlignment="1">
      <alignment vertical="center" wrapText="1"/>
    </xf>
    <xf numFmtId="0" fontId="6" fillId="0" borderId="90" xfId="45" applyBorder="1" applyAlignment="1">
      <alignment vertical="center" wrapText="1"/>
    </xf>
    <xf numFmtId="0" fontId="6" fillId="0" borderId="91" xfId="45" applyBorder="1" applyAlignment="1">
      <alignment vertical="center" wrapText="1"/>
    </xf>
    <xf numFmtId="0" fontId="6" fillId="0" borderId="92" xfId="45" applyBorder="1" applyAlignment="1">
      <alignment vertical="center" wrapText="1"/>
    </xf>
    <xf numFmtId="0" fontId="6" fillId="0" borderId="93" xfId="45" applyFont="1" applyBorder="1" applyAlignment="1">
      <alignment vertical="center" wrapText="1"/>
    </xf>
    <xf numFmtId="0" fontId="6" fillId="0" borderId="94" xfId="45" applyFont="1" applyBorder="1" applyAlignment="1">
      <alignment vertical="center" wrapText="1"/>
    </xf>
    <xf numFmtId="0" fontId="12" fillId="0" borderId="79" xfId="38" applyFont="1" applyBorder="1" applyAlignment="1">
      <alignment horizontal="left" vertical="center" wrapText="1"/>
    </xf>
    <xf numFmtId="0" fontId="6" fillId="0" borderId="90" xfId="35" applyBorder="1" applyAlignment="1">
      <alignment vertical="center" wrapText="1"/>
    </xf>
    <xf numFmtId="0" fontId="6" fillId="0" borderId="91" xfId="35" applyBorder="1" applyAlignment="1">
      <alignment vertical="center" wrapText="1"/>
    </xf>
    <xf numFmtId="0" fontId="6" fillId="0" borderId="0" xfId="35" applyAlignment="1">
      <alignment vertical="center" wrapText="1"/>
    </xf>
    <xf numFmtId="0" fontId="12" fillId="0" borderId="81" xfId="38" applyFont="1" applyBorder="1" applyAlignment="1">
      <alignment horizontal="left" vertical="center" wrapText="1"/>
    </xf>
    <xf numFmtId="0" fontId="6" fillId="0" borderId="90" xfId="35" applyBorder="1" applyAlignment="1">
      <alignment horizontal="left" vertical="center" wrapText="1"/>
    </xf>
    <xf numFmtId="0" fontId="6" fillId="0" borderId="91" xfId="35" applyBorder="1" applyAlignment="1">
      <alignment horizontal="left" vertical="center" wrapText="1"/>
    </xf>
    <xf numFmtId="0" fontId="6" fillId="0" borderId="0" xfId="35" applyAlignment="1">
      <alignment horizontal="left" vertical="center" wrapText="1"/>
    </xf>
    <xf numFmtId="0" fontId="12" fillId="0" borderId="97" xfId="35" applyFont="1" applyBorder="1"/>
    <xf numFmtId="0" fontId="6" fillId="0" borderId="94" xfId="35" applyBorder="1" applyAlignment="1">
      <alignment vertical="center" wrapText="1"/>
    </xf>
    <xf numFmtId="0" fontId="6" fillId="0" borderId="0" xfId="35" applyFont="1" applyBorder="1" applyAlignment="1">
      <alignment vertical="center" wrapText="1"/>
    </xf>
    <xf numFmtId="0" fontId="6" fillId="0" borderId="0" xfId="35" applyBorder="1" applyAlignment="1">
      <alignment vertical="center" wrapText="1"/>
    </xf>
    <xf numFmtId="0" fontId="6" fillId="0" borderId="92" xfId="35" applyBorder="1" applyAlignment="1">
      <alignment vertical="center" wrapText="1"/>
    </xf>
    <xf numFmtId="0" fontId="12" fillId="0" borderId="0" xfId="35" applyFont="1" applyBorder="1" applyAlignment="1">
      <alignment vertical="center" wrapText="1"/>
    </xf>
    <xf numFmtId="0" fontId="17" fillId="0" borderId="0" xfId="15" applyBorder="1" applyAlignment="1" applyProtection="1">
      <alignment vertical="center" wrapText="1"/>
    </xf>
    <xf numFmtId="0" fontId="6" fillId="0" borderId="0" xfId="35" applyFont="1" applyBorder="1" applyAlignment="1">
      <alignment vertical="center"/>
    </xf>
    <xf numFmtId="0" fontId="17" fillId="0" borderId="0" xfId="15" applyFont="1" applyBorder="1" applyAlignment="1" applyProtection="1">
      <alignment vertical="center" wrapText="1"/>
    </xf>
    <xf numFmtId="0" fontId="6" fillId="0" borderId="92" xfId="35" applyFont="1" applyBorder="1" applyAlignment="1">
      <alignment vertical="center" wrapText="1"/>
    </xf>
    <xf numFmtId="0" fontId="6" fillId="0" borderId="90" xfId="35" applyFont="1" applyBorder="1" applyAlignment="1">
      <alignment vertical="center" wrapText="1"/>
    </xf>
    <xf numFmtId="0" fontId="6" fillId="0" borderId="91" xfId="35" applyFont="1" applyBorder="1" applyAlignment="1">
      <alignment vertical="center" wrapText="1"/>
    </xf>
    <xf numFmtId="0" fontId="6" fillId="0" borderId="0" xfId="35" applyFont="1" applyAlignment="1">
      <alignment vertical="center" wrapText="1"/>
    </xf>
    <xf numFmtId="0" fontId="6" fillId="0" borderId="0" xfId="15" applyFont="1" applyBorder="1" applyAlignment="1" applyProtection="1">
      <alignment vertical="center"/>
    </xf>
    <xf numFmtId="0" fontId="6" fillId="0" borderId="99" xfId="35" applyBorder="1" applyAlignment="1">
      <alignment vertical="center" wrapText="1"/>
    </xf>
    <xf numFmtId="0" fontId="6" fillId="0" borderId="86" xfId="35" applyBorder="1" applyAlignment="1">
      <alignment vertical="center" wrapText="1"/>
    </xf>
    <xf numFmtId="0" fontId="6" fillId="0" borderId="100" xfId="35" applyBorder="1" applyAlignment="1">
      <alignment vertical="center" wrapText="1"/>
    </xf>
    <xf numFmtId="0" fontId="6" fillId="0" borderId="101" xfId="35" applyBorder="1" applyAlignment="1">
      <alignment vertical="center" wrapText="1"/>
    </xf>
    <xf numFmtId="0" fontId="6" fillId="0" borderId="102" xfId="35" applyBorder="1" applyAlignment="1">
      <alignment vertical="center" wrapText="1"/>
    </xf>
    <xf numFmtId="0" fontId="6" fillId="0" borderId="103" xfId="35" applyBorder="1" applyAlignment="1">
      <alignment vertical="center" wrapText="1"/>
    </xf>
    <xf numFmtId="0" fontId="6" fillId="0" borderId="104" xfId="35" applyBorder="1" applyAlignment="1">
      <alignment vertical="center" wrapText="1"/>
    </xf>
    <xf numFmtId="0" fontId="6" fillId="0" borderId="105" xfId="35" applyBorder="1" applyAlignment="1">
      <alignment vertical="center" wrapText="1"/>
    </xf>
    <xf numFmtId="0" fontId="6" fillId="0" borderId="106" xfId="35" applyBorder="1" applyAlignment="1">
      <alignment vertical="center" wrapText="1"/>
    </xf>
    <xf numFmtId="0" fontId="6" fillId="0" borderId="92" xfId="35" applyBorder="1" applyAlignment="1">
      <alignment horizontal="left" vertical="center" wrapText="1"/>
    </xf>
    <xf numFmtId="0" fontId="6" fillId="0" borderId="93" xfId="35" applyBorder="1" applyAlignment="1">
      <alignment vertical="center" wrapText="1"/>
    </xf>
    <xf numFmtId="0" fontId="13" fillId="0" borderId="0" xfId="4" applyBorder="1" applyAlignment="1" applyProtection="1">
      <alignment vertical="center" wrapText="1"/>
    </xf>
    <xf numFmtId="0" fontId="13" fillId="0" borderId="0" xfId="4" applyBorder="1" applyAlignment="1" applyProtection="1">
      <alignment vertical="center"/>
    </xf>
    <xf numFmtId="0" fontId="12" fillId="0" borderId="96" xfId="38" applyFont="1" applyBorder="1" applyAlignment="1">
      <alignment horizontal="left" vertical="center" wrapText="1"/>
    </xf>
    <xf numFmtId="0" fontId="12" fillId="0" borderId="96" xfId="35" applyFont="1" applyBorder="1" applyAlignment="1">
      <alignment horizontal="left" vertical="center"/>
    </xf>
    <xf numFmtId="0" fontId="12" fillId="0" borderId="80" xfId="35" applyFont="1" applyBorder="1" applyAlignment="1">
      <alignment horizontal="left" vertical="center"/>
    </xf>
    <xf numFmtId="0" fontId="6" fillId="0" borderId="0" xfId="35" applyBorder="1" applyAlignment="1">
      <alignment horizontal="left" vertical="center" wrapText="1"/>
    </xf>
    <xf numFmtId="0" fontId="12" fillId="0" borderId="107" xfId="35" applyFont="1" applyBorder="1" applyAlignment="1">
      <alignment horizontal="left" vertical="center"/>
    </xf>
    <xf numFmtId="0" fontId="12" fillId="0" borderId="95" xfId="35" applyFont="1" applyBorder="1"/>
    <xf numFmtId="0" fontId="13" fillId="0" borderId="0" xfId="34" applyFont="1" applyBorder="1" applyAlignment="1" applyProtection="1">
      <alignment horizontal="left" wrapText="1"/>
    </xf>
    <xf numFmtId="0" fontId="13" fillId="0" borderId="0" xfId="34" applyFont="1" applyBorder="1" applyAlignment="1" applyProtection="1"/>
    <xf numFmtId="0" fontId="86" fillId="0" borderId="0" xfId="38" applyFont="1" applyBorder="1"/>
    <xf numFmtId="0" fontId="6" fillId="0" borderId="0" xfId="38" applyFont="1" applyBorder="1"/>
    <xf numFmtId="0" fontId="13" fillId="0" borderId="0" xfId="34" applyNumberFormat="1" applyFont="1" applyBorder="1" applyAlignment="1" applyProtection="1">
      <alignment horizontal="left" wrapText="1"/>
    </xf>
    <xf numFmtId="0" fontId="6" fillId="0" borderId="0" xfId="39" applyNumberFormat="1" applyFont="1" applyBorder="1" applyAlignment="1"/>
    <xf numFmtId="0" fontId="13" fillId="0" borderId="0" xfId="4" applyBorder="1"/>
    <xf numFmtId="0" fontId="6" fillId="0" borderId="100" xfId="35" applyBorder="1" applyAlignment="1">
      <alignment vertical="center"/>
    </xf>
    <xf numFmtId="0" fontId="13" fillId="0" borderId="100" xfId="4" applyBorder="1" applyAlignment="1">
      <alignment vertical="center" wrapText="1"/>
    </xf>
    <xf numFmtId="0" fontId="6" fillId="0" borderId="0" xfId="38" applyFont="1" applyFill="1" applyBorder="1" applyAlignment="1">
      <alignment wrapText="1"/>
    </xf>
    <xf numFmtId="166" fontId="97" fillId="32" borderId="22" xfId="21" applyNumberFormat="1" applyFont="1" applyFill="1" applyBorder="1" applyAlignment="1">
      <alignment horizontal="center" vertical="center"/>
    </xf>
    <xf numFmtId="10" fontId="2" fillId="5" borderId="0" xfId="2" applyNumberFormat="1" applyFont="1" applyFill="1" applyBorder="1"/>
    <xf numFmtId="14" fontId="6" fillId="0" borderId="22" xfId="38" applyNumberFormat="1" applyFont="1" applyFill="1" applyBorder="1" applyAlignment="1">
      <alignment horizontal="left" vertical="center" wrapText="1"/>
    </xf>
    <xf numFmtId="6" fontId="6" fillId="0" borderId="22" xfId="38" applyNumberFormat="1" applyFont="1" applyFill="1" applyBorder="1" applyAlignment="1">
      <alignment horizontal="left" vertical="center" wrapText="1"/>
    </xf>
    <xf numFmtId="0" fontId="6" fillId="0" borderId="22" xfId="38" applyFont="1" applyFill="1" applyBorder="1" applyAlignment="1">
      <alignment vertical="center" wrapText="1"/>
    </xf>
    <xf numFmtId="0" fontId="6" fillId="0" borderId="7" xfId="38" applyFont="1" applyFill="1" applyBorder="1" applyAlignment="1">
      <alignment vertical="center" wrapText="1"/>
    </xf>
    <xf numFmtId="9" fontId="6" fillId="0" borderId="98" xfId="38" applyNumberFormat="1" applyFont="1" applyFill="1" applyBorder="1" applyAlignment="1">
      <alignment horizontal="left" vertical="center" wrapText="1"/>
    </xf>
    <xf numFmtId="0" fontId="6" fillId="0" borderId="7" xfId="38" applyFont="1" applyFill="1" applyBorder="1" applyAlignment="1">
      <alignment horizontal="justify" vertical="center" wrapText="1"/>
    </xf>
    <xf numFmtId="0" fontId="6" fillId="0" borderId="10" xfId="38" applyFont="1" applyFill="1" applyBorder="1" applyAlignment="1">
      <alignment horizontal="justify" vertical="center" wrapText="1"/>
    </xf>
    <xf numFmtId="0" fontId="6" fillId="0" borderId="14" xfId="38" applyFont="1" applyFill="1" applyBorder="1" applyAlignment="1">
      <alignment horizontal="justify" vertical="center" wrapText="1"/>
    </xf>
    <xf numFmtId="0" fontId="6" fillId="0" borderId="14" xfId="38" applyFont="1" applyFill="1" applyBorder="1" applyAlignment="1">
      <alignment vertical="center" wrapText="1"/>
    </xf>
    <xf numFmtId="0" fontId="13" fillId="0" borderId="0" xfId="4" applyBorder="1" applyAlignment="1" applyProtection="1"/>
    <xf numFmtId="0" fontId="13" fillId="0" borderId="47" xfId="4" applyBorder="1" applyAlignment="1" applyProtection="1"/>
    <xf numFmtId="0" fontId="0" fillId="34" borderId="0" xfId="0" applyFill="1"/>
    <xf numFmtId="8" fontId="0" fillId="34" borderId="0" xfId="0" applyNumberFormat="1" applyFill="1"/>
    <xf numFmtId="0" fontId="0" fillId="35" borderId="0" xfId="0" applyFill="1"/>
    <xf numFmtId="0" fontId="0" fillId="35" borderId="0" xfId="0" applyFill="1" applyBorder="1"/>
    <xf numFmtId="0" fontId="0" fillId="35" borderId="8" xfId="0" applyFill="1" applyBorder="1"/>
    <xf numFmtId="8" fontId="0" fillId="35" borderId="0" xfId="0" applyNumberFormat="1" applyFill="1"/>
    <xf numFmtId="9" fontId="0" fillId="35" borderId="0" xfId="0" applyNumberFormat="1" applyFill="1"/>
    <xf numFmtId="0" fontId="0" fillId="35" borderId="0" xfId="0" applyFill="1" applyAlignment="1">
      <alignment horizontal="left" indent="1"/>
    </xf>
    <xf numFmtId="0" fontId="0" fillId="22" borderId="0" xfId="0" applyFill="1" applyAlignment="1">
      <alignment horizontal="left" indent="1"/>
    </xf>
    <xf numFmtId="0" fontId="0" fillId="22" borderId="0" xfId="0" applyFill="1"/>
    <xf numFmtId="166" fontId="0" fillId="22" borderId="0" xfId="0" applyNumberFormat="1" applyFill="1"/>
    <xf numFmtId="164" fontId="0" fillId="34" borderId="0" xfId="1" applyNumberFormat="1" applyFont="1" applyFill="1"/>
    <xf numFmtId="1" fontId="0" fillId="34" borderId="0" xfId="0" applyNumberFormat="1" applyFill="1"/>
    <xf numFmtId="180" fontId="0" fillId="0" borderId="108" xfId="0" applyNumberFormat="1" applyFill="1" applyBorder="1"/>
    <xf numFmtId="0" fontId="0" fillId="0" borderId="108" xfId="0" applyBorder="1"/>
    <xf numFmtId="180" fontId="0" fillId="0" borderId="108" xfId="0" applyNumberFormat="1" applyBorder="1"/>
    <xf numFmtId="180" fontId="0" fillId="0" borderId="108" xfId="26" applyNumberFormat="1" applyFont="1" applyFill="1" applyBorder="1"/>
    <xf numFmtId="165" fontId="0" fillId="0" borderId="108" xfId="1" applyNumberFormat="1" applyFont="1" applyBorder="1"/>
    <xf numFmtId="165" fontId="0" fillId="0" borderId="108" xfId="0" applyNumberFormat="1" applyBorder="1"/>
    <xf numFmtId="2" fontId="0" fillId="0" borderId="108" xfId="0" applyNumberFormat="1" applyBorder="1"/>
    <xf numFmtId="165" fontId="0" fillId="0" borderId="108" xfId="0" applyNumberFormat="1" applyFill="1" applyBorder="1"/>
    <xf numFmtId="0" fontId="0" fillId="0" borderId="108" xfId="0" applyFill="1" applyBorder="1" applyAlignment="1">
      <alignment horizontal="right"/>
    </xf>
    <xf numFmtId="0" fontId="2" fillId="0" borderId="108" xfId="0" applyFont="1" applyBorder="1"/>
    <xf numFmtId="37" fontId="25" fillId="0" borderId="108" xfId="0" applyNumberFormat="1" applyFont="1" applyBorder="1" applyProtection="1">
      <protection locked="0"/>
    </xf>
    <xf numFmtId="179" fontId="0" fillId="0" borderId="108" xfId="1" applyNumberFormat="1" applyFont="1" applyBorder="1"/>
    <xf numFmtId="171" fontId="0" fillId="0" borderId="108" xfId="1" applyNumberFormat="1" applyFont="1" applyBorder="1"/>
    <xf numFmtId="9" fontId="0" fillId="0" borderId="108" xfId="2" applyFont="1" applyBorder="1"/>
    <xf numFmtId="9" fontId="0" fillId="0" borderId="29" xfId="0" applyNumberFormat="1" applyBorder="1"/>
    <xf numFmtId="0" fontId="2" fillId="0" borderId="108" xfId="0" applyFont="1" applyFill="1" applyBorder="1" applyAlignment="1">
      <alignment horizontal="right"/>
    </xf>
    <xf numFmtId="165" fontId="0" fillId="0" borderId="108" xfId="0" applyNumberFormat="1" applyFont="1" applyFill="1" applyBorder="1"/>
    <xf numFmtId="3" fontId="0" fillId="0" borderId="108" xfId="0" applyNumberFormat="1" applyBorder="1"/>
    <xf numFmtId="164" fontId="0" fillId="0" borderId="108" xfId="0" applyNumberFormat="1" applyBorder="1"/>
    <xf numFmtId="9" fontId="0" fillId="0" borderId="108" xfId="2" applyNumberFormat="1" applyFont="1" applyBorder="1"/>
    <xf numFmtId="164" fontId="0" fillId="0" borderId="108" xfId="2" applyNumberFormat="1" applyFont="1" applyBorder="1"/>
    <xf numFmtId="164" fontId="0" fillId="0" borderId="108" xfId="1" applyNumberFormat="1" applyFont="1" applyBorder="1" applyAlignment="1">
      <alignment horizontal="left" indent="1"/>
    </xf>
    <xf numFmtId="164" fontId="1" fillId="0" borderId="108" xfId="1" applyNumberFormat="1" applyFont="1" applyBorder="1" applyAlignment="1">
      <alignment horizontal="left" indent="1"/>
    </xf>
    <xf numFmtId="9" fontId="1" fillId="0" borderId="108" xfId="2" applyFont="1" applyBorder="1"/>
    <xf numFmtId="0" fontId="79" fillId="0" borderId="89" xfId="38" applyFont="1" applyBorder="1" applyAlignment="1">
      <alignment horizontal="center" vertical="center" wrapText="1"/>
    </xf>
    <xf numFmtId="0" fontId="79" fillId="0" borderId="87" xfId="38" applyFont="1" applyBorder="1" applyAlignment="1">
      <alignment horizontal="center" vertical="center" wrapText="1"/>
    </xf>
    <xf numFmtId="0" fontId="6" fillId="0" borderId="0" xfId="39" applyFont="1" applyBorder="1" applyAlignment="1">
      <alignment horizontal="left" wrapText="1"/>
    </xf>
    <xf numFmtId="0" fontId="6" fillId="0" borderId="0" xfId="39" applyNumberFormat="1" applyFont="1" applyBorder="1" applyAlignment="1">
      <alignment horizontal="left" wrapText="1"/>
    </xf>
    <xf numFmtId="0" fontId="12" fillId="0" borderId="96" xfId="35" applyFont="1" applyBorder="1" applyAlignment="1">
      <alignment horizontal="left" vertical="center"/>
    </xf>
    <xf numFmtId="0" fontId="12" fillId="0" borderId="107" xfId="35" applyFont="1" applyBorder="1" applyAlignment="1">
      <alignment horizontal="left" vertical="center"/>
    </xf>
    <xf numFmtId="0" fontId="12" fillId="0" borderId="80" xfId="35" applyFont="1" applyBorder="1" applyAlignment="1">
      <alignment horizontal="left" vertical="center"/>
    </xf>
    <xf numFmtId="0" fontId="96" fillId="0" borderId="21" xfId="42" applyFont="1" applyBorder="1" applyAlignment="1">
      <alignment horizontal="center" vertical="center" wrapText="1"/>
    </xf>
    <xf numFmtId="0" fontId="96" fillId="0" borderId="0" xfId="42" applyFont="1" applyBorder="1" applyAlignment="1">
      <alignment horizontal="center" vertical="center" wrapText="1"/>
    </xf>
    <xf numFmtId="0" fontId="12" fillId="0" borderId="0" xfId="42" applyFont="1" applyFill="1" applyBorder="1" applyAlignment="1">
      <alignment horizontal="left" vertical="center" wrapText="1"/>
    </xf>
    <xf numFmtId="0" fontId="25" fillId="0" borderId="0" xfId="42" applyFont="1" applyAlignment="1">
      <alignment horizontal="left" vertical="top" wrapText="1"/>
    </xf>
    <xf numFmtId="0" fontId="6" fillId="0" borderId="0" xfId="42" applyFont="1" applyAlignment="1">
      <alignment horizontal="left" wrapText="1"/>
    </xf>
    <xf numFmtId="0" fontId="6" fillId="0" borderId="0" xfId="42" applyAlignment="1">
      <alignment horizontal="left" wrapText="1"/>
    </xf>
    <xf numFmtId="0" fontId="12" fillId="0" borderId="7" xfId="42" applyFont="1" applyFill="1" applyBorder="1" applyAlignment="1">
      <alignment horizontal="left" vertical="center"/>
    </xf>
    <xf numFmtId="0" fontId="12" fillId="0" borderId="82" xfId="42" applyFont="1" applyFill="1" applyBorder="1" applyAlignment="1">
      <alignment horizontal="left" vertical="center"/>
    </xf>
    <xf numFmtId="0" fontId="24" fillId="0" borderId="54" xfId="42" applyFont="1" applyBorder="1" applyAlignment="1">
      <alignment vertical="center"/>
    </xf>
    <xf numFmtId="0" fontId="24" fillId="0" borderId="55" xfId="42" applyFont="1" applyBorder="1" applyAlignment="1">
      <alignment vertical="center"/>
    </xf>
    <xf numFmtId="0" fontId="24" fillId="0" borderId="45" xfId="42" applyFont="1" applyBorder="1" applyAlignment="1">
      <alignment horizontal="center"/>
    </xf>
    <xf numFmtId="0" fontId="24" fillId="0" borderId="44" xfId="42" applyFont="1" applyBorder="1" applyAlignment="1">
      <alignment horizontal="center"/>
    </xf>
    <xf numFmtId="0" fontId="24" fillId="0" borderId="43" xfId="42" applyFont="1" applyBorder="1" applyAlignment="1">
      <alignment horizontal="center"/>
    </xf>
    <xf numFmtId="0" fontId="0" fillId="11" borderId="49" xfId="0" applyFill="1" applyBorder="1" applyAlignment="1">
      <alignment horizontal="center"/>
    </xf>
    <xf numFmtId="164" fontId="0" fillId="0" borderId="0" xfId="1" applyNumberFormat="1" applyFont="1" applyBorder="1" applyAlignment="1">
      <alignment horizontal="right" vertical="center" wrapText="1"/>
    </xf>
    <xf numFmtId="2" fontId="0" fillId="0" borderId="47" xfId="0" applyNumberFormat="1" applyBorder="1" applyAlignment="1">
      <alignment horizontal="center" vertical="center" wrapText="1"/>
    </xf>
    <xf numFmtId="9" fontId="0" fillId="0" borderId="53" xfId="2" applyFont="1" applyBorder="1" applyAlignment="1">
      <alignment horizontal="center" vertical="center"/>
    </xf>
    <xf numFmtId="9" fontId="0" fillId="0" borderId="52" xfId="2" applyFont="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3" fontId="0" fillId="0" borderId="1" xfId="1" applyNumberFormat="1" applyFont="1" applyBorder="1" applyAlignment="1">
      <alignment horizontal="center"/>
    </xf>
    <xf numFmtId="3" fontId="0" fillId="0" borderId="0" xfId="1"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0" xfId="0" applyAlignment="1">
      <alignment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quotePrefix="1" applyFont="1" applyBorder="1" applyAlignment="1">
      <alignment horizontal="center"/>
    </xf>
    <xf numFmtId="0" fontId="2" fillId="0" borderId="5" xfId="0" quotePrefix="1" applyFont="1" applyBorder="1" applyAlignment="1">
      <alignment horizontal="center"/>
    </xf>
    <xf numFmtId="0" fontId="2" fillId="0" borderId="6" xfId="0" quotePrefix="1" applyFont="1" applyBorder="1" applyAlignment="1">
      <alignment horizont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wrapText="1"/>
    </xf>
    <xf numFmtId="0" fontId="0" fillId="0" borderId="0" xfId="0" applyBorder="1" applyAlignment="1">
      <alignment horizontal="center" wrapText="1"/>
    </xf>
    <xf numFmtId="0" fontId="0" fillId="0" borderId="13" xfId="0" applyBorder="1" applyAlignment="1">
      <alignment horizontal="center" wrapText="1"/>
    </xf>
    <xf numFmtId="0" fontId="12" fillId="0" borderId="0" xfId="0" applyFont="1" applyFill="1" applyAlignment="1">
      <alignment horizontal="center" wrapText="1"/>
    </xf>
    <xf numFmtId="0" fontId="8" fillId="0" borderId="21" xfId="0" applyFont="1" applyBorder="1" applyAlignment="1">
      <alignment horizontal="center" wrapText="1"/>
    </xf>
    <xf numFmtId="0" fontId="8" fillId="0" borderId="42" xfId="0" applyFont="1" applyBorder="1" applyAlignment="1">
      <alignment horizontal="center" wrapText="1"/>
    </xf>
    <xf numFmtId="0" fontId="8" fillId="0" borderId="10" xfId="0" applyFont="1" applyBorder="1" applyAlignment="1">
      <alignment horizontal="center" wrapText="1"/>
    </xf>
    <xf numFmtId="0" fontId="8" fillId="0" borderId="14" xfId="0" applyFont="1" applyBorder="1" applyAlignment="1">
      <alignment horizontal="center" wrapText="1"/>
    </xf>
    <xf numFmtId="0" fontId="0" fillId="0" borderId="0" xfId="0" applyAlignment="1">
      <alignment horizontal="center" wrapText="1"/>
    </xf>
    <xf numFmtId="0" fontId="3" fillId="0" borderId="0" xfId="0" applyFont="1" applyAlignment="1">
      <alignment wrapText="1"/>
    </xf>
    <xf numFmtId="0" fontId="32" fillId="0" borderId="13" xfId="0" applyFont="1" applyBorder="1" applyAlignment="1">
      <alignment horizontal="center"/>
    </xf>
    <xf numFmtId="9" fontId="0" fillId="0" borderId="0" xfId="0" applyNumberFormat="1" applyFont="1" applyFill="1" applyAlignment="1">
      <alignment horizontal="center" vertical="center"/>
    </xf>
    <xf numFmtId="0" fontId="0" fillId="0" borderId="0" xfId="0" applyBorder="1" applyAlignment="1">
      <alignment horizontal="center"/>
    </xf>
    <xf numFmtId="0" fontId="0" fillId="11" borderId="0" xfId="0" applyFill="1" applyBorder="1" applyAlignment="1">
      <alignment horizontal="center"/>
    </xf>
    <xf numFmtId="0" fontId="27" fillId="0" borderId="50" xfId="0" applyFont="1" applyBorder="1" applyAlignment="1">
      <alignment horizontal="center" wrapText="1"/>
    </xf>
    <xf numFmtId="0" fontId="27" fillId="0" borderId="13" xfId="0" applyFont="1" applyBorder="1" applyAlignment="1">
      <alignment horizontal="center" wrapText="1"/>
    </xf>
    <xf numFmtId="0" fontId="2" fillId="0" borderId="42" xfId="0" applyFont="1" applyBorder="1" applyAlignment="1">
      <alignment horizontal="center"/>
    </xf>
    <xf numFmtId="0" fontId="2" fillId="0" borderId="13" xfId="0" applyFont="1" applyBorder="1" applyAlignment="1">
      <alignment horizontal="center"/>
    </xf>
    <xf numFmtId="0" fontId="2" fillId="0" borderId="46" xfId="0" applyFont="1" applyBorder="1" applyAlignment="1">
      <alignment horizontal="center"/>
    </xf>
    <xf numFmtId="0" fontId="22" fillId="13" borderId="0" xfId="17" applyFont="1" applyFill="1" applyAlignment="1">
      <alignment horizontal="center"/>
    </xf>
    <xf numFmtId="0" fontId="43" fillId="0" borderId="0" xfId="17" applyFont="1" applyBorder="1" applyAlignment="1">
      <alignment horizontal="left" vertical="center"/>
    </xf>
    <xf numFmtId="0" fontId="22" fillId="2" borderId="13" xfId="17" applyFont="1" applyFill="1" applyBorder="1" applyAlignment="1">
      <alignment horizontal="center"/>
    </xf>
    <xf numFmtId="0" fontId="22" fillId="27" borderId="0" xfId="17" applyFont="1" applyFill="1" applyAlignment="1">
      <alignment horizontal="center"/>
    </xf>
    <xf numFmtId="0" fontId="22" fillId="21" borderId="13" xfId="17" applyFont="1" applyFill="1" applyBorder="1" applyAlignment="1">
      <alignment horizontal="center"/>
    </xf>
    <xf numFmtId="0" fontId="22" fillId="6" borderId="0" xfId="17" applyFont="1" applyFill="1" applyAlignment="1">
      <alignment horizontal="center"/>
    </xf>
    <xf numFmtId="2" fontId="22" fillId="25" borderId="13" xfId="17" applyNumberFormat="1" applyFont="1" applyFill="1" applyBorder="1" applyAlignment="1">
      <alignment horizontal="center"/>
    </xf>
    <xf numFmtId="0" fontId="22" fillId="24" borderId="13" xfId="17" applyFont="1" applyFill="1" applyBorder="1" applyAlignment="1">
      <alignment horizontal="center"/>
    </xf>
    <xf numFmtId="0" fontId="22" fillId="7" borderId="13" xfId="17" applyFont="1" applyFill="1" applyBorder="1" applyAlignment="1">
      <alignment horizontal="center"/>
    </xf>
    <xf numFmtId="0" fontId="22" fillId="22" borderId="0" xfId="17" applyFont="1" applyFill="1" applyAlignment="1">
      <alignment horizontal="center"/>
    </xf>
    <xf numFmtId="0" fontId="22" fillId="26" borderId="0" xfId="17" applyFont="1" applyFill="1" applyAlignment="1">
      <alignment horizontal="center" wrapText="1"/>
    </xf>
    <xf numFmtId="2" fontId="22" fillId="26" borderId="0" xfId="17" applyNumberFormat="1" applyFont="1" applyFill="1" applyAlignment="1">
      <alignment horizontal="center"/>
    </xf>
    <xf numFmtId="0" fontId="0" fillId="0" borderId="13" xfId="0" applyBorder="1" applyAlignment="1">
      <alignment horizontal="center"/>
    </xf>
    <xf numFmtId="0" fontId="72" fillId="0" borderId="73" xfId="18" applyFont="1" applyFill="1" applyBorder="1" applyAlignment="1">
      <alignment horizontal="center" wrapText="1"/>
    </xf>
    <xf numFmtId="0" fontId="79" fillId="0" borderId="0" xfId="18" applyFont="1" applyFill="1" applyBorder="1" applyAlignment="1">
      <alignment horizontal="right"/>
    </xf>
    <xf numFmtId="0" fontId="24" fillId="0" borderId="0" xfId="18" applyFont="1" applyFill="1" applyBorder="1" applyAlignment="1">
      <alignment horizontal="center"/>
    </xf>
    <xf numFmtId="0" fontId="24" fillId="0" borderId="0" xfId="18" applyFont="1" applyFill="1" applyBorder="1" applyAlignment="1">
      <alignment horizontal="center" vertical="center"/>
    </xf>
    <xf numFmtId="0" fontId="76" fillId="0" borderId="0" xfId="18" applyFont="1" applyBorder="1" applyAlignment="1">
      <alignment horizontal="center" vertical="center"/>
    </xf>
    <xf numFmtId="0" fontId="72" fillId="0" borderId="0" xfId="18" applyFont="1" applyFill="1" applyBorder="1" applyAlignment="1">
      <alignment horizontal="left" shrinkToFit="1"/>
    </xf>
  </cellXfs>
  <cellStyles count="46">
    <cellStyle name="Assumption" xfId="5"/>
    <cellStyle name="Comma" xfId="1" builtinId="3"/>
    <cellStyle name="Comma 2" xfId="6"/>
    <cellStyle name="Comma 2 2" xfId="30"/>
    <cellStyle name="Comma 2 3" xfId="31"/>
    <cellStyle name="Comma 3" xfId="7"/>
    <cellStyle name="Comma 3 2" xfId="32"/>
    <cellStyle name="Comma 4" xfId="8"/>
    <cellStyle name="Comma 5" xfId="33"/>
    <cellStyle name="Comma0" xfId="9"/>
    <cellStyle name="Currency" xfId="26" builtinId="4"/>
    <cellStyle name="Currency 2" xfId="10"/>
    <cellStyle name="Currency0" xfId="11"/>
    <cellStyle name="Date" xfId="12"/>
    <cellStyle name="Fixed" xfId="13"/>
    <cellStyle name="Heading" xfId="14"/>
    <cellStyle name="Hyperlink" xfId="4" builtinId="8"/>
    <cellStyle name="Hyperlink 2" xfId="15"/>
    <cellStyle name="Hyperlink 3" xfId="34"/>
    <cellStyle name="Hyperlink 3 2" xfId="40"/>
    <cellStyle name="Hyperlink_Mongolia Health ERR.IM Cleaned - v15" xfId="44"/>
    <cellStyle name="Microsoft Excel found an error in the formula you entered. Do you want to accept the correction proposed below?_x000a__x000a_|_x000a__x000a_• To accept the correction, click Yes._x000a_• To close this message and correct the formula yourself, click No." xfId="16"/>
    <cellStyle name="Normal" xfId="0" builtinId="0"/>
    <cellStyle name="Normal 2" xfId="17"/>
    <cellStyle name="Normal 2 2" xfId="18"/>
    <cellStyle name="Normal 2 3" xfId="19"/>
    <cellStyle name="Normal 2 4" xfId="35"/>
    <cellStyle name="Normal 3" xfId="20"/>
    <cellStyle name="Normal 4" xfId="3"/>
    <cellStyle name="Normal 5" xfId="27"/>
    <cellStyle name="Normal 6" xfId="29"/>
    <cellStyle name="Normal_ConsolidatedAg_IM_Clean" xfId="38"/>
    <cellStyle name="Normal_ConsolidatedAg_IM_Clean - v3" xfId="41"/>
    <cellStyle name="Normal_FeederRoadAnalysis_IM_Clean - v4" xfId="39"/>
    <cellStyle name="Normal_Lesotho - Health - v2" xfId="45"/>
    <cellStyle name="Normal_Mongolia Health ERR.IM Cleaned - v15" xfId="42"/>
    <cellStyle name="Normal_Mongolia Rail ERR.IM Cleaned" xfId="43"/>
    <cellStyle name="Normal_Sheet1" xfId="36"/>
    <cellStyle name="Normal_Sheet2" xfId="37"/>
    <cellStyle name="Percent" xfId="2" builtinId="5"/>
    <cellStyle name="Percent 2" xfId="21"/>
    <cellStyle name="Percent 3" xfId="22"/>
    <cellStyle name="Percent 4" xfId="28"/>
    <cellStyle name="Stub" xfId="23"/>
    <cellStyle name="Top" xfId="24"/>
    <cellStyle name="Totals" xfId="25"/>
  </cellStyles>
  <dxfs count="8">
    <dxf>
      <font>
        <condense val="0"/>
        <extend val="0"/>
        <color indexed="10"/>
      </font>
    </dxf>
    <dxf>
      <font>
        <condense val="0"/>
        <extend val="0"/>
        <color indexed="9"/>
      </font>
      <fill>
        <patternFill patternType="none">
          <bgColor indexed="65"/>
        </patternFill>
      </fill>
    </dxf>
    <dxf>
      <fill>
        <patternFill>
          <bgColor rgb="FF00B050"/>
        </patternFill>
      </fill>
    </dxf>
    <dxf>
      <fill>
        <patternFill>
          <bgColor rgb="FFFF0000"/>
        </patternFill>
      </fill>
    </dxf>
    <dxf>
      <font>
        <color theme="0"/>
      </font>
    </dxf>
    <dxf>
      <font>
        <color rgb="FFFF0000"/>
      </font>
    </dxf>
    <dxf>
      <font>
        <condense val="0"/>
        <extend val="0"/>
        <color indexed="10"/>
      </font>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externalLink" Target="externalLinks/externalLink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Undiscounted Net Annual Benefits of Zambia Water Activities</a:t>
            </a:r>
            <a:endParaRPr lang="en-US"/>
          </a:p>
        </c:rich>
      </c:tx>
      <c:layout>
        <c:manualLayout>
          <c:xMode val="edge"/>
          <c:yMode val="edge"/>
          <c:x val="0.10423049391553328"/>
          <c:y val="6.0186312531829045E-2"/>
        </c:manualLayout>
      </c:layout>
      <c:overlay val="0"/>
    </c:title>
    <c:autoTitleDeleted val="0"/>
    <c:plotArea>
      <c:layout>
        <c:manualLayout>
          <c:layoutTarget val="inner"/>
          <c:xMode val="edge"/>
          <c:yMode val="edge"/>
          <c:x val="7.829986181734766E-2"/>
          <c:y val="0.20895522388059701"/>
          <c:w val="0.89261842471776331"/>
          <c:h val="0.62089552238805967"/>
        </c:manualLayout>
      </c:layout>
      <c:areaChart>
        <c:grouping val="standard"/>
        <c:varyColors val="0"/>
        <c:ser>
          <c:idx val="0"/>
          <c:order val="0"/>
          <c:cat>
            <c:numRef>
              <c:f>'Combined Cost-Benefit'!$E$4:$Y$4</c:f>
              <c:numCache>
                <c:formatCode>General</c:formatCode>
                <c:ptCount val="21"/>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numCache>
            </c:numRef>
          </c:cat>
          <c:val>
            <c:numRef>
              <c:f>'Combined Cost-Benefit'!$E$11:$Y$11</c:f>
              <c:numCache>
                <c:formatCode>"$"#,##0.00</c:formatCode>
                <c:ptCount val="21"/>
                <c:pt idx="0">
                  <c:v>-11.412506655003416</c:v>
                </c:pt>
                <c:pt idx="1">
                  <c:v>-19.973621044529942</c:v>
                </c:pt>
                <c:pt idx="2">
                  <c:v>-61.608618222816709</c:v>
                </c:pt>
                <c:pt idx="3">
                  <c:v>-66.456090918641181</c:v>
                </c:pt>
                <c:pt idx="4">
                  <c:v>-40.921679731661442</c:v>
                </c:pt>
                <c:pt idx="5">
                  <c:v>-6.4018428933385039</c:v>
                </c:pt>
                <c:pt idx="6">
                  <c:v>48.630246530275059</c:v>
                </c:pt>
                <c:pt idx="7">
                  <c:v>49.943654757238697</c:v>
                </c:pt>
                <c:pt idx="8">
                  <c:v>51.300226119908508</c:v>
                </c:pt>
                <c:pt idx="9">
                  <c:v>52.701521673419975</c:v>
                </c:pt>
                <c:pt idx="10">
                  <c:v>54.149165074931602</c:v>
                </c:pt>
                <c:pt idx="11">
                  <c:v>55.644845335651553</c:v>
                </c:pt>
                <c:pt idx="12">
                  <c:v>57.190319702431495</c:v>
                </c:pt>
                <c:pt idx="13">
                  <c:v>58.787416675306915</c:v>
                </c:pt>
                <c:pt idx="14">
                  <c:v>60.438039167686533</c:v>
                </c:pt>
                <c:pt idx="15">
                  <c:v>62.16484723754278</c:v>
                </c:pt>
                <c:pt idx="16">
                  <c:v>64.040101323583784</c:v>
                </c:pt>
                <c:pt idx="17">
                  <c:v>66.156934070673344</c:v>
                </c:pt>
                <c:pt idx="18">
                  <c:v>68.561031138558263</c:v>
                </c:pt>
                <c:pt idx="19">
                  <c:v>71.15536838209286</c:v>
                </c:pt>
                <c:pt idx="20">
                  <c:v>222.54926128882977</c:v>
                </c:pt>
              </c:numCache>
            </c:numRef>
          </c:val>
        </c:ser>
        <c:dLbls>
          <c:showLegendKey val="0"/>
          <c:showVal val="0"/>
          <c:showCatName val="0"/>
          <c:showSerName val="0"/>
          <c:showPercent val="0"/>
          <c:showBubbleSize val="0"/>
        </c:dLbls>
        <c:axId val="507952392"/>
        <c:axId val="507952784"/>
      </c:areaChart>
      <c:catAx>
        <c:axId val="5079523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sz="1200"/>
                  <a:t>Year</a:t>
                </a:r>
              </a:p>
            </c:rich>
          </c:tx>
          <c:layout>
            <c:manualLayout>
              <c:xMode val="edge"/>
              <c:yMode val="edge"/>
              <c:x val="0.50223765211166782"/>
              <c:y val="0.90926575802390186"/>
            </c:manualLayout>
          </c:layout>
          <c:overlay val="0"/>
        </c:title>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952784"/>
        <c:crosses val="autoZero"/>
        <c:auto val="1"/>
        <c:lblAlgn val="ctr"/>
        <c:lblOffset val="100"/>
        <c:tickLblSkip val="2"/>
        <c:tickMarkSkip val="1"/>
        <c:noMultiLvlLbl val="0"/>
      </c:catAx>
      <c:valAx>
        <c:axId val="507952784"/>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US$ (millions)</a:t>
                </a:r>
              </a:p>
            </c:rich>
          </c:tx>
          <c:layout>
            <c:manualLayout>
              <c:xMode val="edge"/>
              <c:yMode val="edge"/>
              <c:x val="7.7818015862280354E-3"/>
              <c:y val="0.38341932216718067"/>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952392"/>
        <c:crosses val="autoZero"/>
        <c:crossBetween val="midCat"/>
      </c:valAx>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Benefits!$B$35:$B$39</c:f>
              <c:strCache>
                <c:ptCount val="5"/>
                <c:pt idx="0">
                  <c:v>Health</c:v>
                </c:pt>
                <c:pt idx="1">
                  <c:v>Time Savings</c:v>
                </c:pt>
                <c:pt idx="2">
                  <c:v>Non-revenue Water</c:v>
                </c:pt>
                <c:pt idx="3">
                  <c:v>Avoided Property Damage</c:v>
                </c:pt>
                <c:pt idx="4">
                  <c:v>Avoided Loss in Value Added</c:v>
                </c:pt>
              </c:strCache>
            </c:strRef>
          </c:cat>
          <c:val>
            <c:numRef>
              <c:f>Benefits!$C$35:$C$39</c:f>
              <c:numCache>
                <c:formatCode>0%</c:formatCode>
                <c:ptCount val="5"/>
                <c:pt idx="0">
                  <c:v>0.11898137693338118</c:v>
                </c:pt>
                <c:pt idx="1">
                  <c:v>0.68806236428587042</c:v>
                </c:pt>
                <c:pt idx="2">
                  <c:v>0.17730066649497569</c:v>
                </c:pt>
                <c:pt idx="3" formatCode="0.0%">
                  <c:v>3.8752624006399309E-3</c:v>
                </c:pt>
                <c:pt idx="4" formatCode="0.0%">
                  <c:v>1.1780329885132626E-2</c:v>
                </c:pt>
              </c:numCache>
            </c:numRef>
          </c:val>
        </c:ser>
        <c:dLbls>
          <c:showLegendKey val="0"/>
          <c:showVal val="0"/>
          <c:showCatName val="0"/>
          <c:showSerName val="0"/>
          <c:showPercent val="0"/>
          <c:showBubbleSize val="0"/>
          <c:showLeaderLines val="0"/>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45388491978648E-2"/>
          <c:y val="3.3899276561964141E-2"/>
          <c:w val="0.60389772150227872"/>
          <c:h val="0.89697432286944967"/>
        </c:manualLayout>
      </c:layout>
      <c:barChart>
        <c:barDir val="col"/>
        <c:grouping val="stacked"/>
        <c:varyColors val="0"/>
        <c:ser>
          <c:idx val="0"/>
          <c:order val="0"/>
          <c:tx>
            <c:strRef>
              <c:f>'barchart data'!$A$26</c:f>
              <c:strCache>
                <c:ptCount val="1"/>
                <c:pt idx="0">
                  <c:v>CE for income &lt;$1.25/day</c:v>
                </c:pt>
              </c:strCache>
            </c:strRef>
          </c:tx>
          <c:spPr>
            <a:solidFill>
              <a:schemeClr val="accent1"/>
            </a:solidFill>
            <a:ln>
              <a:noFill/>
            </a:ln>
            <a:effectLst/>
          </c:spPr>
          <c:invertIfNegative val="0"/>
          <c:cat>
            <c:strRef>
              <c:f>'barchart data'!$B$25:$C$25</c:f>
              <c:strCache>
                <c:ptCount val="2"/>
                <c:pt idx="0">
                  <c:v>LWSSC</c:v>
                </c:pt>
                <c:pt idx="1">
                  <c:v>National Income Distribution</c:v>
                </c:pt>
              </c:strCache>
            </c:strRef>
          </c:cat>
          <c:val>
            <c:numRef>
              <c:f>'barchart data'!$B$26:$C$26</c:f>
              <c:numCache>
                <c:formatCode>_(* #,##0.00_);_(* \(#,##0.00\);_(* "-"??_);_(@_)</c:formatCode>
                <c:ptCount val="2"/>
                <c:pt idx="0" formatCode="#,##0.00_);[Red]\(#,##0.00\)">
                  <c:v>0.66014542520384534</c:v>
                </c:pt>
                <c:pt idx="1">
                  <c:v>4.1135175380242167E-2</c:v>
                </c:pt>
              </c:numCache>
            </c:numRef>
          </c:val>
        </c:ser>
        <c:ser>
          <c:idx val="1"/>
          <c:order val="1"/>
          <c:tx>
            <c:strRef>
              <c:f>'barchart data'!$A$27</c:f>
              <c:strCache>
                <c:ptCount val="1"/>
                <c:pt idx="0">
                  <c:v>CE for income &gt;=$1.25/day and &lt;$2/day</c:v>
                </c:pt>
              </c:strCache>
            </c:strRef>
          </c:tx>
          <c:spPr>
            <a:solidFill>
              <a:schemeClr val="accent2"/>
            </a:solidFill>
            <a:ln>
              <a:noFill/>
            </a:ln>
            <a:effectLst/>
          </c:spPr>
          <c:invertIfNegative val="0"/>
          <c:cat>
            <c:strRef>
              <c:f>'barchart data'!$B$25:$C$25</c:f>
              <c:strCache>
                <c:ptCount val="2"/>
                <c:pt idx="0">
                  <c:v>LWSSC</c:v>
                </c:pt>
                <c:pt idx="1">
                  <c:v>National Income Distribution</c:v>
                </c:pt>
              </c:strCache>
            </c:strRef>
          </c:cat>
          <c:val>
            <c:numRef>
              <c:f>'barchart data'!$B$27:$C$27</c:f>
              <c:numCache>
                <c:formatCode>_(* #,##0.00_);_(* \(#,##0.00\);_(* "-"??_);_(@_)</c:formatCode>
                <c:ptCount val="2"/>
                <c:pt idx="0" formatCode="#,##0.00_);[Red]\(#,##0.00\)">
                  <c:v>0.18318180728336067</c:v>
                </c:pt>
                <c:pt idx="1">
                  <c:v>0.11042876637732524</c:v>
                </c:pt>
              </c:numCache>
            </c:numRef>
          </c:val>
        </c:ser>
        <c:ser>
          <c:idx val="2"/>
          <c:order val="2"/>
          <c:tx>
            <c:strRef>
              <c:f>'barchart data'!$A$28</c:f>
              <c:strCache>
                <c:ptCount val="1"/>
                <c:pt idx="0">
                  <c:v>CE for income &gt;=$2/day and &lt;$4/day</c:v>
                </c:pt>
              </c:strCache>
            </c:strRef>
          </c:tx>
          <c:spPr>
            <a:solidFill>
              <a:schemeClr val="accent3"/>
            </a:solidFill>
            <a:ln>
              <a:noFill/>
            </a:ln>
            <a:effectLst/>
          </c:spPr>
          <c:invertIfNegative val="0"/>
          <c:cat>
            <c:strRef>
              <c:f>'barchart data'!$B$25:$C$25</c:f>
              <c:strCache>
                <c:ptCount val="2"/>
                <c:pt idx="0">
                  <c:v>LWSSC</c:v>
                </c:pt>
                <c:pt idx="1">
                  <c:v>National Income Distribution</c:v>
                </c:pt>
              </c:strCache>
            </c:strRef>
          </c:cat>
          <c:val>
            <c:numRef>
              <c:f>'barchart data'!$B$28:$C$28</c:f>
              <c:numCache>
                <c:formatCode>_(* #,##0.00_);_(* \(#,##0.00\);_(* "-"??_);_(@_)</c:formatCode>
                <c:ptCount val="2"/>
                <c:pt idx="0" formatCode="#,##0.00_);[Red]\(#,##0.00\)">
                  <c:v>0.21292995867507217</c:v>
                </c:pt>
                <c:pt idx="1">
                  <c:v>0.1919816516964187</c:v>
                </c:pt>
              </c:numCache>
            </c:numRef>
          </c:val>
        </c:ser>
        <c:ser>
          <c:idx val="3"/>
          <c:order val="3"/>
          <c:tx>
            <c:strRef>
              <c:f>'barchart data'!$A$29</c:f>
              <c:strCache>
                <c:ptCount val="1"/>
                <c:pt idx="0">
                  <c:v>CE for income &gt;$4/day</c:v>
                </c:pt>
              </c:strCache>
            </c:strRef>
          </c:tx>
          <c:spPr>
            <a:solidFill>
              <a:schemeClr val="accent4"/>
            </a:solidFill>
            <a:ln>
              <a:noFill/>
            </a:ln>
            <a:effectLst/>
          </c:spPr>
          <c:invertIfNegative val="0"/>
          <c:cat>
            <c:strRef>
              <c:f>'barchart data'!$B$25:$C$25</c:f>
              <c:strCache>
                <c:ptCount val="2"/>
                <c:pt idx="0">
                  <c:v>LWSSC</c:v>
                </c:pt>
                <c:pt idx="1">
                  <c:v>National Income Distribution</c:v>
                </c:pt>
              </c:strCache>
            </c:strRef>
          </c:cat>
          <c:val>
            <c:numRef>
              <c:f>'barchart data'!$B$29:$C$29</c:f>
              <c:numCache>
                <c:formatCode>_(* #,##0.00_);_(* \(#,##0.00\);_(* "-"??_);_(@_)</c:formatCode>
                <c:ptCount val="2"/>
                <c:pt idx="0" formatCode="#,##0.00_);[Red]\(#,##0.00\)">
                  <c:v>0.20929920868806415</c:v>
                </c:pt>
                <c:pt idx="1">
                  <c:v>0.65645440654601395</c:v>
                </c:pt>
              </c:numCache>
            </c:numRef>
          </c:val>
        </c:ser>
        <c:dLbls>
          <c:showLegendKey val="0"/>
          <c:showVal val="0"/>
          <c:showCatName val="0"/>
          <c:showSerName val="0"/>
          <c:showPercent val="0"/>
          <c:showBubbleSize val="0"/>
        </c:dLbls>
        <c:gapWidth val="150"/>
        <c:overlap val="100"/>
        <c:axId val="301193120"/>
        <c:axId val="301193512"/>
      </c:barChart>
      <c:catAx>
        <c:axId val="30119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01193512"/>
        <c:crosses val="autoZero"/>
        <c:auto val="1"/>
        <c:lblAlgn val="ctr"/>
        <c:lblOffset val="100"/>
        <c:noMultiLvlLbl val="0"/>
      </c:catAx>
      <c:valAx>
        <c:axId val="30119351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011931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96" workbookViewId="0" zoomToFit="1"/>
  </sheetViews>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2600325</xdr:colOff>
      <xdr:row>6</xdr:row>
      <xdr:rowOff>19050</xdr:rowOff>
    </xdr:to>
    <xdr:pic>
      <xdr:nvPicPr>
        <xdr:cNvPr id="2" name="Picture 4"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2581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647700</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0500" y="201083"/>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609600</xdr:colOff>
      <xdr:row>107</xdr:row>
      <xdr:rowOff>85725</xdr:rowOff>
    </xdr:from>
    <xdr:to>
      <xdr:col>4</xdr:col>
      <xdr:colOff>228600</xdr:colOff>
      <xdr:row>110</xdr:row>
      <xdr:rowOff>66675</xdr:rowOff>
    </xdr:to>
    <xdr:cxnSp macro="">
      <xdr:nvCxnSpPr>
        <xdr:cNvPr id="2" name="Straight Arrow Connector 1" descr="e77afb3f-b1f3-4f1d-9e03-d301b917e03d"/>
        <xdr:cNvCxnSpPr/>
      </xdr:nvCxnSpPr>
      <xdr:spPr>
        <a:xfrm>
          <a:off x="1828800" y="202787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107</xdr:row>
      <xdr:rowOff>133350</xdr:rowOff>
    </xdr:from>
    <xdr:to>
      <xdr:col>4</xdr:col>
      <xdr:colOff>342900</xdr:colOff>
      <xdr:row>113</xdr:row>
      <xdr:rowOff>114300</xdr:rowOff>
    </xdr:to>
    <xdr:cxnSp macro="">
      <xdr:nvCxnSpPr>
        <xdr:cNvPr id="3" name="Straight Arrow Connector 2" descr="3176c158-dc86-4da3-a2e5-0e4a89a0583b"/>
        <xdr:cNvCxnSpPr/>
      </xdr:nvCxnSpPr>
      <xdr:spPr>
        <a:xfrm>
          <a:off x="1828800" y="203263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110</xdr:row>
      <xdr:rowOff>133350</xdr:rowOff>
    </xdr:from>
    <xdr:to>
      <xdr:col>4</xdr:col>
      <xdr:colOff>219075</xdr:colOff>
      <xdr:row>113</xdr:row>
      <xdr:rowOff>85725</xdr:rowOff>
    </xdr:to>
    <xdr:cxnSp macro="">
      <xdr:nvCxnSpPr>
        <xdr:cNvPr id="4" name="Straight Arrow Connector 3" descr="0b47a0a2-0e20-44e2-95bc-879138c825ee"/>
        <xdr:cNvCxnSpPr/>
      </xdr:nvCxnSpPr>
      <xdr:spPr>
        <a:xfrm>
          <a:off x="1828800" y="208978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113</xdr:row>
      <xdr:rowOff>104775</xdr:rowOff>
    </xdr:from>
    <xdr:to>
      <xdr:col>4</xdr:col>
      <xdr:colOff>228600</xdr:colOff>
      <xdr:row>113</xdr:row>
      <xdr:rowOff>104775</xdr:rowOff>
    </xdr:to>
    <xdr:cxnSp macro="">
      <xdr:nvCxnSpPr>
        <xdr:cNvPr id="5" name="Straight Arrow Connector 4" descr="646885dc-181a-4e08-9eed-d8ba0318425d"/>
        <xdr:cNvCxnSpPr/>
      </xdr:nvCxnSpPr>
      <xdr:spPr>
        <a:xfrm>
          <a:off x="1828800" y="21440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110</xdr:row>
      <xdr:rowOff>104775</xdr:rowOff>
    </xdr:from>
    <xdr:to>
      <xdr:col>4</xdr:col>
      <xdr:colOff>228600</xdr:colOff>
      <xdr:row>110</xdr:row>
      <xdr:rowOff>104775</xdr:rowOff>
    </xdr:to>
    <xdr:cxnSp macro="">
      <xdr:nvCxnSpPr>
        <xdr:cNvPr id="6" name="Straight Arrow Connector 5" descr="cff8acb0-4257-4bfe-b4c3-6908871d9b24"/>
        <xdr:cNvCxnSpPr/>
      </xdr:nvCxnSpPr>
      <xdr:spPr>
        <a:xfrm>
          <a:off x="1828800" y="20869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108</xdr:row>
      <xdr:rowOff>161925</xdr:rowOff>
    </xdr:from>
    <xdr:ext cx="252249" cy="264560"/>
    <xdr:sp macro="" textlink="">
      <xdr:nvSpPr>
        <xdr:cNvPr id="7" name="TextBox 6"/>
        <xdr:cNvSpPr txBox="1"/>
      </xdr:nvSpPr>
      <xdr:spPr>
        <a:xfrm>
          <a:off x="2466975" y="205454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110</xdr:row>
      <xdr:rowOff>47625</xdr:rowOff>
    </xdr:from>
    <xdr:ext cx="258789" cy="264560"/>
    <xdr:sp macro="" textlink="">
      <xdr:nvSpPr>
        <xdr:cNvPr id="8" name="TextBox 7"/>
        <xdr:cNvSpPr txBox="1"/>
      </xdr:nvSpPr>
      <xdr:spPr>
        <a:xfrm>
          <a:off x="2438400" y="208121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109</xdr:row>
      <xdr:rowOff>142875</xdr:rowOff>
    </xdr:from>
    <xdr:ext cx="184731" cy="264560"/>
    <xdr:sp macro="" textlink="">
      <xdr:nvSpPr>
        <xdr:cNvPr id="9" name="TextBox 8"/>
        <xdr:cNvSpPr txBox="1"/>
      </xdr:nvSpPr>
      <xdr:spPr>
        <a:xfrm>
          <a:off x="2438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111</xdr:row>
      <xdr:rowOff>152400</xdr:rowOff>
    </xdr:from>
    <xdr:ext cx="252249" cy="264560"/>
    <xdr:sp macro="" textlink="">
      <xdr:nvSpPr>
        <xdr:cNvPr id="10" name="TextBox 9"/>
        <xdr:cNvSpPr txBox="1"/>
      </xdr:nvSpPr>
      <xdr:spPr>
        <a:xfrm>
          <a:off x="2562225" y="211074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112</xdr:row>
      <xdr:rowOff>9525</xdr:rowOff>
    </xdr:from>
    <xdr:ext cx="258789" cy="264560"/>
    <xdr:sp macro="" textlink="">
      <xdr:nvSpPr>
        <xdr:cNvPr id="11" name="TextBox 10"/>
        <xdr:cNvSpPr txBox="1"/>
      </xdr:nvSpPr>
      <xdr:spPr>
        <a:xfrm>
          <a:off x="2200275" y="211550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113</xdr:row>
      <xdr:rowOff>38100</xdr:rowOff>
    </xdr:from>
    <xdr:ext cx="254878" cy="264560"/>
    <xdr:sp macro="" textlink="">
      <xdr:nvSpPr>
        <xdr:cNvPr id="12" name="TextBox 11"/>
        <xdr:cNvSpPr txBox="1"/>
      </xdr:nvSpPr>
      <xdr:spPr>
        <a:xfrm>
          <a:off x="2438400" y="213741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xdr:from>
      <xdr:col>2</xdr:col>
      <xdr:colOff>609600</xdr:colOff>
      <xdr:row>127</xdr:row>
      <xdr:rowOff>85725</xdr:rowOff>
    </xdr:from>
    <xdr:to>
      <xdr:col>4</xdr:col>
      <xdr:colOff>228600</xdr:colOff>
      <xdr:row>130</xdr:row>
      <xdr:rowOff>66675</xdr:rowOff>
    </xdr:to>
    <xdr:cxnSp macro="">
      <xdr:nvCxnSpPr>
        <xdr:cNvPr id="13" name="Straight Arrow Connector 12" descr="e77afb3f-b1f3-4f1d-9e03-d301b917e03d"/>
        <xdr:cNvCxnSpPr/>
      </xdr:nvCxnSpPr>
      <xdr:spPr>
        <a:xfrm>
          <a:off x="1828800" y="240887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127</xdr:row>
      <xdr:rowOff>133350</xdr:rowOff>
    </xdr:from>
    <xdr:to>
      <xdr:col>4</xdr:col>
      <xdr:colOff>342900</xdr:colOff>
      <xdr:row>133</xdr:row>
      <xdr:rowOff>114300</xdr:rowOff>
    </xdr:to>
    <xdr:cxnSp macro="">
      <xdr:nvCxnSpPr>
        <xdr:cNvPr id="14" name="Straight Arrow Connector 13" descr="3176c158-dc86-4da3-a2e5-0e4a89a0583b"/>
        <xdr:cNvCxnSpPr/>
      </xdr:nvCxnSpPr>
      <xdr:spPr>
        <a:xfrm>
          <a:off x="1828800" y="241363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130</xdr:row>
      <xdr:rowOff>133350</xdr:rowOff>
    </xdr:from>
    <xdr:to>
      <xdr:col>4</xdr:col>
      <xdr:colOff>219075</xdr:colOff>
      <xdr:row>133</xdr:row>
      <xdr:rowOff>85725</xdr:rowOff>
    </xdr:to>
    <xdr:cxnSp macro="">
      <xdr:nvCxnSpPr>
        <xdr:cNvPr id="15" name="Straight Arrow Connector 14" descr="0b47a0a2-0e20-44e2-95bc-879138c825ee"/>
        <xdr:cNvCxnSpPr/>
      </xdr:nvCxnSpPr>
      <xdr:spPr>
        <a:xfrm>
          <a:off x="1828800" y="247078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133</xdr:row>
      <xdr:rowOff>104775</xdr:rowOff>
    </xdr:from>
    <xdr:to>
      <xdr:col>4</xdr:col>
      <xdr:colOff>228600</xdr:colOff>
      <xdr:row>133</xdr:row>
      <xdr:rowOff>104775</xdr:rowOff>
    </xdr:to>
    <xdr:cxnSp macro="">
      <xdr:nvCxnSpPr>
        <xdr:cNvPr id="16" name="Straight Arrow Connector 15" descr="646885dc-181a-4e08-9eed-d8ba0318425d"/>
        <xdr:cNvCxnSpPr/>
      </xdr:nvCxnSpPr>
      <xdr:spPr>
        <a:xfrm>
          <a:off x="1828800" y="25250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130</xdr:row>
      <xdr:rowOff>104775</xdr:rowOff>
    </xdr:from>
    <xdr:to>
      <xdr:col>4</xdr:col>
      <xdr:colOff>228600</xdr:colOff>
      <xdr:row>130</xdr:row>
      <xdr:rowOff>104775</xdr:rowOff>
    </xdr:to>
    <xdr:cxnSp macro="">
      <xdr:nvCxnSpPr>
        <xdr:cNvPr id="17" name="Straight Arrow Connector 16" descr="cff8acb0-4257-4bfe-b4c3-6908871d9b24"/>
        <xdr:cNvCxnSpPr/>
      </xdr:nvCxnSpPr>
      <xdr:spPr>
        <a:xfrm>
          <a:off x="1828800" y="24679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128</xdr:row>
      <xdr:rowOff>161925</xdr:rowOff>
    </xdr:from>
    <xdr:ext cx="252249" cy="264560"/>
    <xdr:sp macro="" textlink="">
      <xdr:nvSpPr>
        <xdr:cNvPr id="18" name="TextBox 17"/>
        <xdr:cNvSpPr txBox="1"/>
      </xdr:nvSpPr>
      <xdr:spPr>
        <a:xfrm>
          <a:off x="2466975" y="243554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130</xdr:row>
      <xdr:rowOff>47625</xdr:rowOff>
    </xdr:from>
    <xdr:ext cx="258789" cy="264560"/>
    <xdr:sp macro="" textlink="">
      <xdr:nvSpPr>
        <xdr:cNvPr id="19" name="TextBox 18"/>
        <xdr:cNvSpPr txBox="1"/>
      </xdr:nvSpPr>
      <xdr:spPr>
        <a:xfrm>
          <a:off x="2438400" y="246221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129</xdr:row>
      <xdr:rowOff>142875</xdr:rowOff>
    </xdr:from>
    <xdr:ext cx="184731" cy="264560"/>
    <xdr:sp macro="" textlink="">
      <xdr:nvSpPr>
        <xdr:cNvPr id="20" name="TextBox 19"/>
        <xdr:cNvSpPr txBox="1"/>
      </xdr:nvSpPr>
      <xdr:spPr>
        <a:xfrm>
          <a:off x="2438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131</xdr:row>
      <xdr:rowOff>152400</xdr:rowOff>
    </xdr:from>
    <xdr:ext cx="252249" cy="264560"/>
    <xdr:sp macro="" textlink="">
      <xdr:nvSpPr>
        <xdr:cNvPr id="21" name="TextBox 20"/>
        <xdr:cNvSpPr txBox="1"/>
      </xdr:nvSpPr>
      <xdr:spPr>
        <a:xfrm>
          <a:off x="2562225" y="249174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132</xdr:row>
      <xdr:rowOff>9525</xdr:rowOff>
    </xdr:from>
    <xdr:ext cx="258789" cy="264560"/>
    <xdr:sp macro="" textlink="">
      <xdr:nvSpPr>
        <xdr:cNvPr id="22" name="TextBox 21"/>
        <xdr:cNvSpPr txBox="1"/>
      </xdr:nvSpPr>
      <xdr:spPr>
        <a:xfrm>
          <a:off x="2200275" y="249650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133</xdr:row>
      <xdr:rowOff>38100</xdr:rowOff>
    </xdr:from>
    <xdr:ext cx="254878" cy="264560"/>
    <xdr:sp macro="" textlink="">
      <xdr:nvSpPr>
        <xdr:cNvPr id="23" name="TextBox 22"/>
        <xdr:cNvSpPr txBox="1"/>
      </xdr:nvSpPr>
      <xdr:spPr>
        <a:xfrm>
          <a:off x="2438400" y="251841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xdr:from>
      <xdr:col>2</xdr:col>
      <xdr:colOff>609600</xdr:colOff>
      <xdr:row>148</xdr:row>
      <xdr:rowOff>85725</xdr:rowOff>
    </xdr:from>
    <xdr:to>
      <xdr:col>4</xdr:col>
      <xdr:colOff>228600</xdr:colOff>
      <xdr:row>151</xdr:row>
      <xdr:rowOff>66675</xdr:rowOff>
    </xdr:to>
    <xdr:cxnSp macro="">
      <xdr:nvCxnSpPr>
        <xdr:cNvPr id="24" name="Straight Arrow Connector 23" descr="e77afb3f-b1f3-4f1d-9e03-d301b917e03d"/>
        <xdr:cNvCxnSpPr/>
      </xdr:nvCxnSpPr>
      <xdr:spPr>
        <a:xfrm>
          <a:off x="1828800" y="280892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148</xdr:row>
      <xdr:rowOff>133350</xdr:rowOff>
    </xdr:from>
    <xdr:to>
      <xdr:col>4</xdr:col>
      <xdr:colOff>342900</xdr:colOff>
      <xdr:row>154</xdr:row>
      <xdr:rowOff>114300</xdr:rowOff>
    </xdr:to>
    <xdr:cxnSp macro="">
      <xdr:nvCxnSpPr>
        <xdr:cNvPr id="25" name="Straight Arrow Connector 24" descr="3176c158-dc86-4da3-a2e5-0e4a89a0583b"/>
        <xdr:cNvCxnSpPr/>
      </xdr:nvCxnSpPr>
      <xdr:spPr>
        <a:xfrm>
          <a:off x="1828800" y="281368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151</xdr:row>
      <xdr:rowOff>133350</xdr:rowOff>
    </xdr:from>
    <xdr:to>
      <xdr:col>4</xdr:col>
      <xdr:colOff>219075</xdr:colOff>
      <xdr:row>154</xdr:row>
      <xdr:rowOff>85725</xdr:rowOff>
    </xdr:to>
    <xdr:cxnSp macro="">
      <xdr:nvCxnSpPr>
        <xdr:cNvPr id="26" name="Straight Arrow Connector 25" descr="0b47a0a2-0e20-44e2-95bc-879138c825ee"/>
        <xdr:cNvCxnSpPr/>
      </xdr:nvCxnSpPr>
      <xdr:spPr>
        <a:xfrm>
          <a:off x="1828800" y="287083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154</xdr:row>
      <xdr:rowOff>104775</xdr:rowOff>
    </xdr:from>
    <xdr:to>
      <xdr:col>4</xdr:col>
      <xdr:colOff>228600</xdr:colOff>
      <xdr:row>154</xdr:row>
      <xdr:rowOff>104775</xdr:rowOff>
    </xdr:to>
    <xdr:cxnSp macro="">
      <xdr:nvCxnSpPr>
        <xdr:cNvPr id="27" name="Straight Arrow Connector 26" descr="646885dc-181a-4e08-9eed-d8ba0318425d"/>
        <xdr:cNvCxnSpPr/>
      </xdr:nvCxnSpPr>
      <xdr:spPr>
        <a:xfrm>
          <a:off x="1828800" y="29251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151</xdr:row>
      <xdr:rowOff>104775</xdr:rowOff>
    </xdr:from>
    <xdr:to>
      <xdr:col>4</xdr:col>
      <xdr:colOff>228600</xdr:colOff>
      <xdr:row>151</xdr:row>
      <xdr:rowOff>104775</xdr:rowOff>
    </xdr:to>
    <xdr:cxnSp macro="">
      <xdr:nvCxnSpPr>
        <xdr:cNvPr id="28" name="Straight Arrow Connector 27" descr="cff8acb0-4257-4bfe-b4c3-6908871d9b24"/>
        <xdr:cNvCxnSpPr/>
      </xdr:nvCxnSpPr>
      <xdr:spPr>
        <a:xfrm>
          <a:off x="1828800" y="28679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149</xdr:row>
      <xdr:rowOff>161925</xdr:rowOff>
    </xdr:from>
    <xdr:ext cx="252249" cy="264560"/>
    <xdr:sp macro="" textlink="">
      <xdr:nvSpPr>
        <xdr:cNvPr id="29" name="TextBox 28"/>
        <xdr:cNvSpPr txBox="1"/>
      </xdr:nvSpPr>
      <xdr:spPr>
        <a:xfrm>
          <a:off x="2466975" y="283559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151</xdr:row>
      <xdr:rowOff>47625</xdr:rowOff>
    </xdr:from>
    <xdr:ext cx="258789" cy="264560"/>
    <xdr:sp macro="" textlink="">
      <xdr:nvSpPr>
        <xdr:cNvPr id="30" name="TextBox 29"/>
        <xdr:cNvSpPr txBox="1"/>
      </xdr:nvSpPr>
      <xdr:spPr>
        <a:xfrm>
          <a:off x="2438400" y="286226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150</xdr:row>
      <xdr:rowOff>142875</xdr:rowOff>
    </xdr:from>
    <xdr:ext cx="184731" cy="264560"/>
    <xdr:sp macro="" textlink="">
      <xdr:nvSpPr>
        <xdr:cNvPr id="31" name="TextBox 30"/>
        <xdr:cNvSpPr txBox="1"/>
      </xdr:nvSpPr>
      <xdr:spPr>
        <a:xfrm>
          <a:off x="2438400"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152</xdr:row>
      <xdr:rowOff>152400</xdr:rowOff>
    </xdr:from>
    <xdr:ext cx="252249" cy="264560"/>
    <xdr:sp macro="" textlink="">
      <xdr:nvSpPr>
        <xdr:cNvPr id="32" name="TextBox 31"/>
        <xdr:cNvSpPr txBox="1"/>
      </xdr:nvSpPr>
      <xdr:spPr>
        <a:xfrm>
          <a:off x="2562225" y="289179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153</xdr:row>
      <xdr:rowOff>9525</xdr:rowOff>
    </xdr:from>
    <xdr:ext cx="258789" cy="264560"/>
    <xdr:sp macro="" textlink="">
      <xdr:nvSpPr>
        <xdr:cNvPr id="33" name="TextBox 32"/>
        <xdr:cNvSpPr txBox="1"/>
      </xdr:nvSpPr>
      <xdr:spPr>
        <a:xfrm>
          <a:off x="2200275" y="289655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154</xdr:row>
      <xdr:rowOff>38100</xdr:rowOff>
    </xdr:from>
    <xdr:ext cx="254878" cy="264560"/>
    <xdr:sp macro="" textlink="">
      <xdr:nvSpPr>
        <xdr:cNvPr id="34" name="TextBox 33"/>
        <xdr:cNvSpPr txBox="1"/>
      </xdr:nvSpPr>
      <xdr:spPr>
        <a:xfrm>
          <a:off x="2438400" y="291846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xdr:from>
      <xdr:col>2</xdr:col>
      <xdr:colOff>609600</xdr:colOff>
      <xdr:row>87</xdr:row>
      <xdr:rowOff>85725</xdr:rowOff>
    </xdr:from>
    <xdr:to>
      <xdr:col>4</xdr:col>
      <xdr:colOff>228600</xdr:colOff>
      <xdr:row>90</xdr:row>
      <xdr:rowOff>66675</xdr:rowOff>
    </xdr:to>
    <xdr:cxnSp macro="">
      <xdr:nvCxnSpPr>
        <xdr:cNvPr id="35" name="Straight Arrow Connector 34" descr="e77afb3f-b1f3-4f1d-9e03-d301b917e03d"/>
        <xdr:cNvCxnSpPr/>
      </xdr:nvCxnSpPr>
      <xdr:spPr>
        <a:xfrm>
          <a:off x="1828800" y="164687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87</xdr:row>
      <xdr:rowOff>133350</xdr:rowOff>
    </xdr:from>
    <xdr:to>
      <xdr:col>4</xdr:col>
      <xdr:colOff>342900</xdr:colOff>
      <xdr:row>93</xdr:row>
      <xdr:rowOff>114300</xdr:rowOff>
    </xdr:to>
    <xdr:cxnSp macro="">
      <xdr:nvCxnSpPr>
        <xdr:cNvPr id="36" name="Straight Arrow Connector 35" descr="3176c158-dc86-4da3-a2e5-0e4a89a0583b"/>
        <xdr:cNvCxnSpPr/>
      </xdr:nvCxnSpPr>
      <xdr:spPr>
        <a:xfrm>
          <a:off x="1828800" y="165163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90</xdr:row>
      <xdr:rowOff>133350</xdr:rowOff>
    </xdr:from>
    <xdr:to>
      <xdr:col>4</xdr:col>
      <xdr:colOff>219075</xdr:colOff>
      <xdr:row>93</xdr:row>
      <xdr:rowOff>85725</xdr:rowOff>
    </xdr:to>
    <xdr:cxnSp macro="">
      <xdr:nvCxnSpPr>
        <xdr:cNvPr id="37" name="Straight Arrow Connector 36" descr="0b47a0a2-0e20-44e2-95bc-879138c825ee"/>
        <xdr:cNvCxnSpPr/>
      </xdr:nvCxnSpPr>
      <xdr:spPr>
        <a:xfrm>
          <a:off x="1828800" y="170878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93</xdr:row>
      <xdr:rowOff>104775</xdr:rowOff>
    </xdr:from>
    <xdr:to>
      <xdr:col>4</xdr:col>
      <xdr:colOff>228600</xdr:colOff>
      <xdr:row>93</xdr:row>
      <xdr:rowOff>104775</xdr:rowOff>
    </xdr:to>
    <xdr:cxnSp macro="">
      <xdr:nvCxnSpPr>
        <xdr:cNvPr id="38" name="Straight Arrow Connector 37" descr="646885dc-181a-4e08-9eed-d8ba0318425d"/>
        <xdr:cNvCxnSpPr/>
      </xdr:nvCxnSpPr>
      <xdr:spPr>
        <a:xfrm>
          <a:off x="1828800" y="17630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90</xdr:row>
      <xdr:rowOff>104775</xdr:rowOff>
    </xdr:from>
    <xdr:to>
      <xdr:col>4</xdr:col>
      <xdr:colOff>228600</xdr:colOff>
      <xdr:row>90</xdr:row>
      <xdr:rowOff>104775</xdr:rowOff>
    </xdr:to>
    <xdr:cxnSp macro="">
      <xdr:nvCxnSpPr>
        <xdr:cNvPr id="39" name="Straight Arrow Connector 38" descr="cff8acb0-4257-4bfe-b4c3-6908871d9b24"/>
        <xdr:cNvCxnSpPr/>
      </xdr:nvCxnSpPr>
      <xdr:spPr>
        <a:xfrm>
          <a:off x="1828800" y="17059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88</xdr:row>
      <xdr:rowOff>161925</xdr:rowOff>
    </xdr:from>
    <xdr:ext cx="252249" cy="264560"/>
    <xdr:sp macro="" textlink="">
      <xdr:nvSpPr>
        <xdr:cNvPr id="40" name="TextBox 39"/>
        <xdr:cNvSpPr txBox="1"/>
      </xdr:nvSpPr>
      <xdr:spPr>
        <a:xfrm>
          <a:off x="2466975" y="167354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90</xdr:row>
      <xdr:rowOff>47625</xdr:rowOff>
    </xdr:from>
    <xdr:ext cx="258789" cy="264560"/>
    <xdr:sp macro="" textlink="">
      <xdr:nvSpPr>
        <xdr:cNvPr id="41" name="TextBox 40"/>
        <xdr:cNvSpPr txBox="1"/>
      </xdr:nvSpPr>
      <xdr:spPr>
        <a:xfrm>
          <a:off x="2438400" y="170021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89</xdr:row>
      <xdr:rowOff>142875</xdr:rowOff>
    </xdr:from>
    <xdr:ext cx="184731" cy="264560"/>
    <xdr:sp macro="" textlink="">
      <xdr:nvSpPr>
        <xdr:cNvPr id="42" name="TextBox 41"/>
        <xdr:cNvSpPr txBox="1"/>
      </xdr:nvSpPr>
      <xdr:spPr>
        <a:xfrm>
          <a:off x="2438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91</xdr:row>
      <xdr:rowOff>152400</xdr:rowOff>
    </xdr:from>
    <xdr:ext cx="252249" cy="264560"/>
    <xdr:sp macro="" textlink="">
      <xdr:nvSpPr>
        <xdr:cNvPr id="43" name="TextBox 42"/>
        <xdr:cNvSpPr txBox="1"/>
      </xdr:nvSpPr>
      <xdr:spPr>
        <a:xfrm>
          <a:off x="2562225" y="172974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92</xdr:row>
      <xdr:rowOff>9525</xdr:rowOff>
    </xdr:from>
    <xdr:ext cx="258789" cy="264560"/>
    <xdr:sp macro="" textlink="">
      <xdr:nvSpPr>
        <xdr:cNvPr id="44" name="TextBox 43"/>
        <xdr:cNvSpPr txBox="1"/>
      </xdr:nvSpPr>
      <xdr:spPr>
        <a:xfrm>
          <a:off x="2200275" y="173450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93</xdr:row>
      <xdr:rowOff>38100</xdr:rowOff>
    </xdr:from>
    <xdr:ext cx="254878" cy="264560"/>
    <xdr:sp macro="" textlink="">
      <xdr:nvSpPr>
        <xdr:cNvPr id="45" name="TextBox 44"/>
        <xdr:cNvSpPr txBox="1"/>
      </xdr:nvSpPr>
      <xdr:spPr>
        <a:xfrm>
          <a:off x="2438400" y="175641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editAs="oneCell">
    <xdr:from>
      <xdr:col>8</xdr:col>
      <xdr:colOff>0</xdr:colOff>
      <xdr:row>1</xdr:row>
      <xdr:rowOff>0</xdr:rowOff>
    </xdr:from>
    <xdr:to>
      <xdr:col>10</xdr:col>
      <xdr:colOff>361950</xdr:colOff>
      <xdr:row>1</xdr:row>
      <xdr:rowOff>152400</xdr:rowOff>
    </xdr:to>
    <xdr:pic>
      <xdr:nvPicPr>
        <xdr:cNvPr id="46" name="Picture 45"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083" y="201083"/>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7</xdr:col>
      <xdr:colOff>342900</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20002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9</xdr:col>
      <xdr:colOff>476250</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20002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2171700</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9050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11</xdr:col>
      <xdr:colOff>109818</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1294" y="268941"/>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20171</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7647" y="19050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504825</xdr:colOff>
      <xdr:row>1</xdr:row>
      <xdr:rowOff>28575</xdr:rowOff>
    </xdr:from>
    <xdr:ext cx="2847975" cy="828675"/>
    <xdr:pic>
      <xdr:nvPicPr>
        <xdr:cNvPr id="2" name="Picture 1" descr="content-branding-logo-horz"/>
        <xdr:cNvPicPr>
          <a:picLocks noChangeAspect="1" noChangeArrowheads="1"/>
        </xdr:cNvPicPr>
      </xdr:nvPicPr>
      <xdr:blipFill>
        <a:blip xmlns:r="http://schemas.openxmlformats.org/officeDocument/2006/relationships" r:embed="rId1" cstate="print"/>
        <a:srcRect/>
        <a:stretch>
          <a:fillRect/>
        </a:stretch>
      </xdr:blipFill>
      <xdr:spPr bwMode="auto">
        <a:xfrm>
          <a:off x="504825" y="219075"/>
          <a:ext cx="2847975" cy="828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absoluteAnchor>
    <xdr:pos x="0" y="0"/>
    <xdr:ext cx="8661797" cy="62805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0.08054</cdr:x>
      <cdr:y>0.28833</cdr:y>
    </cdr:from>
    <cdr:to>
      <cdr:x>0.28766</cdr:x>
      <cdr:y>0.28833</cdr:y>
    </cdr:to>
    <cdr:cxnSp macro="">
      <cdr:nvCxnSpPr>
        <cdr:cNvPr id="2" name="Straight Connector 1"/>
        <cdr:cNvCxnSpPr/>
      </cdr:nvCxnSpPr>
      <cdr:spPr>
        <a:xfrm xmlns:a="http://schemas.openxmlformats.org/drawingml/2006/main">
          <a:off x="698500" y="1815228"/>
          <a:ext cx="1796143"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0.31231</cdr:x>
      <cdr:y>0.23141</cdr:y>
    </cdr:from>
    <cdr:to>
      <cdr:x>0.49309</cdr:x>
      <cdr:y>0.28464</cdr:y>
    </cdr:to>
    <cdr:sp macro="" textlink="">
      <cdr:nvSpPr>
        <cdr:cNvPr id="3" name="TextBox 1"/>
        <cdr:cNvSpPr txBox="1"/>
      </cdr:nvSpPr>
      <cdr:spPr>
        <a:xfrm xmlns:a="http://schemas.openxmlformats.org/drawingml/2006/main">
          <a:off x="2708464" y="1456871"/>
          <a:ext cx="1567739" cy="335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ERR 10% hurdle rate</a:t>
          </a:r>
        </a:p>
      </cdr:txBody>
    </cdr:sp>
  </cdr:relSizeAnchor>
  <cdr:relSizeAnchor xmlns:cdr="http://schemas.openxmlformats.org/drawingml/2006/chartDrawing">
    <cdr:from>
      <cdr:x>0.28724</cdr:x>
      <cdr:y>0.26427</cdr:y>
    </cdr:from>
    <cdr:to>
      <cdr:x>0.3193</cdr:x>
      <cdr:y>0.28607</cdr:y>
    </cdr:to>
    <cdr:cxnSp macro="">
      <cdr:nvCxnSpPr>
        <cdr:cNvPr id="4" name="Straight Arrow Connector 3"/>
        <cdr:cNvCxnSpPr/>
      </cdr:nvCxnSpPr>
      <cdr:spPr>
        <a:xfrm xmlns:a="http://schemas.openxmlformats.org/drawingml/2006/main" flipH="1">
          <a:off x="2491014" y="1663758"/>
          <a:ext cx="278032" cy="13719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28575</xdr:colOff>
      <xdr:row>14</xdr:row>
      <xdr:rowOff>19050</xdr:rowOff>
    </xdr:from>
    <xdr:to>
      <xdr:col>1</xdr:col>
      <xdr:colOff>2200275</xdr:colOff>
      <xdr:row>14</xdr:row>
      <xdr:rowOff>171450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930592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38100</xdr:colOff>
      <xdr:row>1</xdr:row>
      <xdr:rowOff>28575</xdr:rowOff>
    </xdr:from>
    <xdr:to>
      <xdr:col>10</xdr:col>
      <xdr:colOff>381000</xdr:colOff>
      <xdr:row>1</xdr:row>
      <xdr:rowOff>180975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21907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1240366</xdr:colOff>
      <xdr:row>28</xdr:row>
      <xdr:rowOff>4234</xdr:rowOff>
    </xdr:from>
    <xdr:to>
      <xdr:col>6</xdr:col>
      <xdr:colOff>1195916</xdr:colOff>
      <xdr:row>56</xdr:row>
      <xdr:rowOff>63501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4</xdr:row>
          <xdr:rowOff>0</xdr:rowOff>
        </xdr:from>
        <xdr:to>
          <xdr:col>8</xdr:col>
          <xdr:colOff>1371600</xdr:colOff>
          <xdr:row>5</xdr:row>
          <xdr:rowOff>95250</xdr:rowOff>
        </xdr:to>
        <xdr:sp macro="" textlink="">
          <xdr:nvSpPr>
            <xdr:cNvPr id="76801" name="Button 1" hidden="1">
              <a:extLst>
                <a:ext uri="{63B3BB69-23CF-44E3-9099-C40C66FF867C}">
                  <a14:compatExt spid="_x0000_s768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twoCellAnchor editAs="oneCell">
    <xdr:from>
      <xdr:col>5</xdr:col>
      <xdr:colOff>148166</xdr:colOff>
      <xdr:row>1</xdr:row>
      <xdr:rowOff>10584</xdr:rowOff>
    </xdr:from>
    <xdr:to>
      <xdr:col>7</xdr:col>
      <xdr:colOff>2116</xdr:colOff>
      <xdr:row>1</xdr:row>
      <xdr:rowOff>162984</xdr:rowOff>
    </xdr:to>
    <xdr:pic>
      <xdr:nvPicPr>
        <xdr:cNvPr id="4" name="Picture 3"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49" y="169334"/>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112</xdr:row>
      <xdr:rowOff>74084</xdr:rowOff>
    </xdr:from>
    <xdr:to>
      <xdr:col>1</xdr:col>
      <xdr:colOff>2171700</xdr:colOff>
      <xdr:row>113</xdr:row>
      <xdr:rowOff>35984</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741084"/>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243417</xdr:colOff>
      <xdr:row>1</xdr:row>
      <xdr:rowOff>21166</xdr:rowOff>
    </xdr:from>
    <xdr:to>
      <xdr:col>14</xdr:col>
      <xdr:colOff>2117</xdr:colOff>
      <xdr:row>1</xdr:row>
      <xdr:rowOff>173566</xdr:rowOff>
    </xdr:to>
    <xdr:pic>
      <xdr:nvPicPr>
        <xdr:cNvPr id="3"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5584" y="190499"/>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16</xdr:col>
      <xdr:colOff>351367</xdr:colOff>
      <xdr:row>2</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4000" y="34925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10</xdr:col>
      <xdr:colOff>342900</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6670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295275</xdr:colOff>
      <xdr:row>31</xdr:row>
      <xdr:rowOff>76199</xdr:rowOff>
    </xdr:from>
    <xdr:to>
      <xdr:col>11</xdr:col>
      <xdr:colOff>161925</xdr:colOff>
      <xdr:row>50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1</xdr:row>
      <xdr:rowOff>0</xdr:rowOff>
    </xdr:from>
    <xdr:to>
      <xdr:col>13</xdr:col>
      <xdr:colOff>342900</xdr:colOff>
      <xdr:row>1</xdr:row>
      <xdr:rowOff>152400</xdr:rowOff>
    </xdr:to>
    <xdr:pic>
      <xdr:nvPicPr>
        <xdr:cNvPr id="3" name="Picture 2"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26670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213783</xdr:colOff>
      <xdr:row>1</xdr:row>
      <xdr:rowOff>152400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9000" y="19050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2600325</xdr:colOff>
      <xdr:row>69</xdr:row>
      <xdr:rowOff>76200</xdr:rowOff>
    </xdr:to>
    <xdr:pic>
      <xdr:nvPicPr>
        <xdr:cNvPr id="2" name="Picture 1" descr="&#10;p_{11} = \frac{1 + (p_{1\cdot}+p_{\cdot 1})(R-1) - S}{2(R-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26003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2</xdr:col>
      <xdr:colOff>504825</xdr:colOff>
      <xdr:row>78</xdr:row>
      <xdr:rowOff>104775</xdr:rowOff>
    </xdr:to>
    <xdr:pic>
      <xdr:nvPicPr>
        <xdr:cNvPr id="3" name="Picture 2" descr="&#10;S = \sqrt{(1+(p_{1\cdot}+p_{\cdot 1})(R-1))^2 + 4R(1-R)p_{1\cdot}p_{\cdot 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0"/>
          <a:ext cx="39909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10</xdr:col>
      <xdr:colOff>330200</xdr:colOff>
      <xdr:row>1</xdr:row>
      <xdr:rowOff>152400</xdr:rowOff>
    </xdr:to>
    <xdr:pic>
      <xdr:nvPicPr>
        <xdr:cNvPr id="4" name="Picture 3" descr="MCC horizonta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09000" y="19050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who.int/DATA98/TARGET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WPP-DATA-NEW/DB4_Population_ByAgeSex_Annual/WPP2000_DB4_F1_AGE_ANNUAL_BOTH_2001-20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lestikowgs\Local%20Settings\Temporary%20Internet%20Files\Content.Outlook\Z0MPFWC4\Centralized%20ERR%20Data\ERR%20Spreadsheets%20for%20All%20Compact%20Countries\Ghana\Web%20Versions\FeederRoadAnalysis_IM_Clean%20-%20v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lestikowgs\Local%20Settings\Temporary%20Internet%20Files\Content.Outlook\Z0MPFWC4\Web%20Dissemination\Ongoing%20Work\Mongolia\Mongolia%20Health%20ERR.IM%20Cleaned%20-%20v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_divisions\Economic%20Analysis\ERR%20Spreadsheets\Web%20Dissemination\Ongoing%20Work\Tanzania\Tanzania%20Water%20&amp;%20Sanitation%20-%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WHR2003\GBD\NBD\Templates%20v2\Singapore\DALYs%20country%203350%20year%20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lestikowgs\Local%20Settings\Temporary%20Internet%20Files\Content.Outlook\Z0MPFWC4\Centralized%20ERR%20Data\ERR%20Spreadsheets%20for%20All%20Compact%20Countries\Ghana\Web%20Versions\CoolChainAssessment3_IM_Cle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WHR2003\GBD\NBD\Templates%20v2\Italy\DALYs%20country%204180%20year%20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anzania\Economic%20Analysis\Roads\Roads-Transport%20ERR%20Tanga_Horohoro%20ED%20AR%20BND%20final%20report%20cos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Estimating%20adult%20mortality\Relational\New%20Stand-WHO\Country\AUST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A98\TARGE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c.gov\root\home\dennisbn\Country%20TTs\Vanuatu\ERR%20spreadsheet\Copy%20of%20Econ%20Model%20-%20Revised%20-%20April%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Estimating%20adult%20mortality\Relational\BaseYearUN\RegionalLifeT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divisions/Economic%20Analysis/Rescoping%20Economic%20Analysis%20(Keith%20Kranker)/Tanzania/2010/Non%20Revenue%20Water/TZ%20NRW%20ERR%20model%20-%202010-05-13%20-%20Keit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_countryfile\Zambia\_%20Team%20Documents\Sector%20Folders%20M+E,%20Econ,%20ESA,%20Fiscal%20Accountability,Gender\M&amp;E&amp;E\_LWSSDP\Economic%20analysis\ERR\_Archive\Tanzania\Roads-Transport%20E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Tanzania\Roads-Transport%20ERR%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divisions\Economic%20Analysis\ERR%20Spreadsheets\Web%20Dissemination\2012%20Web%20Dissemination\EA%20ERR%20template%20for%20u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UM-2000 REVISION"/>
      <sheetName val="NOTE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AllFeederRoads"/>
      <sheetName val="Gravel"/>
      <sheetName val="Costs"/>
      <sheetName val="Benefits"/>
      <sheetName val="Incremental"/>
    </sheetNames>
    <sheetDataSet>
      <sheetData sheetId="0" refreshError="1"/>
      <sheetData sheetId="1" refreshError="1"/>
      <sheetData sheetId="2" refreshError="1"/>
      <sheetData sheetId="3" refreshError="1"/>
      <sheetData sheetId="4" refreshError="1"/>
      <sheetData sheetId="5" refreshError="1"/>
      <sheetData sheetId="6">
        <row r="8">
          <cell r="C8">
            <v>1200</v>
          </cell>
        </row>
        <row r="9">
          <cell r="C9">
            <v>15000</v>
          </cell>
        </row>
      </sheetData>
      <sheetData sheetId="7">
        <row r="10">
          <cell r="C10">
            <v>1.4999999999999999E-2</v>
          </cell>
        </row>
        <row r="11">
          <cell r="C11">
            <v>0.03</v>
          </cell>
        </row>
        <row r="12">
          <cell r="C12">
            <v>1</v>
          </cell>
        </row>
        <row r="13">
          <cell r="C13">
            <v>5</v>
          </cell>
        </row>
        <row r="14">
          <cell r="C14">
            <v>10</v>
          </cell>
        </row>
        <row r="15">
          <cell r="C15">
            <v>10</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 val="Mongolia Health ERR"/>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Summary"/>
      <sheetName val="Assumptions"/>
      <sheetName val="Morogoro"/>
      <sheetName val="Dar NRW"/>
      <sheetName val="Dar Ruvu"/>
      <sheetName val="Annex III"/>
    </sheetNames>
    <sheetDataSet>
      <sheetData sheetId="0" refreshError="1"/>
      <sheetData sheetId="1" refreshError="1"/>
      <sheetData sheetId="2" refreshError="1"/>
      <sheetData sheetId="3" refreshError="1"/>
      <sheetData sheetId="4">
        <row r="5">
          <cell r="F5">
            <v>2008</v>
          </cell>
        </row>
        <row r="6">
          <cell r="F6">
            <v>20</v>
          </cell>
        </row>
        <row r="7">
          <cell r="F7">
            <v>1300</v>
          </cell>
        </row>
        <row r="8">
          <cell r="F8">
            <v>6.4000000000000001E-2</v>
          </cell>
        </row>
        <row r="9">
          <cell r="F9">
            <v>7.0000000000000007E-2</v>
          </cell>
        </row>
        <row r="14">
          <cell r="E14" t="str">
            <v>A</v>
          </cell>
        </row>
        <row r="15">
          <cell r="E15" t="str">
            <v>B</v>
          </cell>
        </row>
        <row r="16">
          <cell r="E16" t="str">
            <v>C</v>
          </cell>
        </row>
      </sheetData>
      <sheetData sheetId="5"/>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for DALYwb"/>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C15">
            <v>75</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TH Sum"/>
      <sheetName val="TH1"/>
      <sheetName val="TH2"/>
      <sheetName val="TH4"/>
      <sheetName val="TanIRI"/>
    </sheetNames>
    <sheetDataSet>
      <sheetData sheetId="0"/>
      <sheetData sheetId="1">
        <row r="41">
          <cell r="H41">
            <v>0.04</v>
          </cell>
        </row>
      </sheetData>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Intro"/>
      <sheetName val="Main"/>
      <sheetName val="Summary"/>
      <sheetName val="LU"/>
      <sheetName val="Prob"/>
      <sheetName val="Distrib"/>
      <sheetName val="AMAMA1"/>
      <sheetName val="AMAMA2"/>
      <sheetName val="APEPE1"/>
      <sheetName val="ASASA1"/>
      <sheetName val="ASASA2"/>
      <sheetName val="ASHEF1"/>
      <sheetName val="ATATA1"/>
      <sheetName val="BPEAM1"/>
      <sheetName val="BSAEP1"/>
      <sheetName val="BSAML1"/>
      <sheetName val="BVARI1"/>
      <sheetName val="Meet"/>
      <sheetName val="VANRIS"/>
    </sheetNames>
    <sheetDataSet>
      <sheetData sheetId="0"/>
      <sheetData sheetId="1"/>
      <sheetData sheetId="2"/>
      <sheetData sheetId="3" refreshError="1">
        <row r="6">
          <cell r="A6" t="str">
            <v>AMAMA1</v>
          </cell>
          <cell r="B6" t="str">
            <v>Lits Lits - Norsup Road Sealing</v>
          </cell>
          <cell r="D6" t="str">
            <v>Malekula</v>
          </cell>
          <cell r="E6" t="str">
            <v>Malampa</v>
          </cell>
          <cell r="F6">
            <v>189.60480000000001</v>
          </cell>
          <cell r="G6">
            <v>1.7556</v>
          </cell>
          <cell r="H6">
            <v>2.0555555555555527</v>
          </cell>
          <cell r="I6">
            <v>1.9032921810699561E-2</v>
          </cell>
          <cell r="J6">
            <v>0.22462370197905585</v>
          </cell>
          <cell r="K6">
            <v>159.72431508259623</v>
          </cell>
          <cell r="L6">
            <v>2.0643322529748724</v>
          </cell>
          <cell r="M6">
            <v>0.18788677288242828</v>
          </cell>
          <cell r="N6">
            <v>0.18029281080962259</v>
          </cell>
          <cell r="O6">
            <v>0.27176594642684698</v>
          </cell>
          <cell r="P6">
            <v>0.12571622655559045</v>
          </cell>
          <cell r="Q6">
            <v>1</v>
          </cell>
          <cell r="R6">
            <v>1</v>
          </cell>
          <cell r="S6">
            <v>2007</v>
          </cell>
        </row>
        <row r="7">
          <cell r="A7" t="str">
            <v>AMAMA2</v>
          </cell>
          <cell r="B7" t="str">
            <v>South-West Bay Airstrip Upgrading</v>
          </cell>
          <cell r="D7" t="str">
            <v>Malekula</v>
          </cell>
          <cell r="E7" t="str">
            <v>Malampa</v>
          </cell>
          <cell r="F7">
            <v>65.08</v>
          </cell>
          <cell r="G7">
            <v>0.60259259259259257</v>
          </cell>
          <cell r="H7">
            <v>0</v>
          </cell>
          <cell r="I7">
            <v>0</v>
          </cell>
          <cell r="J7">
            <v>0.11364998061127222</v>
          </cell>
          <cell r="K7">
            <v>4.8669713136717592</v>
          </cell>
          <cell r="L7">
            <v>1.0914032036645314</v>
          </cell>
          <cell r="M7">
            <v>8.6199929420376672E-2</v>
          </cell>
          <cell r="N7">
            <v>8.0545631873867957E-2</v>
          </cell>
          <cell r="O7">
            <v>0.14917191258480131</v>
          </cell>
          <cell r="P7">
            <v>4.585583610297489E-2</v>
          </cell>
          <cell r="Q7">
            <v>1</v>
          </cell>
          <cell r="R7">
            <v>1</v>
          </cell>
          <cell r="S7">
            <v>2007</v>
          </cell>
        </row>
        <row r="8">
          <cell r="A8" t="str">
            <v>APEPE1</v>
          </cell>
          <cell r="B8" t="str">
            <v>Loltong Wharf and N-S Road</v>
          </cell>
          <cell r="D8" t="str">
            <v>Pentecost</v>
          </cell>
          <cell r="E8" t="str">
            <v>Penama</v>
          </cell>
          <cell r="F8">
            <v>247.654</v>
          </cell>
          <cell r="G8">
            <v>2.2930925925925925</v>
          </cell>
          <cell r="H8">
            <v>3.6999999999999993</v>
          </cell>
          <cell r="I8">
            <v>3.4259259259259253E-2</v>
          </cell>
          <cell r="J8">
            <v>0.15606943163381698</v>
          </cell>
          <cell r="K8">
            <v>79.083471624762012</v>
          </cell>
          <cell r="L8">
            <v>1.346935096185802</v>
          </cell>
          <cell r="M8">
            <v>0.12016075318448843</v>
          </cell>
          <cell r="N8">
            <v>0.11283654648106228</v>
          </cell>
          <cell r="O8">
            <v>1.6089379885231746E-2</v>
          </cell>
          <cell r="P8">
            <v>6.7136633368479748E-2</v>
          </cell>
          <cell r="Q8">
            <v>1</v>
          </cell>
          <cell r="R8">
            <v>1</v>
          </cell>
          <cell r="S8">
            <v>2007</v>
          </cell>
        </row>
        <row r="9">
          <cell r="A9" t="str">
            <v>ASASA1</v>
          </cell>
          <cell r="B9" t="str">
            <v>Port Olry Road Upgrading</v>
          </cell>
          <cell r="D9" t="str">
            <v>Santo</v>
          </cell>
          <cell r="E9" t="str">
            <v>Sanma</v>
          </cell>
          <cell r="F9">
            <v>1863.9288000000001</v>
          </cell>
          <cell r="G9">
            <v>17.258600000000001</v>
          </cell>
          <cell r="H9">
            <v>40.94444444444445</v>
          </cell>
          <cell r="I9">
            <v>0.3791152263374486</v>
          </cell>
          <cell r="J9">
            <v>0.33786431307382958</v>
          </cell>
          <cell r="K9">
            <v>4425.8390368603514</v>
          </cell>
          <cell r="L9">
            <v>3.6616796658483661</v>
          </cell>
          <cell r="M9">
            <v>0.29106356187309074</v>
          </cell>
          <cell r="N9">
            <v>0.28150155877118105</v>
          </cell>
          <cell r="O9">
            <v>0.39892725896301917</v>
          </cell>
          <cell r="P9">
            <v>0.20370814266007911</v>
          </cell>
          <cell r="Q9">
            <v>1</v>
          </cell>
          <cell r="R9">
            <v>1</v>
          </cell>
          <cell r="S9">
            <v>2007</v>
          </cell>
        </row>
        <row r="10">
          <cell r="A10" t="str">
            <v>ASASA2</v>
          </cell>
          <cell r="B10" t="str">
            <v>South Coast Bridges and Culverts</v>
          </cell>
          <cell r="D10" t="str">
            <v>Santo</v>
          </cell>
          <cell r="E10" t="str">
            <v>Sanma</v>
          </cell>
          <cell r="F10">
            <v>202.82399999999998</v>
          </cell>
          <cell r="G10">
            <v>1.8779999999999999</v>
          </cell>
          <cell r="H10">
            <v>0</v>
          </cell>
          <cell r="I10">
            <v>0</v>
          </cell>
          <cell r="J10">
            <v>0.24276840985467887</v>
          </cell>
          <cell r="K10">
            <v>174.0999826086306</v>
          </cell>
          <cell r="L10">
            <v>2.0491306138956471</v>
          </cell>
          <cell r="M10">
            <v>0.19700424159358113</v>
          </cell>
          <cell r="N10">
            <v>0.18789673951715924</v>
          </cell>
          <cell r="O10">
            <v>0.3057487982976323</v>
          </cell>
          <cell r="P10">
            <v>0.12686653484309338</v>
          </cell>
          <cell r="Q10">
            <v>1</v>
          </cell>
          <cell r="R10">
            <v>1</v>
          </cell>
          <cell r="S10">
            <v>2007</v>
          </cell>
        </row>
        <row r="11">
          <cell r="A11" t="str">
            <v>ASHEF1</v>
          </cell>
          <cell r="B11" t="str">
            <v>Round-Island Road Upgrading</v>
          </cell>
          <cell r="D11" t="str">
            <v>Efate</v>
          </cell>
          <cell r="E11" t="str">
            <v>Shefa</v>
          </cell>
          <cell r="F11">
            <v>2520.6120000000001</v>
          </cell>
          <cell r="G11">
            <v>23.339000000000002</v>
          </cell>
          <cell r="H11">
            <v>52.5</v>
          </cell>
          <cell r="I11">
            <v>0.4861111111111111</v>
          </cell>
          <cell r="J11">
            <v>0.20550479502577151</v>
          </cell>
          <cell r="K11">
            <v>1885.7291621038769</v>
          </cell>
          <cell r="L11">
            <v>1.8423788997682973</v>
          </cell>
          <cell r="M11">
            <v>0.16988037798308492</v>
          </cell>
          <cell r="N11">
            <v>0.16249056620484598</v>
          </cell>
          <cell r="O11">
            <v>0.25098920223897309</v>
          </cell>
          <cell r="P11">
            <v>0.11008159066260667</v>
          </cell>
          <cell r="Q11">
            <v>1</v>
          </cell>
          <cell r="R11">
            <v>1</v>
          </cell>
          <cell r="S11">
            <v>2007</v>
          </cell>
        </row>
        <row r="12">
          <cell r="A12" t="str">
            <v>ATATA1</v>
          </cell>
          <cell r="B12" t="str">
            <v>Whitesands Road Upgrading</v>
          </cell>
          <cell r="D12" t="str">
            <v>Tanna</v>
          </cell>
          <cell r="E12" t="str">
            <v>Tafea</v>
          </cell>
          <cell r="F12">
            <v>403.00199999999995</v>
          </cell>
          <cell r="G12">
            <v>3.7314999999999996</v>
          </cell>
          <cell r="H12">
            <v>0</v>
          </cell>
          <cell r="I12">
            <v>0</v>
          </cell>
          <cell r="J12">
            <v>0.17657184537773801</v>
          </cell>
          <cell r="K12">
            <v>204.41274323363672</v>
          </cell>
          <cell r="L12">
            <v>1.619941829781381</v>
          </cell>
          <cell r="M12">
            <v>0.14456524340112237</v>
          </cell>
          <cell r="N12">
            <v>0.13797068071259416</v>
          </cell>
          <cell r="O12">
            <v>0.21779276825660171</v>
          </cell>
          <cell r="P12">
            <v>9.3930340569284801E-2</v>
          </cell>
          <cell r="Q12">
            <v>1</v>
          </cell>
          <cell r="R12">
            <v>1</v>
          </cell>
          <cell r="S12">
            <v>2007</v>
          </cell>
        </row>
        <row r="13">
          <cell r="A13" t="str">
            <v>BPEAM1</v>
          </cell>
          <cell r="B13" t="str">
            <v>Ambae Creek Crossings Reinstatement</v>
          </cell>
          <cell r="D13" t="str">
            <v>Ambae</v>
          </cell>
          <cell r="E13" t="str">
            <v>Penama</v>
          </cell>
          <cell r="F13">
            <v>132.47200000000001</v>
          </cell>
          <cell r="G13">
            <v>1.2265925925925927</v>
          </cell>
          <cell r="H13">
            <v>0</v>
          </cell>
          <cell r="I13">
            <v>0</v>
          </cell>
          <cell r="J13">
            <v>0.12314963811312898</v>
          </cell>
          <cell r="K13">
            <v>16.066209299402473</v>
          </cell>
          <cell r="L13">
            <v>1.1482311585286173</v>
          </cell>
          <cell r="M13">
            <v>9.3151298776611227E-2</v>
          </cell>
          <cell r="N13">
            <v>8.701571493564024E-2</v>
          </cell>
          <cell r="O13">
            <v>0.16248784418636669</v>
          </cell>
          <cell r="P13">
            <v>5.031998681090321E-2</v>
          </cell>
          <cell r="Q13">
            <v>1</v>
          </cell>
          <cell r="R13">
            <v>1</v>
          </cell>
          <cell r="S13">
            <v>2007</v>
          </cell>
        </row>
        <row r="14">
          <cell r="A14" t="str">
            <v>BSAEP1</v>
          </cell>
          <cell r="B14" t="str">
            <v>Lamen Bay Wharf Reinstatement</v>
          </cell>
          <cell r="D14" t="str">
            <v>Epi</v>
          </cell>
          <cell r="E14" t="str">
            <v>Shefa</v>
          </cell>
          <cell r="F14">
            <v>122.536</v>
          </cell>
          <cell r="G14">
            <v>1.1345925925925926</v>
          </cell>
          <cell r="H14">
            <v>0</v>
          </cell>
          <cell r="I14">
            <v>0</v>
          </cell>
          <cell r="J14">
            <v>0.10091447210991594</v>
          </cell>
          <cell r="K14">
            <v>0.58512073757047434</v>
          </cell>
          <cell r="L14">
            <v>1.0058362241964951</v>
          </cell>
          <cell r="M14">
            <v>7.4141625794993518E-2</v>
          </cell>
          <cell r="N14">
            <v>6.8619757407542378E-2</v>
          </cell>
          <cell r="O14">
            <v>0.13547536346423877</v>
          </cell>
          <cell r="P14">
            <v>3.5685163178576916E-2</v>
          </cell>
          <cell r="Q14">
            <v>1</v>
          </cell>
          <cell r="R14">
            <v>1</v>
          </cell>
          <cell r="S14">
            <v>2007</v>
          </cell>
        </row>
        <row r="15">
          <cell r="A15" t="str">
            <v>BSAML1</v>
          </cell>
          <cell r="B15" t="str">
            <v>Malo Roads Upgrading</v>
          </cell>
          <cell r="D15" t="str">
            <v>Malo</v>
          </cell>
          <cell r="E15" t="str">
            <v>Sanma</v>
          </cell>
          <cell r="F15">
            <v>115.40800000000002</v>
          </cell>
          <cell r="G15">
            <v>1.0685925925925928</v>
          </cell>
          <cell r="H15">
            <v>4</v>
          </cell>
          <cell r="I15">
            <v>3.7037037037037035E-2</v>
          </cell>
          <cell r="J15">
            <v>0.16838748695577699</v>
          </cell>
          <cell r="K15">
            <v>45.992161706502642</v>
          </cell>
          <cell r="L15">
            <v>1.3776013836392784</v>
          </cell>
          <cell r="M15">
            <v>0.12734818413458404</v>
          </cell>
          <cell r="N15">
            <v>0.11897501062329664</v>
          </cell>
          <cell r="O15">
            <v>0.22286032753779406</v>
          </cell>
          <cell r="P15">
            <v>6.6553615221133275E-2</v>
          </cell>
          <cell r="Q15">
            <v>1</v>
          </cell>
          <cell r="R15">
            <v>1</v>
          </cell>
          <cell r="S15">
            <v>2007</v>
          </cell>
        </row>
        <row r="16">
          <cell r="A16" t="str">
            <v>BVARI1</v>
          </cell>
          <cell r="B16" t="str">
            <v>Technical assistance to PWD</v>
          </cell>
          <cell r="D16" t="str">
            <v>Country</v>
          </cell>
          <cell r="E16" t="str">
            <v>Country</v>
          </cell>
          <cell r="F16">
            <v>1347.6000000000001</v>
          </cell>
          <cell r="G16">
            <v>12.47777777777778</v>
          </cell>
          <cell r="H16">
            <v>0</v>
          </cell>
          <cell r="I16">
            <v>0</v>
          </cell>
          <cell r="J16">
            <v>0.16058552903336543</v>
          </cell>
          <cell r="K16">
            <v>262.48883072070845</v>
          </cell>
          <cell r="L16">
            <v>1.2854617768249781</v>
          </cell>
          <cell r="M16">
            <v>0.1151492708742208</v>
          </cell>
          <cell r="N16">
            <v>0.10604506949655668</v>
          </cell>
          <cell r="O16">
            <v>0.22244484054528116</v>
          </cell>
          <cell r="P16">
            <v>5.6611990677413307E-2</v>
          </cell>
          <cell r="Q16">
            <v>1</v>
          </cell>
          <cell r="R16">
            <v>1</v>
          </cell>
          <cell r="S16">
            <v>2007</v>
          </cell>
        </row>
      </sheetData>
      <sheetData sheetId="4" refreshError="1">
        <row r="3">
          <cell r="A3" t="str">
            <v>AMAMA1</v>
          </cell>
          <cell r="B3" t="str">
            <v>Malampa</v>
          </cell>
          <cell r="C3" t="str">
            <v>Malekula</v>
          </cell>
          <cell r="D3" t="str">
            <v>Lits Lits - Norsup Road Sealing</v>
          </cell>
          <cell r="E3">
            <v>3127.71</v>
          </cell>
          <cell r="F3">
            <v>168</v>
          </cell>
          <cell r="R3">
            <v>189.60480000000001</v>
          </cell>
          <cell r="S3">
            <v>2.2999999999999998</v>
          </cell>
          <cell r="T3">
            <v>8.8000000000000007</v>
          </cell>
          <cell r="U3">
            <v>7</v>
          </cell>
        </row>
        <row r="4">
          <cell r="A4" t="str">
            <v>AMAMA2</v>
          </cell>
          <cell r="B4" t="str">
            <v>Malampa</v>
          </cell>
          <cell r="C4" t="str">
            <v>Malekula</v>
          </cell>
          <cell r="D4" t="str">
            <v>South-West Bay Airstrip Upgrading</v>
          </cell>
          <cell r="E4">
            <v>2510.8599999999997</v>
          </cell>
          <cell r="Q4">
            <v>104</v>
          </cell>
          <cell r="R4">
            <v>65.08</v>
          </cell>
          <cell r="S4">
            <v>1</v>
          </cell>
          <cell r="T4">
            <v>1</v>
          </cell>
        </row>
        <row r="5">
          <cell r="A5" t="str">
            <v>APEPE1</v>
          </cell>
          <cell r="B5" t="str">
            <v>Penama</v>
          </cell>
          <cell r="C5" t="str">
            <v>Pentecost</v>
          </cell>
          <cell r="D5" t="str">
            <v>Loltong Wharf and N-S Road</v>
          </cell>
          <cell r="E5">
            <v>3074.7299999999996</v>
          </cell>
          <cell r="F5">
            <v>31</v>
          </cell>
          <cell r="R5">
            <v>83.71</v>
          </cell>
          <cell r="S5">
            <v>4.3</v>
          </cell>
          <cell r="T5">
            <v>2.1</v>
          </cell>
        </row>
        <row r="6">
          <cell r="A6" t="str">
            <v>APEPE2</v>
          </cell>
          <cell r="B6" t="str">
            <v>Penama</v>
          </cell>
          <cell r="C6" t="str">
            <v>Pentecost</v>
          </cell>
          <cell r="D6" t="str">
            <v>Loltong Wharf and N-S Road</v>
          </cell>
          <cell r="E6">
            <v>4783.29</v>
          </cell>
          <cell r="H6">
            <v>80</v>
          </cell>
          <cell r="I6">
            <v>1000</v>
          </cell>
          <cell r="J6">
            <v>16</v>
          </cell>
          <cell r="K6">
            <v>1</v>
          </cell>
          <cell r="L6">
            <v>1000</v>
          </cell>
          <cell r="N6">
            <v>2017</v>
          </cell>
          <cell r="O6">
            <v>25.212499999999999</v>
          </cell>
          <cell r="P6">
            <v>290.48700000000002</v>
          </cell>
          <cell r="R6">
            <v>163.94399999999999</v>
          </cell>
          <cell r="S6">
            <v>1.5</v>
          </cell>
          <cell r="T6">
            <v>0</v>
          </cell>
        </row>
        <row r="8">
          <cell r="A8" t="str">
            <v>ASASA1</v>
          </cell>
          <cell r="B8" t="str">
            <v>Sanma</v>
          </cell>
          <cell r="C8" t="str">
            <v>Santo</v>
          </cell>
          <cell r="D8" t="str">
            <v>Port Olry Road Upgrading</v>
          </cell>
          <cell r="E8">
            <v>7403.7599999999993</v>
          </cell>
          <cell r="F8">
            <v>200</v>
          </cell>
          <cell r="R8">
            <v>1863.9288000000001</v>
          </cell>
          <cell r="S8">
            <v>17.5</v>
          </cell>
          <cell r="T8">
            <v>31</v>
          </cell>
          <cell r="U8">
            <v>7</v>
          </cell>
          <cell r="AF8">
            <v>0.9</v>
          </cell>
        </row>
        <row r="9">
          <cell r="A9" t="str">
            <v>ASASA2</v>
          </cell>
          <cell r="B9" t="str">
            <v>Sanma</v>
          </cell>
          <cell r="C9" t="str">
            <v>Santo</v>
          </cell>
          <cell r="D9" t="str">
            <v>South Coast Bridges and Culverts</v>
          </cell>
          <cell r="E9">
            <v>7152.9</v>
          </cell>
          <cell r="F9">
            <v>33</v>
          </cell>
          <cell r="R9">
            <v>202.82399999999998</v>
          </cell>
          <cell r="S9">
            <v>17.600000000000001</v>
          </cell>
          <cell r="T9">
            <v>17.600000000000001</v>
          </cell>
        </row>
        <row r="10">
          <cell r="A10" t="str">
            <v>ASHEF1</v>
          </cell>
          <cell r="B10" t="str">
            <v>Shefa</v>
          </cell>
          <cell r="C10" t="str">
            <v>Efate</v>
          </cell>
          <cell r="D10" t="str">
            <v>Round-Island Road Upgrading</v>
          </cell>
          <cell r="E10">
            <v>13914.819999999998</v>
          </cell>
          <cell r="F10">
            <v>60</v>
          </cell>
          <cell r="R10">
            <v>2520.6120000000001</v>
          </cell>
          <cell r="S10">
            <v>22.5</v>
          </cell>
          <cell r="T10">
            <v>40</v>
          </cell>
          <cell r="U10">
            <v>7</v>
          </cell>
        </row>
        <row r="11">
          <cell r="A11" t="str">
            <v>ATATA1</v>
          </cell>
          <cell r="B11" t="str">
            <v>Tafea</v>
          </cell>
          <cell r="C11" t="str">
            <v>Tanna</v>
          </cell>
          <cell r="D11" t="str">
            <v>Whitesands Road Upgrading</v>
          </cell>
          <cell r="E11">
            <v>5675.9100000000008</v>
          </cell>
          <cell r="F11">
            <v>100</v>
          </cell>
          <cell r="R11">
            <v>403.00200000000001</v>
          </cell>
          <cell r="S11">
            <v>10.5</v>
          </cell>
          <cell r="T11">
            <v>10.5</v>
          </cell>
        </row>
        <row r="12">
          <cell r="A12" t="str">
            <v>ATATA2</v>
          </cell>
          <cell r="B12" t="str">
            <v>Tafea</v>
          </cell>
          <cell r="C12" t="str">
            <v>Tanna</v>
          </cell>
          <cell r="D12" t="str">
            <v>South Coast Road Upgrading</v>
          </cell>
          <cell r="E12">
            <v>1823.82</v>
          </cell>
          <cell r="F12">
            <v>10</v>
          </cell>
          <cell r="R12">
            <v>0</v>
          </cell>
          <cell r="S12">
            <v>0</v>
          </cell>
          <cell r="T12">
            <v>0</v>
          </cell>
        </row>
        <row r="13">
          <cell r="A13" t="str">
            <v>BPEAM1</v>
          </cell>
          <cell r="B13" t="str">
            <v>Penama</v>
          </cell>
          <cell r="C13" t="str">
            <v>Ambae</v>
          </cell>
          <cell r="D13" t="str">
            <v>Ambae Creek Crossings Reinstatement</v>
          </cell>
          <cell r="E13">
            <v>1534.4</v>
          </cell>
          <cell r="F13">
            <v>10</v>
          </cell>
          <cell r="R13">
            <v>132.47200000000001</v>
          </cell>
          <cell r="S13">
            <v>1</v>
          </cell>
          <cell r="T13">
            <v>1</v>
          </cell>
        </row>
        <row r="15">
          <cell r="A15" t="str">
            <v>BSAEP1</v>
          </cell>
          <cell r="B15" t="str">
            <v>Shefa</v>
          </cell>
          <cell r="C15" t="str">
            <v>Epi</v>
          </cell>
          <cell r="D15" t="str">
            <v>Lamen Bay Wharf Reinstatement</v>
          </cell>
          <cell r="E15">
            <v>1865.94</v>
          </cell>
          <cell r="H15">
            <v>400</v>
          </cell>
          <cell r="I15">
            <v>500</v>
          </cell>
          <cell r="J15">
            <v>0</v>
          </cell>
          <cell r="L15">
            <v>250</v>
          </cell>
          <cell r="M15">
            <v>420</v>
          </cell>
          <cell r="N15">
            <v>1170</v>
          </cell>
          <cell r="O15">
            <v>2.9249999999999998</v>
          </cell>
          <cell r="P15">
            <v>149.5</v>
          </cell>
          <cell r="R15">
            <v>122.536</v>
          </cell>
          <cell r="S15">
            <v>1.6</v>
          </cell>
          <cell r="T15">
            <v>1.6</v>
          </cell>
        </row>
        <row r="16">
          <cell r="A16" t="str">
            <v>BSAML1</v>
          </cell>
          <cell r="B16" t="str">
            <v>Sanma</v>
          </cell>
          <cell r="C16" t="str">
            <v>Malo</v>
          </cell>
          <cell r="D16" t="str">
            <v>Malo Roads Upgrading</v>
          </cell>
          <cell r="E16">
            <v>1645.3700000000001</v>
          </cell>
          <cell r="F16">
            <v>30</v>
          </cell>
          <cell r="R16">
            <v>115.40800000000002</v>
          </cell>
          <cell r="S16">
            <v>8</v>
          </cell>
          <cell r="T16">
            <v>4</v>
          </cell>
        </row>
        <row r="18">
          <cell r="A18" t="str">
            <v>BVARI1</v>
          </cell>
          <cell r="B18" t="str">
            <v>Country</v>
          </cell>
          <cell r="C18" t="str">
            <v>Country</v>
          </cell>
          <cell r="D18" t="str">
            <v>Technical assistance to PWD</v>
          </cell>
          <cell r="E18">
            <v>0</v>
          </cell>
          <cell r="R18">
            <v>1212.8400000000001</v>
          </cell>
        </row>
        <row r="39">
          <cell r="D39" t="str">
            <v>Total: Manually selected subprojects</v>
          </cell>
          <cell r="E39">
            <v>54513.510000000009</v>
          </cell>
          <cell r="I39">
            <v>1500</v>
          </cell>
          <cell r="J39">
            <v>16</v>
          </cell>
          <cell r="K39">
            <v>1</v>
          </cell>
          <cell r="L39">
            <v>1250</v>
          </cell>
          <cell r="M39">
            <v>420</v>
          </cell>
          <cell r="N39">
            <v>3187</v>
          </cell>
          <cell r="O39">
            <v>28.137499999999999</v>
          </cell>
          <cell r="P39">
            <v>439.98700000000002</v>
          </cell>
          <cell r="Q39">
            <v>104</v>
          </cell>
          <cell r="R39">
            <v>7075.9616000000015</v>
          </cell>
          <cell r="S39">
            <v>87.8</v>
          </cell>
          <cell r="T39">
            <v>117.6</v>
          </cell>
        </row>
        <row r="40">
          <cell r="R40" t="str">
            <v>= US$ 65.5 M</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RR"/>
      <sheetName val="HH Bgt Svy"/>
      <sheetName val="Population"/>
    </sheetNames>
    <sheetDataSet>
      <sheetData sheetId="0">
        <row r="50">
          <cell r="C50">
            <v>0.13321697289902587</v>
          </cell>
          <cell r="D50">
            <v>0.11503732774646641</v>
          </cell>
        </row>
        <row r="51">
          <cell r="C51">
            <v>0.2</v>
          </cell>
          <cell r="D51">
            <v>0.2</v>
          </cell>
        </row>
        <row r="58">
          <cell r="E58">
            <v>0.375</v>
          </cell>
        </row>
        <row r="64">
          <cell r="E64">
            <v>0.1875</v>
          </cell>
        </row>
        <row r="72">
          <cell r="E72">
            <v>0.57999999999999996</v>
          </cell>
        </row>
        <row r="126">
          <cell r="C126">
            <v>37.393193929970529</v>
          </cell>
          <cell r="D126">
            <v>37.752259025471446</v>
          </cell>
        </row>
        <row r="140">
          <cell r="C140">
            <v>1.4976092896746465</v>
          </cell>
          <cell r="D140">
            <v>1.5858117928368101</v>
          </cell>
        </row>
        <row r="143">
          <cell r="E143">
            <v>1</v>
          </cell>
        </row>
        <row r="144">
          <cell r="E144">
            <v>1</v>
          </cell>
        </row>
        <row r="145">
          <cell r="E145">
            <v>1</v>
          </cell>
        </row>
        <row r="146">
          <cell r="E146">
            <v>1</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Combined Cost-Benefit"/>
      <sheetName val="OnFarm"/>
      <sheetName val="CoolChain"/>
    </sheetNames>
    <sheetDataSet>
      <sheetData sheetId="0"/>
      <sheetData sheetId="1"/>
      <sheetData sheetId="2"/>
      <sheetData sheetId="3"/>
      <sheetData sheetId="4">
        <row r="15">
          <cell r="B15">
            <v>-20813.384999999998</v>
          </cell>
        </row>
      </sheetData>
      <sheetData sheetId="5">
        <row r="7">
          <cell r="B7">
            <v>0.3</v>
          </cell>
        </row>
      </sheetData>
      <sheetData sheetId="6">
        <row r="10">
          <cell r="B10">
            <v>0.06</v>
          </cell>
        </row>
        <row r="14">
          <cell r="B14">
            <v>0.06</v>
          </cell>
        </row>
        <row r="15">
          <cell r="B15">
            <v>0.85</v>
          </cell>
        </row>
        <row r="17">
          <cell r="B17">
            <v>15</v>
          </cell>
        </row>
        <row r="18">
          <cell r="B18">
            <v>3400</v>
          </cell>
        </row>
        <row r="25">
          <cell r="C25">
            <v>30</v>
          </cell>
        </row>
        <row r="26">
          <cell r="C26">
            <v>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5"/>
  <sheetViews>
    <sheetView showGridLines="0" tabSelected="1" workbookViewId="0"/>
  </sheetViews>
  <sheetFormatPr defaultColWidth="11.42578125" defaultRowHeight="12.75"/>
  <cols>
    <col min="1" max="1" width="7.7109375" style="1142" customWidth="1"/>
    <col min="2" max="2" width="39.7109375" style="1142" customWidth="1"/>
    <col min="3" max="3" width="108.7109375" style="1142" customWidth="1"/>
    <col min="4" max="16384" width="11.42578125" style="1142"/>
  </cols>
  <sheetData>
    <row r="1" spans="2:22" s="1129" customFormat="1" ht="13.5" thickBot="1">
      <c r="C1" s="1130" t="s">
        <v>1622</v>
      </c>
      <c r="D1" s="1131"/>
      <c r="E1" s="1131"/>
      <c r="F1" s="1131"/>
      <c r="G1" s="1131"/>
      <c r="H1" s="1131"/>
      <c r="I1" s="1131"/>
      <c r="J1" s="1131"/>
      <c r="K1" s="1131"/>
      <c r="L1" s="1131"/>
      <c r="M1" s="1131"/>
      <c r="N1" s="1131"/>
      <c r="O1" s="1131"/>
      <c r="P1" s="1131"/>
      <c r="Q1" s="1131"/>
      <c r="R1" s="1131"/>
      <c r="S1" s="1131"/>
      <c r="T1" s="1131"/>
      <c r="U1" s="1132"/>
    </row>
    <row r="2" spans="2:22" s="1129" customFormat="1" ht="13.5" customHeight="1" thickBot="1">
      <c r="B2" s="1133"/>
      <c r="C2" s="1240" t="s">
        <v>1621</v>
      </c>
      <c r="D2" s="1134"/>
      <c r="E2" s="1134"/>
      <c r="F2" s="1134"/>
      <c r="G2" s="1134"/>
      <c r="H2" s="1134"/>
      <c r="I2" s="1134"/>
      <c r="J2" s="1134"/>
      <c r="K2" s="1134"/>
      <c r="L2" s="1134"/>
      <c r="M2" s="1134"/>
      <c r="N2" s="1134"/>
      <c r="O2" s="1134"/>
      <c r="P2" s="1134"/>
      <c r="Q2" s="1134"/>
      <c r="R2" s="1134"/>
      <c r="S2" s="1134"/>
      <c r="T2" s="1134"/>
      <c r="U2" s="1135"/>
    </row>
    <row r="3" spans="2:22" s="1129" customFormat="1" ht="13.5" customHeight="1" thickBot="1">
      <c r="B3" s="1136"/>
      <c r="C3" s="1240"/>
      <c r="D3" s="1134"/>
      <c r="E3" s="1134"/>
      <c r="F3" s="1134"/>
      <c r="G3" s="1134"/>
      <c r="H3" s="1134"/>
      <c r="I3" s="1134"/>
      <c r="J3" s="1134"/>
      <c r="K3" s="1134"/>
      <c r="L3" s="1134"/>
      <c r="M3" s="1134"/>
      <c r="N3" s="1134"/>
      <c r="O3" s="1134"/>
      <c r="P3" s="1134"/>
      <c r="Q3" s="1134"/>
      <c r="R3" s="1134"/>
      <c r="S3" s="1134"/>
      <c r="T3" s="1134"/>
      <c r="U3" s="1135"/>
    </row>
    <row r="4" spans="2:22" s="1129" customFormat="1" ht="13.5" customHeight="1" thickBot="1">
      <c r="B4" s="1136"/>
      <c r="C4" s="1240"/>
      <c r="D4" s="1134"/>
      <c r="E4" s="1134"/>
      <c r="F4" s="1134"/>
      <c r="G4" s="1134"/>
      <c r="H4" s="1134"/>
      <c r="I4" s="1134"/>
      <c r="J4" s="1134"/>
      <c r="K4" s="1134"/>
      <c r="L4" s="1134"/>
      <c r="M4" s="1134"/>
      <c r="N4" s="1134"/>
      <c r="O4" s="1134"/>
      <c r="P4" s="1134"/>
      <c r="Q4" s="1134"/>
      <c r="R4" s="1134"/>
      <c r="S4" s="1134"/>
      <c r="T4" s="1134"/>
      <c r="U4" s="1135"/>
    </row>
    <row r="5" spans="2:22" s="1129" customFormat="1" ht="13.5" customHeight="1" thickBot="1">
      <c r="B5" s="1136"/>
      <c r="C5" s="1240"/>
      <c r="D5" s="1134"/>
      <c r="E5" s="1134"/>
      <c r="F5" s="1134"/>
      <c r="G5" s="1134"/>
      <c r="H5" s="1134"/>
      <c r="I5" s="1134"/>
      <c r="J5" s="1134"/>
      <c r="K5" s="1134"/>
      <c r="L5" s="1134"/>
      <c r="M5" s="1134"/>
      <c r="N5" s="1134"/>
      <c r="O5" s="1134"/>
      <c r="P5" s="1134"/>
      <c r="Q5" s="1134"/>
      <c r="R5" s="1134"/>
      <c r="S5" s="1134"/>
      <c r="T5" s="1134"/>
      <c r="U5" s="1135"/>
    </row>
    <row r="6" spans="2:22" s="1129" customFormat="1" ht="13.5" customHeight="1" thickBot="1">
      <c r="B6" s="1136"/>
      <c r="C6" s="1241"/>
      <c r="D6" s="1134"/>
      <c r="E6" s="1134"/>
      <c r="F6" s="1134"/>
      <c r="G6" s="1134"/>
      <c r="H6" s="1134"/>
      <c r="I6" s="1134"/>
      <c r="J6" s="1134"/>
      <c r="K6" s="1134"/>
      <c r="L6" s="1134"/>
      <c r="M6" s="1134"/>
      <c r="N6" s="1134"/>
      <c r="O6" s="1134"/>
      <c r="P6" s="1134"/>
      <c r="Q6" s="1134"/>
      <c r="R6" s="1134"/>
      <c r="S6" s="1134"/>
      <c r="T6" s="1134"/>
      <c r="U6" s="1135"/>
    </row>
    <row r="7" spans="2:22" s="1129" customFormat="1" ht="13.5" thickBot="1">
      <c r="B7" s="1137"/>
      <c r="C7" s="1138"/>
      <c r="D7" s="1134"/>
      <c r="E7" s="1134"/>
      <c r="F7" s="1134"/>
      <c r="G7" s="1134"/>
      <c r="H7" s="1134"/>
      <c r="I7" s="1134"/>
      <c r="J7" s="1134"/>
      <c r="K7" s="1134"/>
      <c r="L7" s="1134"/>
      <c r="M7" s="1134"/>
      <c r="N7" s="1134"/>
      <c r="O7" s="1134"/>
      <c r="P7" s="1134"/>
      <c r="Q7" s="1134"/>
      <c r="R7" s="1134"/>
      <c r="S7" s="1134"/>
      <c r="T7" s="1134"/>
      <c r="U7" s="1135"/>
    </row>
    <row r="8" spans="2:22" ht="14.25" thickTop="1" thickBot="1">
      <c r="B8" s="1139" t="s">
        <v>1501</v>
      </c>
      <c r="C8" s="1179" t="s">
        <v>1583</v>
      </c>
      <c r="D8" s="1151"/>
      <c r="E8" s="1140"/>
      <c r="F8" s="1140"/>
      <c r="G8" s="1140"/>
      <c r="H8" s="1140"/>
      <c r="I8" s="1140"/>
      <c r="J8" s="1140"/>
      <c r="K8" s="1140"/>
      <c r="L8" s="1140"/>
      <c r="M8" s="1140"/>
      <c r="N8" s="1140"/>
      <c r="O8" s="1140"/>
      <c r="P8" s="1140"/>
      <c r="Q8" s="1140"/>
      <c r="R8" s="1140"/>
      <c r="S8" s="1140"/>
      <c r="T8" s="1140"/>
      <c r="U8" s="1141"/>
    </row>
    <row r="9" spans="2:22" ht="13.5" thickBot="1">
      <c r="B9" s="1143" t="s">
        <v>1502</v>
      </c>
      <c r="C9" s="1192">
        <v>41683</v>
      </c>
      <c r="D9" s="1151"/>
      <c r="E9" s="1140"/>
      <c r="F9" s="1140"/>
      <c r="G9" s="1140"/>
      <c r="H9" s="1140"/>
      <c r="I9" s="1140"/>
      <c r="J9" s="1140"/>
      <c r="K9" s="1140"/>
      <c r="L9" s="1140"/>
      <c r="M9" s="1140"/>
      <c r="N9" s="1140"/>
      <c r="O9" s="1140"/>
      <c r="P9" s="1140"/>
      <c r="Q9" s="1140"/>
      <c r="R9" s="1140"/>
      <c r="S9" s="1140"/>
      <c r="T9" s="1140"/>
      <c r="U9" s="1141"/>
    </row>
    <row r="10" spans="2:22" ht="13.5" thickBot="1">
      <c r="B10" s="1143" t="s">
        <v>1503</v>
      </c>
      <c r="C10" s="1193" t="s">
        <v>1620</v>
      </c>
      <c r="D10" s="1151"/>
      <c r="E10" s="1140"/>
      <c r="F10" s="1140"/>
      <c r="G10" s="1140"/>
      <c r="H10" s="1140"/>
      <c r="I10" s="1140"/>
      <c r="J10" s="1140"/>
      <c r="K10" s="1140"/>
      <c r="L10" s="1140"/>
      <c r="M10" s="1140"/>
      <c r="N10" s="1140"/>
      <c r="O10" s="1140"/>
      <c r="P10" s="1140"/>
      <c r="Q10" s="1140"/>
      <c r="R10" s="1140"/>
      <c r="S10" s="1140"/>
      <c r="T10" s="1140"/>
      <c r="U10" s="1141"/>
    </row>
    <row r="11" spans="2:22" s="1146" customFormat="1" ht="26.25" thickBot="1">
      <c r="B11" s="1244" t="s">
        <v>1584</v>
      </c>
      <c r="C11" s="1197" t="s">
        <v>1505</v>
      </c>
      <c r="D11" s="1170"/>
      <c r="E11" s="1144"/>
      <c r="F11" s="1144"/>
      <c r="G11" s="1144"/>
      <c r="H11" s="1144"/>
      <c r="I11" s="1144"/>
      <c r="J11" s="1144"/>
      <c r="K11" s="1144"/>
      <c r="L11" s="1144"/>
      <c r="M11" s="1144"/>
      <c r="N11" s="1144"/>
      <c r="O11" s="1144"/>
      <c r="P11" s="1144"/>
      <c r="Q11" s="1144"/>
      <c r="R11" s="1144"/>
      <c r="S11" s="1144"/>
      <c r="T11" s="1144"/>
      <c r="U11" s="1145"/>
    </row>
    <row r="12" spans="2:22" s="1146" customFormat="1" ht="39" thickBot="1">
      <c r="B12" s="1245"/>
      <c r="C12" s="1198" t="s">
        <v>1606</v>
      </c>
      <c r="D12" s="1177"/>
      <c r="E12" s="1170"/>
      <c r="F12" s="1144"/>
      <c r="G12" s="1144"/>
      <c r="H12" s="1144"/>
      <c r="I12" s="1144"/>
      <c r="J12" s="1144"/>
      <c r="K12" s="1144"/>
      <c r="L12" s="1144"/>
      <c r="M12" s="1144"/>
      <c r="N12" s="1144"/>
      <c r="O12" s="1144"/>
      <c r="P12" s="1144"/>
      <c r="Q12" s="1144"/>
      <c r="R12" s="1144"/>
      <c r="S12" s="1144"/>
      <c r="T12" s="1144"/>
      <c r="U12" s="1145"/>
    </row>
    <row r="13" spans="2:22" s="1146" customFormat="1" ht="26.25" thickBot="1">
      <c r="B13" s="1246"/>
      <c r="C13" s="1199" t="s">
        <v>1607</v>
      </c>
      <c r="D13" s="1177"/>
      <c r="E13" s="1170"/>
      <c r="F13" s="1144"/>
      <c r="G13" s="1144"/>
      <c r="H13" s="1144"/>
      <c r="I13" s="1144"/>
      <c r="J13" s="1144"/>
      <c r="K13" s="1144"/>
      <c r="L13" s="1144"/>
      <c r="M13" s="1144"/>
      <c r="N13" s="1144"/>
      <c r="O13" s="1144"/>
      <c r="P13" s="1144"/>
      <c r="Q13" s="1144"/>
      <c r="R13" s="1144"/>
      <c r="S13" s="1144"/>
      <c r="T13" s="1144"/>
      <c r="U13" s="1145"/>
    </row>
    <row r="14" spans="2:22" ht="13.5" thickBot="1">
      <c r="B14" s="1175" t="s">
        <v>1506</v>
      </c>
      <c r="C14" s="1197" t="s">
        <v>1507</v>
      </c>
      <c r="E14" s="1151"/>
      <c r="F14" s="1140"/>
      <c r="G14" s="1140"/>
      <c r="H14" s="1140"/>
      <c r="I14" s="1140"/>
      <c r="J14" s="1140"/>
      <c r="K14" s="1140"/>
      <c r="L14" s="1140"/>
      <c r="M14" s="1140"/>
      <c r="N14" s="1140"/>
      <c r="O14" s="1140"/>
      <c r="P14" s="1140"/>
      <c r="Q14" s="1140"/>
      <c r="R14" s="1140"/>
      <c r="S14" s="1140"/>
      <c r="T14" s="1140"/>
      <c r="U14" s="1140"/>
      <c r="V14" s="1141"/>
    </row>
    <row r="15" spans="2:22" ht="13.5" thickBot="1">
      <c r="B15" s="1178"/>
      <c r="C15" s="1198" t="s">
        <v>1508</v>
      </c>
      <c r="E15" s="1151"/>
      <c r="F15" s="1140"/>
      <c r="G15" s="1140"/>
      <c r="H15" s="1140"/>
      <c r="I15" s="1140"/>
      <c r="J15" s="1140"/>
      <c r="K15" s="1140"/>
      <c r="L15" s="1140"/>
      <c r="M15" s="1140"/>
      <c r="N15" s="1140"/>
      <c r="O15" s="1140"/>
      <c r="P15" s="1140"/>
      <c r="Q15" s="1140"/>
      <c r="R15" s="1140"/>
      <c r="S15" s="1140"/>
      <c r="T15" s="1140"/>
      <c r="U15" s="1140"/>
      <c r="V15" s="1141"/>
    </row>
    <row r="16" spans="2:22" ht="13.5" thickBot="1">
      <c r="B16" s="1178"/>
      <c r="C16" s="1198" t="s">
        <v>1509</v>
      </c>
      <c r="E16" s="1151"/>
      <c r="F16" s="1140"/>
      <c r="G16" s="1140"/>
      <c r="H16" s="1140"/>
      <c r="I16" s="1140"/>
      <c r="J16" s="1140"/>
      <c r="K16" s="1140"/>
      <c r="L16" s="1140"/>
      <c r="M16" s="1140"/>
      <c r="N16" s="1140"/>
      <c r="O16" s="1140"/>
      <c r="P16" s="1140"/>
      <c r="Q16" s="1140"/>
      <c r="R16" s="1140"/>
      <c r="S16" s="1140"/>
      <c r="T16" s="1140"/>
      <c r="U16" s="1140"/>
      <c r="V16" s="1141"/>
    </row>
    <row r="17" spans="2:22" ht="13.5" thickBot="1">
      <c r="B17" s="1178"/>
      <c r="C17" s="1198" t="s">
        <v>1510</v>
      </c>
      <c r="E17" s="1151"/>
      <c r="F17" s="1140"/>
      <c r="G17" s="1140"/>
      <c r="H17" s="1140"/>
      <c r="I17" s="1140"/>
      <c r="J17" s="1140"/>
      <c r="K17" s="1140"/>
      <c r="L17" s="1140"/>
      <c r="M17" s="1140"/>
      <c r="N17" s="1140"/>
      <c r="O17" s="1140"/>
      <c r="P17" s="1140"/>
      <c r="Q17" s="1140"/>
      <c r="R17" s="1140"/>
      <c r="S17" s="1140"/>
      <c r="T17" s="1140"/>
      <c r="U17" s="1140"/>
      <c r="V17" s="1141"/>
    </row>
    <row r="18" spans="2:22" ht="13.5" thickBot="1">
      <c r="B18" s="1178"/>
      <c r="C18" s="1198" t="s">
        <v>1511</v>
      </c>
      <c r="E18" s="1151"/>
      <c r="F18" s="1140"/>
      <c r="G18" s="1140"/>
      <c r="H18" s="1140"/>
      <c r="I18" s="1140"/>
      <c r="J18" s="1140"/>
      <c r="K18" s="1140"/>
      <c r="L18" s="1140"/>
      <c r="M18" s="1140"/>
      <c r="N18" s="1140"/>
      <c r="O18" s="1140"/>
      <c r="P18" s="1140"/>
      <c r="Q18" s="1140"/>
      <c r="R18" s="1140"/>
      <c r="S18" s="1140"/>
      <c r="T18" s="1140"/>
      <c r="U18" s="1140"/>
      <c r="V18" s="1141"/>
    </row>
    <row r="19" spans="2:22" ht="13.5" thickBot="1">
      <c r="B19" s="1176"/>
      <c r="C19" s="1200" t="s">
        <v>1512</v>
      </c>
      <c r="E19" s="1151"/>
      <c r="F19" s="1140"/>
      <c r="G19" s="1140"/>
      <c r="H19" s="1140"/>
      <c r="I19" s="1140"/>
      <c r="J19" s="1140"/>
      <c r="K19" s="1140"/>
      <c r="L19" s="1140"/>
      <c r="M19" s="1140"/>
      <c r="N19" s="1140"/>
      <c r="O19" s="1140"/>
      <c r="P19" s="1140"/>
      <c r="Q19" s="1140"/>
      <c r="R19" s="1140"/>
      <c r="S19" s="1140"/>
      <c r="T19" s="1140"/>
      <c r="U19" s="1140"/>
      <c r="V19" s="1141"/>
    </row>
    <row r="20" spans="2:22" ht="26.25" thickBot="1">
      <c r="B20" s="1143" t="s">
        <v>1585</v>
      </c>
      <c r="C20" s="1194" t="s">
        <v>1513</v>
      </c>
      <c r="D20" s="1151"/>
      <c r="E20" s="1140"/>
      <c r="F20" s="1140"/>
      <c r="G20" s="1140"/>
      <c r="H20" s="1140"/>
      <c r="I20" s="1140"/>
      <c r="J20" s="1140"/>
      <c r="K20" s="1140"/>
      <c r="L20" s="1140"/>
      <c r="M20" s="1140"/>
      <c r="N20" s="1140"/>
      <c r="O20" s="1140"/>
      <c r="P20" s="1140"/>
      <c r="Q20" s="1140"/>
      <c r="R20" s="1140"/>
      <c r="S20" s="1140"/>
      <c r="T20" s="1140"/>
      <c r="U20" s="1141"/>
    </row>
    <row r="21" spans="2:22" ht="13.5" thickBot="1">
      <c r="B21" s="1174"/>
      <c r="C21" s="1195" t="s">
        <v>1514</v>
      </c>
      <c r="D21" s="1171"/>
      <c r="E21" s="1140"/>
      <c r="F21" s="1140"/>
      <c r="G21" s="1140"/>
      <c r="H21" s="1140"/>
      <c r="I21" s="1140"/>
      <c r="J21" s="1140"/>
      <c r="K21" s="1140"/>
      <c r="L21" s="1140"/>
      <c r="M21" s="1140"/>
      <c r="N21" s="1140"/>
      <c r="O21" s="1140"/>
      <c r="P21" s="1140"/>
      <c r="Q21" s="1140"/>
      <c r="R21" s="1140"/>
      <c r="S21" s="1140"/>
      <c r="T21" s="1140"/>
      <c r="U21" s="1141"/>
    </row>
    <row r="22" spans="2:22" ht="13.5" thickBot="1">
      <c r="B22" s="1147" t="s">
        <v>1586</v>
      </c>
      <c r="C22" s="1196" t="s">
        <v>1591</v>
      </c>
      <c r="D22" s="1171"/>
      <c r="E22" s="1140"/>
      <c r="F22" s="1140"/>
      <c r="G22" s="1140"/>
      <c r="H22" s="1140"/>
      <c r="I22" s="1140"/>
      <c r="J22" s="1140"/>
      <c r="K22" s="1140"/>
      <c r="L22" s="1140"/>
      <c r="M22" s="1140"/>
      <c r="N22" s="1140"/>
      <c r="O22" s="1140"/>
      <c r="P22" s="1140"/>
      <c r="Q22" s="1140"/>
      <c r="R22" s="1140"/>
      <c r="S22" s="1140"/>
      <c r="T22" s="1140"/>
      <c r="U22" s="1141"/>
    </row>
    <row r="23" spans="2:22" ht="14.25" thickTop="1" thickBot="1">
      <c r="B23" s="1149"/>
      <c r="C23" s="1149"/>
      <c r="D23" s="1150"/>
      <c r="E23" s="1151"/>
      <c r="F23" s="1140"/>
      <c r="G23" s="1140"/>
      <c r="H23" s="1140"/>
      <c r="I23" s="1140"/>
      <c r="J23" s="1140"/>
      <c r="K23" s="1140"/>
      <c r="L23" s="1140"/>
      <c r="M23" s="1140"/>
      <c r="N23" s="1140"/>
      <c r="O23" s="1140"/>
      <c r="P23" s="1140"/>
      <c r="Q23" s="1140"/>
      <c r="R23" s="1140"/>
      <c r="S23" s="1140"/>
      <c r="T23" s="1140"/>
      <c r="U23" s="1141"/>
    </row>
    <row r="24" spans="2:22" ht="13.5" thickBot="1">
      <c r="B24" s="1152" t="s">
        <v>1587</v>
      </c>
      <c r="C24" s="1149"/>
      <c r="D24" s="1150"/>
      <c r="E24" s="1151"/>
      <c r="F24" s="1140"/>
      <c r="G24" s="1140"/>
      <c r="H24" s="1140"/>
      <c r="I24" s="1140"/>
      <c r="J24" s="1140"/>
      <c r="K24" s="1140"/>
      <c r="L24" s="1140"/>
      <c r="M24" s="1140"/>
      <c r="N24" s="1140"/>
      <c r="O24" s="1140"/>
      <c r="P24" s="1140"/>
      <c r="Q24" s="1140"/>
      <c r="R24" s="1140"/>
      <c r="S24" s="1140"/>
      <c r="T24" s="1140"/>
      <c r="U24" s="1141"/>
    </row>
    <row r="25" spans="2:22" ht="13.5" thickBot="1">
      <c r="B25" s="1149"/>
      <c r="C25" s="1150"/>
      <c r="D25" s="1150"/>
      <c r="E25" s="1151"/>
      <c r="F25" s="1140"/>
      <c r="G25" s="1140"/>
      <c r="H25" s="1140"/>
      <c r="I25" s="1140"/>
      <c r="J25" s="1140"/>
      <c r="K25" s="1140"/>
      <c r="L25" s="1140"/>
      <c r="M25" s="1140"/>
      <c r="N25" s="1140"/>
      <c r="O25" s="1140"/>
      <c r="P25" s="1140"/>
      <c r="Q25" s="1140"/>
      <c r="R25" s="1140"/>
      <c r="S25" s="1140"/>
      <c r="T25" s="1140"/>
      <c r="U25" s="1141"/>
    </row>
    <row r="26" spans="2:22" ht="13.5" thickBot="1">
      <c r="B26" s="1153" t="s">
        <v>1504</v>
      </c>
      <c r="C26" s="1150"/>
      <c r="D26" s="1150"/>
      <c r="E26" s="1151"/>
      <c r="F26" s="1140"/>
      <c r="G26" s="1140"/>
      <c r="H26" s="1140"/>
      <c r="I26" s="1140"/>
      <c r="J26" s="1140"/>
      <c r="K26" s="1140"/>
      <c r="L26" s="1140"/>
      <c r="M26" s="1140"/>
      <c r="N26" s="1140"/>
      <c r="O26" s="1140"/>
      <c r="P26" s="1140"/>
      <c r="Q26" s="1140"/>
      <c r="R26" s="1140"/>
      <c r="S26" s="1140"/>
      <c r="T26" s="1140"/>
      <c r="U26" s="1141"/>
    </row>
    <row r="27" spans="2:22" ht="13.5" thickBot="1">
      <c r="B27" s="1154" t="s">
        <v>1515</v>
      </c>
      <c r="C27" s="1150"/>
      <c r="D27" s="1150"/>
      <c r="E27" s="1151"/>
      <c r="F27" s="1140"/>
      <c r="G27" s="1140"/>
      <c r="H27" s="1140"/>
      <c r="I27" s="1140"/>
      <c r="J27" s="1140"/>
      <c r="K27" s="1140"/>
      <c r="L27" s="1140"/>
      <c r="M27" s="1140"/>
      <c r="N27" s="1140"/>
      <c r="O27" s="1140"/>
      <c r="P27" s="1140"/>
      <c r="Q27" s="1140"/>
      <c r="R27" s="1140"/>
      <c r="S27" s="1140"/>
      <c r="T27" s="1140"/>
      <c r="U27" s="1141"/>
    </row>
    <row r="28" spans="2:22" ht="13.5" thickBot="1">
      <c r="B28" s="1149"/>
      <c r="C28" s="1149"/>
      <c r="D28" s="1150"/>
      <c r="E28" s="1151"/>
      <c r="F28" s="1140"/>
      <c r="G28" s="1140"/>
      <c r="H28" s="1140"/>
      <c r="I28" s="1140"/>
      <c r="J28" s="1140"/>
      <c r="K28" s="1140"/>
      <c r="L28" s="1140"/>
      <c r="M28" s="1140"/>
      <c r="N28" s="1140"/>
      <c r="O28" s="1140"/>
      <c r="P28" s="1140"/>
      <c r="Q28" s="1140"/>
      <c r="R28" s="1140"/>
      <c r="S28" s="1140"/>
      <c r="T28" s="1140"/>
      <c r="U28" s="1141"/>
    </row>
    <row r="29" spans="2:22" ht="13.5" thickBot="1">
      <c r="B29" s="1155" t="s">
        <v>1516</v>
      </c>
      <c r="C29" s="1150"/>
      <c r="D29" s="1150"/>
      <c r="E29" s="1151"/>
      <c r="F29" s="1140"/>
      <c r="G29" s="1140"/>
      <c r="H29" s="1140"/>
      <c r="I29" s="1140"/>
      <c r="J29" s="1140"/>
      <c r="K29" s="1140"/>
      <c r="L29" s="1140"/>
      <c r="M29" s="1140"/>
      <c r="N29" s="1140"/>
      <c r="O29" s="1140"/>
      <c r="P29" s="1140"/>
      <c r="Q29" s="1140"/>
      <c r="R29" s="1140"/>
      <c r="S29" s="1140"/>
      <c r="T29" s="1140"/>
      <c r="U29" s="1141"/>
    </row>
    <row r="30" spans="2:22" ht="13.5" thickBot="1">
      <c r="B30" s="1242" t="s">
        <v>1517</v>
      </c>
      <c r="C30" s="1242"/>
      <c r="D30" s="1150"/>
      <c r="E30" s="1151"/>
      <c r="F30" s="1140"/>
      <c r="G30" s="1140"/>
      <c r="H30" s="1140"/>
      <c r="I30" s="1140"/>
      <c r="J30" s="1140"/>
      <c r="K30" s="1140"/>
      <c r="L30" s="1140"/>
      <c r="M30" s="1140"/>
      <c r="N30" s="1140"/>
      <c r="O30" s="1140"/>
      <c r="P30" s="1140"/>
      <c r="Q30" s="1140"/>
      <c r="R30" s="1140"/>
      <c r="S30" s="1140"/>
      <c r="T30" s="1140"/>
      <c r="U30" s="1141"/>
    </row>
    <row r="31" spans="2:22" ht="13.5" thickBot="1">
      <c r="B31" s="1149"/>
      <c r="C31" s="1150"/>
      <c r="D31" s="1150"/>
      <c r="E31" s="1151"/>
      <c r="F31" s="1140"/>
      <c r="G31" s="1140"/>
      <c r="H31" s="1140"/>
      <c r="I31" s="1140"/>
      <c r="J31" s="1140"/>
      <c r="K31" s="1140"/>
      <c r="L31" s="1140"/>
      <c r="M31" s="1140"/>
      <c r="N31" s="1140"/>
      <c r="O31" s="1140"/>
      <c r="P31" s="1140"/>
      <c r="Q31" s="1140"/>
      <c r="R31" s="1140"/>
      <c r="S31" s="1140"/>
      <c r="T31" s="1140"/>
      <c r="U31" s="1141"/>
    </row>
    <row r="32" spans="2:22" ht="13.5" thickBot="1">
      <c r="B32" s="1172" t="s">
        <v>1588</v>
      </c>
      <c r="C32" s="1150"/>
      <c r="D32" s="1150"/>
      <c r="E32" s="1151"/>
      <c r="F32" s="1140"/>
      <c r="G32" s="1140"/>
      <c r="H32" s="1140"/>
      <c r="I32" s="1140"/>
      <c r="J32" s="1140"/>
      <c r="K32" s="1140"/>
      <c r="L32" s="1140"/>
      <c r="M32" s="1140"/>
      <c r="N32" s="1140"/>
      <c r="O32" s="1140"/>
      <c r="P32" s="1140"/>
      <c r="Q32" s="1140"/>
      <c r="R32" s="1140"/>
      <c r="S32" s="1140"/>
      <c r="T32" s="1140"/>
      <c r="U32" s="1141"/>
    </row>
    <row r="33" spans="2:21" s="1159" customFormat="1" ht="13.5" thickBot="1">
      <c r="B33" s="1243" t="s">
        <v>1589</v>
      </c>
      <c r="C33" s="1243"/>
      <c r="D33" s="1243"/>
      <c r="E33" s="1156"/>
      <c r="F33" s="1157"/>
      <c r="G33" s="1157"/>
      <c r="H33" s="1157"/>
      <c r="I33" s="1157"/>
      <c r="J33" s="1157"/>
      <c r="K33" s="1157"/>
      <c r="L33" s="1157"/>
      <c r="M33" s="1157"/>
      <c r="N33" s="1157"/>
      <c r="O33" s="1157"/>
      <c r="P33" s="1157"/>
      <c r="Q33" s="1157"/>
      <c r="R33" s="1157"/>
      <c r="S33" s="1157"/>
      <c r="T33" s="1157"/>
      <c r="U33" s="1158"/>
    </row>
    <row r="34" spans="2:21" s="1159" customFormat="1" ht="13.5" thickBot="1">
      <c r="B34" s="1160"/>
      <c r="C34" s="1149"/>
      <c r="D34" s="1149"/>
      <c r="E34" s="1156"/>
      <c r="F34" s="1157"/>
      <c r="G34" s="1157"/>
      <c r="H34" s="1157"/>
      <c r="I34" s="1157"/>
      <c r="J34" s="1157"/>
      <c r="K34" s="1157"/>
      <c r="L34" s="1157"/>
      <c r="M34" s="1157"/>
      <c r="N34" s="1157"/>
      <c r="O34" s="1157"/>
      <c r="P34" s="1157"/>
      <c r="Q34" s="1157"/>
      <c r="R34" s="1157"/>
      <c r="S34" s="1157"/>
      <c r="T34" s="1157"/>
      <c r="U34" s="1158"/>
    </row>
    <row r="35" spans="2:21" s="1159" customFormat="1" ht="13.5" thickBot="1">
      <c r="B35" s="1173" t="s">
        <v>1561</v>
      </c>
      <c r="C35" s="1149"/>
      <c r="D35" s="1149"/>
      <c r="E35" s="1156"/>
      <c r="F35" s="1157"/>
      <c r="G35" s="1157"/>
      <c r="H35" s="1157"/>
      <c r="I35" s="1157"/>
      <c r="J35" s="1157"/>
      <c r="K35" s="1157"/>
      <c r="L35" s="1157"/>
      <c r="M35" s="1157"/>
      <c r="N35" s="1157"/>
      <c r="O35" s="1157"/>
      <c r="P35" s="1157"/>
      <c r="Q35" s="1157"/>
      <c r="R35" s="1157"/>
      <c r="S35" s="1157"/>
      <c r="T35" s="1157"/>
      <c r="U35" s="1158"/>
    </row>
    <row r="36" spans="2:21" s="1159" customFormat="1" ht="13.5" thickBot="1">
      <c r="B36" s="1160" t="s">
        <v>1590</v>
      </c>
      <c r="C36" s="1149"/>
      <c r="D36" s="1149"/>
      <c r="E36" s="1156"/>
      <c r="F36" s="1157"/>
      <c r="G36" s="1157"/>
      <c r="H36" s="1157"/>
      <c r="I36" s="1157"/>
      <c r="J36" s="1157"/>
      <c r="K36" s="1157"/>
      <c r="L36" s="1157"/>
      <c r="M36" s="1157"/>
      <c r="N36" s="1157"/>
      <c r="O36" s="1157"/>
      <c r="P36" s="1157"/>
      <c r="Q36" s="1157"/>
      <c r="R36" s="1157"/>
      <c r="S36" s="1157"/>
      <c r="T36" s="1157"/>
      <c r="U36" s="1158"/>
    </row>
    <row r="37" spans="2:21" s="1159" customFormat="1" ht="13.5" thickBot="1">
      <c r="B37" s="1160"/>
      <c r="C37" s="1149"/>
      <c r="D37" s="1149"/>
      <c r="E37" s="1156"/>
      <c r="F37" s="1157"/>
      <c r="G37" s="1157"/>
      <c r="H37" s="1157"/>
      <c r="I37" s="1157"/>
      <c r="J37" s="1157"/>
      <c r="K37" s="1157"/>
      <c r="L37" s="1157"/>
      <c r="M37" s="1157"/>
      <c r="N37" s="1157"/>
      <c r="O37" s="1157"/>
      <c r="P37" s="1157"/>
      <c r="Q37" s="1157"/>
      <c r="R37" s="1157"/>
      <c r="S37" s="1157"/>
      <c r="T37" s="1157"/>
      <c r="U37" s="1158"/>
    </row>
    <row r="38" spans="2:21" s="1159" customFormat="1" ht="13.5" thickBot="1">
      <c r="B38" s="1180" t="s">
        <v>1518</v>
      </c>
      <c r="C38" s="1149"/>
      <c r="D38" s="1149"/>
      <c r="E38" s="1156"/>
      <c r="F38" s="1157"/>
      <c r="G38" s="1157"/>
      <c r="H38" s="1157"/>
      <c r="I38" s="1157"/>
      <c r="J38" s="1157"/>
      <c r="K38" s="1157"/>
      <c r="L38" s="1157"/>
      <c r="M38" s="1157"/>
      <c r="N38" s="1157"/>
      <c r="O38" s="1157"/>
      <c r="P38" s="1157"/>
      <c r="Q38" s="1157"/>
      <c r="R38" s="1157"/>
      <c r="S38" s="1157"/>
      <c r="T38" s="1157"/>
      <c r="U38" s="1158"/>
    </row>
    <row r="39" spans="2:21" s="1159" customFormat="1" ht="13.5" thickBot="1">
      <c r="B39" s="1030" t="s">
        <v>1519</v>
      </c>
      <c r="C39" s="1149"/>
      <c r="D39" s="1149"/>
      <c r="E39" s="1156"/>
      <c r="F39" s="1157"/>
      <c r="G39" s="1157"/>
      <c r="H39" s="1157"/>
      <c r="I39" s="1157"/>
      <c r="J39" s="1157"/>
      <c r="K39" s="1157"/>
      <c r="L39" s="1157"/>
      <c r="M39" s="1157"/>
      <c r="N39" s="1157"/>
      <c r="O39" s="1157"/>
      <c r="P39" s="1157"/>
      <c r="Q39" s="1157"/>
      <c r="R39" s="1157"/>
      <c r="S39" s="1157"/>
      <c r="T39" s="1157"/>
      <c r="U39" s="1158"/>
    </row>
    <row r="40" spans="2:21" s="1159" customFormat="1" ht="13.5" thickBot="1">
      <c r="B40" s="1031"/>
      <c r="C40" s="1149"/>
      <c r="D40" s="1149"/>
      <c r="E40" s="1156"/>
      <c r="F40" s="1157"/>
      <c r="G40" s="1157"/>
      <c r="H40" s="1157"/>
      <c r="I40" s="1157"/>
      <c r="J40" s="1157"/>
      <c r="K40" s="1157"/>
      <c r="L40" s="1157"/>
      <c r="M40" s="1157"/>
      <c r="N40" s="1157"/>
      <c r="O40" s="1157"/>
      <c r="P40" s="1157"/>
      <c r="Q40" s="1157"/>
      <c r="R40" s="1157"/>
      <c r="S40" s="1157"/>
      <c r="T40" s="1157"/>
      <c r="U40" s="1158"/>
    </row>
    <row r="41" spans="2:21" s="1159" customFormat="1" ht="13.5" thickBot="1">
      <c r="B41" s="1181" t="s">
        <v>1520</v>
      </c>
      <c r="C41" s="1149"/>
      <c r="D41" s="1149"/>
      <c r="E41" s="1156"/>
      <c r="F41" s="1157"/>
      <c r="G41" s="1157"/>
      <c r="H41" s="1157"/>
      <c r="I41" s="1157"/>
      <c r="J41" s="1157"/>
      <c r="K41" s="1157"/>
      <c r="L41" s="1157"/>
      <c r="M41" s="1157"/>
      <c r="N41" s="1157"/>
      <c r="O41" s="1157"/>
      <c r="P41" s="1157"/>
      <c r="Q41" s="1157"/>
      <c r="R41" s="1157"/>
      <c r="S41" s="1157"/>
      <c r="T41" s="1157"/>
      <c r="U41" s="1158"/>
    </row>
    <row r="42" spans="2:21" s="1159" customFormat="1" ht="13.5" thickBot="1">
      <c r="B42" s="1182" t="s">
        <v>1521</v>
      </c>
      <c r="C42" s="1149"/>
      <c r="D42" s="1149"/>
      <c r="E42" s="1156"/>
      <c r="F42" s="1157"/>
      <c r="G42" s="1157"/>
      <c r="H42" s="1157"/>
      <c r="I42" s="1157"/>
      <c r="J42" s="1157"/>
      <c r="K42" s="1157"/>
      <c r="L42" s="1157"/>
      <c r="M42" s="1157"/>
      <c r="N42" s="1157"/>
      <c r="O42" s="1157"/>
      <c r="P42" s="1157"/>
      <c r="Q42" s="1157"/>
      <c r="R42" s="1157"/>
      <c r="S42" s="1157"/>
      <c r="T42" s="1157"/>
      <c r="U42" s="1158"/>
    </row>
    <row r="43" spans="2:21" s="1159" customFormat="1" ht="13.5" thickBot="1">
      <c r="B43" s="1183"/>
      <c r="C43" s="1149"/>
      <c r="D43" s="1149"/>
      <c r="E43" s="1156"/>
      <c r="F43" s="1157"/>
      <c r="G43" s="1157"/>
      <c r="H43" s="1157"/>
      <c r="I43" s="1157"/>
      <c r="J43" s="1157"/>
      <c r="K43" s="1157"/>
      <c r="L43" s="1157"/>
      <c r="M43" s="1157"/>
      <c r="N43" s="1157"/>
      <c r="O43" s="1157"/>
      <c r="P43" s="1157"/>
      <c r="Q43" s="1157"/>
      <c r="R43" s="1157"/>
      <c r="S43" s="1157"/>
      <c r="T43" s="1157"/>
      <c r="U43" s="1158"/>
    </row>
    <row r="44" spans="2:21" s="1159" customFormat="1" ht="13.5" thickBot="1">
      <c r="B44" s="1201" t="s">
        <v>594</v>
      </c>
      <c r="C44" s="1149"/>
      <c r="D44" s="1149"/>
      <c r="E44" s="1156"/>
      <c r="F44" s="1157"/>
      <c r="G44" s="1157"/>
      <c r="H44" s="1157"/>
      <c r="I44" s="1157"/>
      <c r="J44" s="1157"/>
      <c r="K44" s="1157"/>
      <c r="L44" s="1157"/>
      <c r="M44" s="1157"/>
      <c r="N44" s="1157"/>
      <c r="O44" s="1157"/>
      <c r="P44" s="1157"/>
      <c r="Q44" s="1157"/>
      <c r="R44" s="1157"/>
      <c r="S44" s="1157"/>
      <c r="T44" s="1157"/>
      <c r="U44" s="1158"/>
    </row>
    <row r="45" spans="2:21" s="1159" customFormat="1" ht="13.5" thickBot="1">
      <c r="B45" s="1183" t="s">
        <v>1522</v>
      </c>
      <c r="C45" s="1149"/>
      <c r="D45" s="1149"/>
      <c r="E45" s="1156"/>
      <c r="F45" s="1157"/>
      <c r="G45" s="1157"/>
      <c r="H45" s="1157"/>
      <c r="I45" s="1157"/>
      <c r="J45" s="1157"/>
      <c r="K45" s="1157"/>
      <c r="L45" s="1157"/>
      <c r="M45" s="1157"/>
      <c r="N45" s="1157"/>
      <c r="O45" s="1157"/>
      <c r="P45" s="1157"/>
      <c r="Q45" s="1157"/>
      <c r="R45" s="1157"/>
      <c r="S45" s="1157"/>
      <c r="T45" s="1157"/>
      <c r="U45" s="1158"/>
    </row>
    <row r="46" spans="2:21" s="1159" customFormat="1" ht="13.5" thickBot="1">
      <c r="B46" s="1183"/>
      <c r="C46" s="1149"/>
      <c r="D46" s="1149"/>
      <c r="E46" s="1156"/>
      <c r="F46" s="1157"/>
      <c r="G46" s="1157"/>
      <c r="H46" s="1157"/>
      <c r="I46" s="1157"/>
      <c r="J46" s="1157"/>
      <c r="K46" s="1157"/>
      <c r="L46" s="1157"/>
      <c r="M46" s="1157"/>
      <c r="N46" s="1157"/>
      <c r="O46" s="1157"/>
      <c r="P46" s="1157"/>
      <c r="Q46" s="1157"/>
      <c r="R46" s="1157"/>
      <c r="S46" s="1157"/>
      <c r="T46" s="1157"/>
      <c r="U46" s="1158"/>
    </row>
    <row r="47" spans="2:21" s="1159" customFormat="1" ht="13.5" thickBot="1">
      <c r="B47" s="1201" t="s">
        <v>1592</v>
      </c>
      <c r="C47" s="1149"/>
      <c r="D47" s="1149"/>
      <c r="E47" s="1156"/>
      <c r="F47" s="1157"/>
      <c r="G47" s="1157"/>
      <c r="H47" s="1157"/>
      <c r="I47" s="1157"/>
      <c r="J47" s="1157"/>
      <c r="K47" s="1157"/>
      <c r="L47" s="1157"/>
      <c r="M47" s="1157"/>
      <c r="N47" s="1157"/>
      <c r="O47" s="1157"/>
      <c r="P47" s="1157"/>
      <c r="Q47" s="1157"/>
      <c r="R47" s="1157"/>
      <c r="S47" s="1157"/>
      <c r="T47" s="1157"/>
      <c r="U47" s="1158"/>
    </row>
    <row r="48" spans="2:21" s="1159" customFormat="1" ht="13.5" thickBot="1">
      <c r="B48" s="1183" t="s">
        <v>1593</v>
      </c>
      <c r="C48" s="1149"/>
      <c r="D48" s="1149"/>
      <c r="E48" s="1156"/>
      <c r="F48" s="1157"/>
      <c r="G48" s="1157"/>
      <c r="H48" s="1157"/>
      <c r="I48" s="1157"/>
      <c r="J48" s="1157"/>
      <c r="K48" s="1157"/>
      <c r="L48" s="1157"/>
      <c r="M48" s="1157"/>
      <c r="N48" s="1157"/>
      <c r="O48" s="1157"/>
      <c r="P48" s="1157"/>
      <c r="Q48" s="1157"/>
      <c r="R48" s="1157"/>
      <c r="S48" s="1157"/>
      <c r="T48" s="1157"/>
      <c r="U48" s="1158"/>
    </row>
    <row r="49" spans="2:21" s="1159" customFormat="1" ht="13.5" thickBot="1">
      <c r="B49" s="1183"/>
      <c r="C49" s="1149"/>
      <c r="D49" s="1149"/>
      <c r="E49" s="1156"/>
      <c r="F49" s="1157"/>
      <c r="G49" s="1157"/>
      <c r="H49" s="1157"/>
      <c r="I49" s="1157"/>
      <c r="J49" s="1157"/>
      <c r="K49" s="1157"/>
      <c r="L49" s="1157"/>
      <c r="M49" s="1157"/>
      <c r="N49" s="1157"/>
      <c r="O49" s="1157"/>
      <c r="P49" s="1157"/>
      <c r="Q49" s="1157"/>
      <c r="R49" s="1157"/>
      <c r="S49" s="1157"/>
      <c r="T49" s="1157"/>
      <c r="U49" s="1158"/>
    </row>
    <row r="50" spans="2:21" s="1159" customFormat="1" ht="13.5" thickBot="1">
      <c r="B50" s="1181" t="s">
        <v>14</v>
      </c>
      <c r="C50" s="1149"/>
      <c r="D50" s="1149"/>
      <c r="E50" s="1156"/>
      <c r="F50" s="1157"/>
      <c r="G50" s="1157"/>
      <c r="H50" s="1157"/>
      <c r="I50" s="1157"/>
      <c r="J50" s="1157"/>
      <c r="K50" s="1157"/>
      <c r="L50" s="1157"/>
      <c r="M50" s="1157"/>
      <c r="N50" s="1157"/>
      <c r="O50" s="1157"/>
      <c r="P50" s="1157"/>
      <c r="Q50" s="1157"/>
      <c r="R50" s="1157"/>
      <c r="S50" s="1157"/>
      <c r="T50" s="1157"/>
      <c r="U50" s="1158"/>
    </row>
    <row r="51" spans="2:21" s="1159" customFormat="1" ht="13.5" thickBot="1">
      <c r="B51" s="1183" t="s">
        <v>1524</v>
      </c>
      <c r="C51" s="1149"/>
      <c r="D51" s="1149"/>
      <c r="E51" s="1156"/>
      <c r="F51" s="1157"/>
      <c r="G51" s="1157"/>
      <c r="H51" s="1157"/>
      <c r="I51" s="1157"/>
      <c r="J51" s="1157"/>
      <c r="K51" s="1157"/>
      <c r="L51" s="1157"/>
      <c r="M51" s="1157"/>
      <c r="N51" s="1157"/>
      <c r="O51" s="1157"/>
      <c r="P51" s="1157"/>
      <c r="Q51" s="1157"/>
      <c r="R51" s="1157"/>
      <c r="S51" s="1157"/>
      <c r="T51" s="1157"/>
      <c r="U51" s="1158"/>
    </row>
    <row r="52" spans="2:21" s="1159" customFormat="1" ht="13.5" thickBot="1">
      <c r="B52" s="1183"/>
      <c r="C52" s="1149"/>
      <c r="D52" s="1149"/>
      <c r="E52" s="1156"/>
      <c r="F52" s="1157"/>
      <c r="G52" s="1157"/>
      <c r="H52" s="1157"/>
      <c r="I52" s="1157"/>
      <c r="J52" s="1157"/>
      <c r="K52" s="1157"/>
      <c r="L52" s="1157"/>
      <c r="M52" s="1157"/>
      <c r="N52" s="1157"/>
      <c r="O52" s="1157"/>
      <c r="P52" s="1157"/>
      <c r="Q52" s="1157"/>
      <c r="R52" s="1157"/>
      <c r="S52" s="1157"/>
      <c r="T52" s="1157"/>
      <c r="U52" s="1158"/>
    </row>
    <row r="53" spans="2:21" s="1159" customFormat="1" ht="13.5" thickBot="1">
      <c r="B53" s="1181" t="s">
        <v>914</v>
      </c>
      <c r="C53" s="1149"/>
      <c r="D53" s="1149"/>
      <c r="E53" s="1156"/>
      <c r="F53" s="1157"/>
      <c r="G53" s="1157"/>
      <c r="H53" s="1157"/>
      <c r="I53" s="1157"/>
      <c r="J53" s="1157"/>
      <c r="K53" s="1157"/>
      <c r="L53" s="1157"/>
      <c r="M53" s="1157"/>
      <c r="N53" s="1157"/>
      <c r="O53" s="1157"/>
      <c r="P53" s="1157"/>
      <c r="Q53" s="1157"/>
      <c r="R53" s="1157"/>
      <c r="S53" s="1157"/>
      <c r="T53" s="1157"/>
      <c r="U53" s="1158"/>
    </row>
    <row r="54" spans="2:21" s="1159" customFormat="1" ht="13.5" thickBot="1">
      <c r="B54" s="1183" t="s">
        <v>1523</v>
      </c>
      <c r="C54" s="1149"/>
      <c r="D54" s="1149"/>
      <c r="E54" s="1156"/>
      <c r="F54" s="1157"/>
      <c r="G54" s="1157"/>
      <c r="H54" s="1157"/>
      <c r="I54" s="1157"/>
      <c r="J54" s="1157"/>
      <c r="K54" s="1157"/>
      <c r="L54" s="1157"/>
      <c r="M54" s="1157"/>
      <c r="N54" s="1157"/>
      <c r="O54" s="1157"/>
      <c r="P54" s="1157"/>
      <c r="Q54" s="1157"/>
      <c r="R54" s="1157"/>
      <c r="S54" s="1157"/>
      <c r="T54" s="1157"/>
      <c r="U54" s="1158"/>
    </row>
    <row r="55" spans="2:21" ht="13.5" thickBot="1"/>
    <row r="56" spans="2:21" s="1159" customFormat="1" ht="13.5" thickBot="1">
      <c r="B56" s="1181" t="s">
        <v>816</v>
      </c>
      <c r="C56" s="1149"/>
      <c r="D56" s="1149"/>
      <c r="E56" s="1156"/>
      <c r="F56" s="1157"/>
      <c r="G56" s="1157"/>
      <c r="H56" s="1157"/>
      <c r="I56" s="1157"/>
      <c r="J56" s="1157"/>
      <c r="K56" s="1157"/>
      <c r="L56" s="1157"/>
      <c r="M56" s="1157"/>
      <c r="N56" s="1157"/>
      <c r="O56" s="1157"/>
      <c r="P56" s="1157"/>
      <c r="Q56" s="1157"/>
      <c r="R56" s="1157"/>
      <c r="S56" s="1157"/>
      <c r="T56" s="1157"/>
      <c r="U56" s="1158"/>
    </row>
    <row r="57" spans="2:21" s="1159" customFormat="1" ht="13.5" thickBot="1">
      <c r="B57" s="1183" t="s">
        <v>1525</v>
      </c>
      <c r="C57" s="1149"/>
      <c r="D57" s="1149"/>
      <c r="E57" s="1156"/>
      <c r="F57" s="1157"/>
      <c r="G57" s="1157"/>
      <c r="H57" s="1157"/>
      <c r="I57" s="1157"/>
      <c r="J57" s="1157"/>
      <c r="K57" s="1157"/>
      <c r="L57" s="1157"/>
      <c r="M57" s="1157"/>
      <c r="N57" s="1157"/>
      <c r="O57" s="1157"/>
      <c r="P57" s="1157"/>
      <c r="Q57" s="1157"/>
      <c r="R57" s="1157"/>
      <c r="S57" s="1157"/>
      <c r="T57" s="1157"/>
      <c r="U57" s="1158"/>
    </row>
    <row r="58" spans="2:21" s="1159" customFormat="1" ht="13.5" thickBot="1">
      <c r="B58" s="1183"/>
      <c r="C58" s="1149"/>
      <c r="D58" s="1149"/>
      <c r="E58" s="1156"/>
      <c r="F58" s="1157"/>
      <c r="G58" s="1157"/>
      <c r="H58" s="1157"/>
      <c r="I58" s="1157"/>
      <c r="J58" s="1157"/>
      <c r="K58" s="1157"/>
      <c r="L58" s="1157"/>
      <c r="M58" s="1157"/>
      <c r="N58" s="1157"/>
      <c r="O58" s="1157"/>
      <c r="P58" s="1157"/>
      <c r="Q58" s="1157"/>
      <c r="R58" s="1157"/>
      <c r="S58" s="1157"/>
      <c r="T58" s="1157"/>
      <c r="U58" s="1158"/>
    </row>
    <row r="59" spans="2:21" s="1159" customFormat="1" ht="13.5" thickBot="1">
      <c r="B59" s="1186" t="s">
        <v>1594</v>
      </c>
      <c r="C59" s="1149"/>
      <c r="D59" s="1149"/>
      <c r="E59" s="1156"/>
      <c r="F59" s="1157"/>
      <c r="G59" s="1157"/>
      <c r="H59" s="1157"/>
      <c r="I59" s="1157"/>
      <c r="J59" s="1157"/>
      <c r="K59" s="1157"/>
      <c r="L59" s="1157"/>
      <c r="M59" s="1157"/>
      <c r="N59" s="1157"/>
      <c r="O59" s="1157"/>
      <c r="P59" s="1157"/>
      <c r="Q59" s="1157"/>
      <c r="R59" s="1157"/>
      <c r="S59" s="1157"/>
      <c r="T59" s="1157"/>
      <c r="U59" s="1158"/>
    </row>
    <row r="60" spans="2:21" s="1159" customFormat="1" ht="13.5" thickBot="1">
      <c r="B60" s="1183" t="s">
        <v>1595</v>
      </c>
      <c r="C60" s="1149"/>
      <c r="D60" s="1149"/>
      <c r="E60" s="1156"/>
      <c r="F60" s="1157"/>
      <c r="G60" s="1157"/>
      <c r="H60" s="1157"/>
      <c r="I60" s="1157"/>
      <c r="J60" s="1157"/>
      <c r="K60" s="1157"/>
      <c r="L60" s="1157"/>
      <c r="M60" s="1157"/>
      <c r="N60" s="1157"/>
      <c r="O60" s="1157"/>
      <c r="P60" s="1157"/>
      <c r="Q60" s="1157"/>
      <c r="R60" s="1157"/>
      <c r="S60" s="1157"/>
      <c r="T60" s="1157"/>
      <c r="U60" s="1158"/>
    </row>
    <row r="61" spans="2:21" s="1159" customFormat="1" ht="13.5" thickBot="1">
      <c r="B61" s="1183"/>
      <c r="C61" s="1149"/>
      <c r="D61" s="1149"/>
      <c r="E61" s="1156"/>
      <c r="F61" s="1157"/>
      <c r="G61" s="1157"/>
      <c r="H61" s="1157"/>
      <c r="I61" s="1157"/>
      <c r="J61" s="1157"/>
      <c r="K61" s="1157"/>
      <c r="L61" s="1157"/>
      <c r="M61" s="1157"/>
      <c r="N61" s="1157"/>
      <c r="O61" s="1157"/>
      <c r="P61" s="1157"/>
      <c r="Q61" s="1157"/>
      <c r="R61" s="1157"/>
      <c r="S61" s="1157"/>
      <c r="T61" s="1157"/>
      <c r="U61" s="1158"/>
    </row>
    <row r="62" spans="2:21" ht="13.5" thickBot="1">
      <c r="B62" s="1202" t="s">
        <v>1527</v>
      </c>
      <c r="C62" s="1161"/>
      <c r="D62" s="1162"/>
      <c r="E62" s="1140"/>
      <c r="F62" s="1140"/>
      <c r="G62" s="1140"/>
      <c r="H62" s="1140"/>
      <c r="I62" s="1140"/>
      <c r="J62" s="1140"/>
      <c r="K62" s="1140"/>
      <c r="L62" s="1140"/>
      <c r="M62" s="1140"/>
      <c r="N62" s="1140"/>
      <c r="O62" s="1140"/>
      <c r="P62" s="1140"/>
      <c r="Q62" s="1140"/>
      <c r="R62" s="1140"/>
      <c r="S62" s="1140"/>
      <c r="T62" s="1140"/>
      <c r="U62" s="1141"/>
    </row>
    <row r="63" spans="2:21" ht="13.5" thickBot="1">
      <c r="B63" s="1032" t="s">
        <v>1528</v>
      </c>
      <c r="C63" s="1164"/>
      <c r="D63" s="1140"/>
      <c r="E63" s="1140"/>
      <c r="F63" s="1140"/>
      <c r="G63" s="1140"/>
      <c r="H63" s="1140"/>
      <c r="I63" s="1140"/>
      <c r="J63" s="1140"/>
      <c r="K63" s="1140"/>
      <c r="L63" s="1140"/>
      <c r="M63" s="1140"/>
      <c r="N63" s="1140"/>
      <c r="O63" s="1140"/>
      <c r="P63" s="1140"/>
      <c r="Q63" s="1140"/>
      <c r="R63" s="1140"/>
      <c r="S63" s="1140"/>
      <c r="T63" s="1140"/>
      <c r="U63" s="1141"/>
    </row>
    <row r="64" spans="2:21" ht="14.25" thickTop="1" thickBot="1">
      <c r="B64" s="1163"/>
      <c r="C64" s="1164"/>
      <c r="D64" s="1140"/>
      <c r="E64" s="1140"/>
      <c r="F64" s="1140"/>
      <c r="G64" s="1140"/>
      <c r="H64" s="1140"/>
      <c r="I64" s="1140"/>
      <c r="J64" s="1140"/>
      <c r="K64" s="1140"/>
      <c r="L64" s="1140"/>
      <c r="M64" s="1140"/>
      <c r="N64" s="1140"/>
      <c r="O64" s="1140"/>
      <c r="P64" s="1140"/>
      <c r="Q64" s="1140"/>
      <c r="R64" s="1140"/>
      <c r="S64" s="1140"/>
      <c r="T64" s="1140"/>
      <c r="U64" s="1141"/>
    </row>
    <row r="65" spans="2:21" s="1159" customFormat="1" ht="14.25" thickTop="1" thickBot="1">
      <c r="B65" s="1184" t="s">
        <v>999</v>
      </c>
      <c r="C65" s="1149"/>
      <c r="D65" s="1149"/>
      <c r="E65" s="1156"/>
      <c r="F65" s="1157"/>
      <c r="G65" s="1157"/>
      <c r="H65" s="1157"/>
      <c r="I65" s="1157"/>
      <c r="J65" s="1157"/>
      <c r="K65" s="1157"/>
      <c r="L65" s="1157"/>
      <c r="M65" s="1157"/>
      <c r="N65" s="1157"/>
      <c r="O65" s="1157"/>
      <c r="P65" s="1157"/>
      <c r="Q65" s="1157"/>
      <c r="R65" s="1157"/>
      <c r="S65" s="1157"/>
      <c r="T65" s="1157"/>
      <c r="U65" s="1158"/>
    </row>
    <row r="66" spans="2:21" s="1159" customFormat="1" ht="13.5" thickBot="1">
      <c r="B66" s="1185" t="s">
        <v>1526</v>
      </c>
      <c r="C66" s="1149"/>
      <c r="D66" s="1149"/>
      <c r="E66" s="1156"/>
      <c r="F66" s="1157"/>
      <c r="G66" s="1157"/>
      <c r="H66" s="1157"/>
      <c r="I66" s="1157"/>
      <c r="J66" s="1157"/>
      <c r="K66" s="1157"/>
      <c r="L66" s="1157"/>
      <c r="M66" s="1157"/>
      <c r="N66" s="1157"/>
      <c r="O66" s="1157"/>
      <c r="P66" s="1157"/>
      <c r="Q66" s="1157"/>
      <c r="R66" s="1157"/>
      <c r="S66" s="1157"/>
      <c r="T66" s="1157"/>
      <c r="U66" s="1158"/>
    </row>
    <row r="67" spans="2:21" s="1159" customFormat="1" ht="13.5" thickBot="1">
      <c r="B67" s="1183"/>
      <c r="C67" s="1149"/>
      <c r="D67" s="1149"/>
      <c r="E67" s="1156"/>
      <c r="F67" s="1157"/>
      <c r="G67" s="1157"/>
      <c r="H67" s="1157"/>
      <c r="I67" s="1157"/>
      <c r="J67" s="1157"/>
      <c r="K67" s="1157"/>
      <c r="L67" s="1157"/>
      <c r="M67" s="1157"/>
      <c r="N67" s="1157"/>
      <c r="O67" s="1157"/>
      <c r="P67" s="1157"/>
      <c r="Q67" s="1157"/>
      <c r="R67" s="1157"/>
      <c r="S67" s="1157"/>
      <c r="T67" s="1157"/>
      <c r="U67" s="1158"/>
    </row>
    <row r="68" spans="2:21" ht="14.25" thickTop="1" thickBot="1">
      <c r="B68" s="1188" t="s">
        <v>1596</v>
      </c>
      <c r="C68" s="1164"/>
      <c r="D68" s="1140"/>
      <c r="E68" s="1140"/>
      <c r="F68" s="1140"/>
      <c r="G68" s="1140"/>
      <c r="H68" s="1140"/>
      <c r="I68" s="1140"/>
      <c r="J68" s="1140"/>
      <c r="K68" s="1140"/>
      <c r="L68" s="1140"/>
      <c r="M68" s="1140"/>
      <c r="N68" s="1140"/>
      <c r="O68" s="1140"/>
      <c r="P68" s="1140"/>
      <c r="Q68" s="1140"/>
      <c r="R68" s="1140"/>
      <c r="S68" s="1140"/>
      <c r="T68" s="1140"/>
      <c r="U68" s="1141"/>
    </row>
    <row r="69" spans="2:21" ht="14.25" thickTop="1" thickBot="1">
      <c r="B69" s="1163" t="s">
        <v>1597</v>
      </c>
      <c r="C69" s="1164"/>
      <c r="D69" s="1140"/>
      <c r="E69" s="1140"/>
      <c r="F69" s="1140"/>
      <c r="G69" s="1140"/>
      <c r="H69" s="1140"/>
      <c r="I69" s="1140"/>
      <c r="J69" s="1140"/>
      <c r="K69" s="1140"/>
      <c r="L69" s="1140"/>
      <c r="M69" s="1140"/>
      <c r="N69" s="1140"/>
      <c r="O69" s="1140"/>
      <c r="P69" s="1140"/>
      <c r="Q69" s="1140"/>
      <c r="R69" s="1140"/>
      <c r="S69" s="1140"/>
      <c r="T69" s="1140"/>
      <c r="U69" s="1141"/>
    </row>
    <row r="70" spans="2:21" ht="14.25" thickTop="1" thickBot="1">
      <c r="B70" s="1163"/>
      <c r="C70" s="1164"/>
      <c r="D70" s="1140"/>
      <c r="E70" s="1140"/>
      <c r="F70" s="1140"/>
      <c r="G70" s="1140"/>
      <c r="H70" s="1140"/>
      <c r="I70" s="1140"/>
      <c r="J70" s="1140"/>
      <c r="K70" s="1140"/>
      <c r="L70" s="1140"/>
      <c r="M70" s="1140"/>
      <c r="N70" s="1140"/>
      <c r="O70" s="1140"/>
      <c r="P70" s="1140"/>
      <c r="Q70" s="1140"/>
      <c r="R70" s="1140"/>
      <c r="S70" s="1140"/>
      <c r="T70" s="1140"/>
      <c r="U70" s="1141"/>
    </row>
    <row r="71" spans="2:21" ht="14.25" thickTop="1" thickBot="1">
      <c r="B71" s="1188" t="s">
        <v>1327</v>
      </c>
      <c r="C71" s="1164"/>
      <c r="D71" s="1140"/>
      <c r="E71" s="1140"/>
      <c r="F71" s="1140"/>
      <c r="G71" s="1140"/>
      <c r="H71" s="1140"/>
      <c r="I71" s="1140"/>
      <c r="J71" s="1140"/>
      <c r="K71" s="1140"/>
      <c r="L71" s="1140"/>
      <c r="M71" s="1140"/>
      <c r="N71" s="1140"/>
      <c r="O71" s="1140"/>
      <c r="P71" s="1140"/>
      <c r="Q71" s="1140"/>
      <c r="R71" s="1140"/>
      <c r="S71" s="1140"/>
      <c r="T71" s="1140"/>
      <c r="U71" s="1141"/>
    </row>
    <row r="72" spans="2:21" ht="14.25" thickTop="1" thickBot="1">
      <c r="B72" s="1187" t="s">
        <v>1600</v>
      </c>
      <c r="C72" s="1164"/>
      <c r="D72" s="1140"/>
      <c r="E72" s="1140"/>
      <c r="F72" s="1140"/>
      <c r="G72" s="1140"/>
      <c r="H72" s="1140"/>
      <c r="I72" s="1140"/>
      <c r="J72" s="1140"/>
      <c r="K72" s="1140"/>
      <c r="L72" s="1140"/>
      <c r="M72" s="1140"/>
      <c r="N72" s="1140"/>
      <c r="O72" s="1140"/>
      <c r="P72" s="1140"/>
      <c r="Q72" s="1140"/>
      <c r="R72" s="1140"/>
      <c r="S72" s="1140"/>
      <c r="T72" s="1140"/>
      <c r="U72" s="1141"/>
    </row>
    <row r="73" spans="2:21" ht="14.25" thickTop="1" thickBot="1">
      <c r="B73" s="1163"/>
      <c r="C73" s="1164"/>
      <c r="D73" s="1140"/>
      <c r="E73" s="1140"/>
      <c r="F73" s="1140"/>
      <c r="G73" s="1140"/>
      <c r="H73" s="1140"/>
      <c r="I73" s="1140"/>
      <c r="J73" s="1140"/>
      <c r="K73" s="1140"/>
      <c r="L73" s="1140"/>
      <c r="M73" s="1140"/>
      <c r="N73" s="1140"/>
      <c r="O73" s="1140"/>
      <c r="P73" s="1140"/>
      <c r="Q73" s="1140"/>
      <c r="R73" s="1140"/>
      <c r="S73" s="1140"/>
      <c r="T73" s="1140"/>
      <c r="U73" s="1141"/>
    </row>
    <row r="74" spans="2:21" ht="14.25" thickTop="1" thickBot="1">
      <c r="B74" s="1202" t="s">
        <v>1599</v>
      </c>
      <c r="C74" s="1164"/>
      <c r="D74" s="1140"/>
      <c r="E74" s="1140"/>
      <c r="F74" s="1140"/>
      <c r="G74" s="1140"/>
      <c r="H74" s="1140"/>
      <c r="I74" s="1140"/>
      <c r="J74" s="1140"/>
      <c r="K74" s="1140"/>
      <c r="L74" s="1140"/>
      <c r="M74" s="1140"/>
      <c r="N74" s="1140"/>
      <c r="O74" s="1140"/>
      <c r="P74" s="1140"/>
      <c r="Q74" s="1140"/>
      <c r="R74" s="1140"/>
      <c r="S74" s="1140"/>
      <c r="T74" s="1140"/>
      <c r="U74" s="1141"/>
    </row>
    <row r="75" spans="2:21" ht="14.25" thickTop="1" thickBot="1">
      <c r="B75" s="1187" t="s">
        <v>1598</v>
      </c>
      <c r="C75" s="1164"/>
      <c r="D75" s="1140"/>
      <c r="E75" s="1140"/>
      <c r="F75" s="1140"/>
      <c r="G75" s="1140"/>
      <c r="H75" s="1140"/>
      <c r="I75" s="1140"/>
      <c r="J75" s="1140"/>
      <c r="K75" s="1140"/>
      <c r="L75" s="1140"/>
      <c r="M75" s="1140"/>
      <c r="N75" s="1140"/>
      <c r="O75" s="1140"/>
      <c r="P75" s="1140"/>
      <c r="Q75" s="1140"/>
      <c r="R75" s="1140"/>
      <c r="S75" s="1140"/>
      <c r="T75" s="1140"/>
      <c r="U75" s="1141"/>
    </row>
    <row r="76" spans="2:21" ht="14.25" thickTop="1" thickBot="1">
      <c r="B76" s="1163"/>
      <c r="C76" s="1164"/>
      <c r="D76" s="1140"/>
      <c r="E76" s="1140"/>
      <c r="F76" s="1140"/>
      <c r="G76" s="1140"/>
      <c r="H76" s="1140"/>
      <c r="I76" s="1140"/>
      <c r="J76" s="1140"/>
      <c r="K76" s="1140"/>
      <c r="L76" s="1140"/>
      <c r="M76" s="1140"/>
      <c r="N76" s="1140"/>
      <c r="O76" s="1140"/>
      <c r="P76" s="1140"/>
      <c r="Q76" s="1140"/>
      <c r="R76" s="1140"/>
      <c r="S76" s="1140"/>
      <c r="T76" s="1140"/>
      <c r="U76" s="1141"/>
    </row>
    <row r="77" spans="2:21" ht="14.25" thickTop="1" thickBot="1">
      <c r="B77" s="1188" t="s">
        <v>1601</v>
      </c>
      <c r="C77" s="1164"/>
      <c r="D77" s="1140"/>
      <c r="E77" s="1140"/>
      <c r="F77" s="1140"/>
      <c r="G77" s="1140"/>
      <c r="H77" s="1140"/>
      <c r="I77" s="1140"/>
      <c r="J77" s="1140"/>
      <c r="K77" s="1140"/>
      <c r="L77" s="1140"/>
      <c r="M77" s="1140"/>
      <c r="N77" s="1140"/>
      <c r="O77" s="1140"/>
      <c r="P77" s="1140"/>
      <c r="Q77" s="1140"/>
      <c r="R77" s="1140"/>
      <c r="S77" s="1140"/>
      <c r="T77" s="1140"/>
      <c r="U77" s="1141"/>
    </row>
    <row r="78" spans="2:21" ht="14.25" thickTop="1" thickBot="1">
      <c r="B78" s="1163" t="s">
        <v>1602</v>
      </c>
      <c r="C78" s="1164"/>
      <c r="D78" s="1140"/>
      <c r="E78" s="1140"/>
      <c r="F78" s="1140"/>
      <c r="G78" s="1140"/>
      <c r="H78" s="1140"/>
      <c r="I78" s="1140"/>
      <c r="J78" s="1140"/>
      <c r="K78" s="1140"/>
      <c r="L78" s="1140"/>
      <c r="M78" s="1140"/>
      <c r="N78" s="1140"/>
      <c r="O78" s="1140"/>
      <c r="P78" s="1140"/>
      <c r="Q78" s="1140"/>
      <c r="R78" s="1140"/>
      <c r="S78" s="1140"/>
      <c r="T78" s="1140"/>
      <c r="U78" s="1141"/>
    </row>
    <row r="79" spans="2:21" ht="14.25" thickTop="1" thickBot="1">
      <c r="B79" s="1163"/>
      <c r="C79" s="1164"/>
      <c r="D79" s="1140"/>
      <c r="E79" s="1140"/>
      <c r="F79" s="1140"/>
      <c r="G79" s="1140"/>
      <c r="H79" s="1140"/>
      <c r="I79" s="1140"/>
      <c r="J79" s="1140"/>
      <c r="K79" s="1140"/>
      <c r="L79" s="1140"/>
      <c r="M79" s="1140"/>
      <c r="N79" s="1140"/>
      <c r="O79" s="1140"/>
      <c r="P79" s="1140"/>
      <c r="Q79" s="1140"/>
      <c r="R79" s="1140"/>
      <c r="S79" s="1140"/>
      <c r="T79" s="1140"/>
      <c r="U79" s="1141"/>
    </row>
    <row r="80" spans="2:21" ht="14.25" thickTop="1" thickBot="1">
      <c r="B80" s="1163"/>
      <c r="C80" s="1164"/>
      <c r="D80" s="1140"/>
      <c r="E80" s="1140"/>
      <c r="F80" s="1140"/>
      <c r="G80" s="1140"/>
      <c r="H80" s="1140"/>
      <c r="I80" s="1140"/>
      <c r="J80" s="1140"/>
      <c r="K80" s="1140"/>
      <c r="L80" s="1140"/>
      <c r="M80" s="1140"/>
      <c r="N80" s="1140"/>
      <c r="O80" s="1140"/>
      <c r="P80" s="1140"/>
      <c r="Q80" s="1140"/>
      <c r="R80" s="1140"/>
      <c r="S80" s="1140"/>
      <c r="T80" s="1140"/>
      <c r="U80" s="1141"/>
    </row>
    <row r="81" spans="2:21" ht="14.25" thickTop="1" thickBot="1">
      <c r="B81" s="1163"/>
      <c r="C81" s="1164"/>
      <c r="D81" s="1140"/>
      <c r="E81" s="1140"/>
      <c r="F81" s="1140"/>
      <c r="G81" s="1140"/>
      <c r="H81" s="1140"/>
      <c r="I81" s="1140"/>
      <c r="J81" s="1140"/>
      <c r="K81" s="1140"/>
      <c r="L81" s="1140"/>
      <c r="M81" s="1140"/>
      <c r="N81" s="1140"/>
      <c r="O81" s="1140"/>
      <c r="P81" s="1140"/>
      <c r="Q81" s="1140"/>
      <c r="R81" s="1140"/>
      <c r="S81" s="1140"/>
      <c r="T81" s="1140"/>
      <c r="U81" s="1141"/>
    </row>
    <row r="82" spans="2:21" ht="14.25" thickTop="1" thickBot="1">
      <c r="B82" s="1163"/>
      <c r="C82" s="1164"/>
      <c r="D82" s="1140"/>
      <c r="E82" s="1140"/>
      <c r="F82" s="1140"/>
      <c r="G82" s="1140"/>
      <c r="H82" s="1140"/>
      <c r="I82" s="1140"/>
      <c r="J82" s="1140"/>
      <c r="K82" s="1140"/>
      <c r="L82" s="1140"/>
      <c r="M82" s="1140"/>
      <c r="N82" s="1140"/>
      <c r="O82" s="1140"/>
      <c r="P82" s="1140"/>
      <c r="Q82" s="1140"/>
      <c r="R82" s="1140"/>
      <c r="S82" s="1140"/>
      <c r="T82" s="1140"/>
      <c r="U82" s="1141"/>
    </row>
    <row r="83" spans="2:21" ht="14.25" thickTop="1" thickBot="1">
      <c r="B83" s="1163"/>
      <c r="C83" s="1164"/>
      <c r="D83" s="1140"/>
      <c r="E83" s="1140"/>
      <c r="F83" s="1140"/>
      <c r="G83" s="1140"/>
      <c r="H83" s="1140"/>
      <c r="I83" s="1140"/>
      <c r="J83" s="1140"/>
      <c r="K83" s="1140"/>
      <c r="L83" s="1140"/>
      <c r="M83" s="1140"/>
      <c r="N83" s="1140"/>
      <c r="O83" s="1140"/>
      <c r="P83" s="1140"/>
      <c r="Q83" s="1140"/>
      <c r="R83" s="1140"/>
      <c r="S83" s="1140"/>
      <c r="T83" s="1140"/>
      <c r="U83" s="1141"/>
    </row>
    <row r="84" spans="2:21" ht="14.25" thickTop="1" thickBot="1">
      <c r="B84" s="1163"/>
      <c r="C84" s="1164"/>
      <c r="D84" s="1140"/>
      <c r="E84" s="1140"/>
      <c r="F84" s="1140"/>
      <c r="G84" s="1140"/>
      <c r="H84" s="1140"/>
      <c r="I84" s="1140"/>
      <c r="J84" s="1140"/>
      <c r="K84" s="1140"/>
      <c r="L84" s="1140"/>
      <c r="M84" s="1140"/>
      <c r="N84" s="1140"/>
      <c r="O84" s="1140"/>
      <c r="P84" s="1140"/>
      <c r="Q84" s="1140"/>
      <c r="R84" s="1140"/>
      <c r="S84" s="1140"/>
      <c r="T84" s="1140"/>
      <c r="U84" s="1141"/>
    </row>
    <row r="85" spans="2:21" ht="14.25" thickTop="1" thickBot="1">
      <c r="B85" s="1163"/>
      <c r="C85" s="1164"/>
      <c r="D85" s="1140"/>
      <c r="E85" s="1140"/>
      <c r="F85" s="1140"/>
      <c r="G85" s="1140"/>
      <c r="H85" s="1140"/>
      <c r="I85" s="1140"/>
      <c r="J85" s="1140"/>
      <c r="K85" s="1140"/>
      <c r="L85" s="1140"/>
      <c r="M85" s="1140"/>
      <c r="N85" s="1140"/>
      <c r="O85" s="1140"/>
      <c r="P85" s="1140"/>
      <c r="Q85" s="1140"/>
      <c r="R85" s="1140"/>
      <c r="S85" s="1140"/>
      <c r="T85" s="1140"/>
      <c r="U85" s="1141"/>
    </row>
    <row r="86" spans="2:21" ht="14.25" thickTop="1" thickBot="1">
      <c r="B86" s="1163"/>
      <c r="C86" s="1164"/>
      <c r="D86" s="1140"/>
      <c r="E86" s="1140"/>
      <c r="F86" s="1140"/>
      <c r="G86" s="1140"/>
      <c r="H86" s="1140"/>
      <c r="I86" s="1140"/>
      <c r="J86" s="1140"/>
      <c r="K86" s="1140"/>
      <c r="L86" s="1140"/>
      <c r="M86" s="1140"/>
      <c r="N86" s="1140"/>
      <c r="O86" s="1140"/>
      <c r="P86" s="1140"/>
      <c r="Q86" s="1140"/>
      <c r="R86" s="1140"/>
      <c r="S86" s="1140"/>
      <c r="T86" s="1140"/>
      <c r="U86" s="1141"/>
    </row>
    <row r="87" spans="2:21" ht="14.25" thickTop="1" thickBot="1">
      <c r="B87" s="1163"/>
      <c r="C87" s="1164"/>
      <c r="D87" s="1140"/>
      <c r="E87" s="1140"/>
      <c r="F87" s="1140"/>
      <c r="G87" s="1140"/>
      <c r="H87" s="1140"/>
      <c r="I87" s="1140"/>
      <c r="J87" s="1140"/>
      <c r="K87" s="1140"/>
      <c r="L87" s="1140"/>
      <c r="M87" s="1140"/>
      <c r="N87" s="1140"/>
      <c r="O87" s="1140"/>
      <c r="P87" s="1140"/>
      <c r="Q87" s="1140"/>
      <c r="R87" s="1140"/>
      <c r="S87" s="1140"/>
      <c r="T87" s="1140"/>
      <c r="U87" s="1141"/>
    </row>
    <row r="88" spans="2:21" ht="14.25" thickTop="1" thickBot="1">
      <c r="B88" s="1163"/>
      <c r="C88" s="1164"/>
      <c r="D88" s="1140"/>
      <c r="E88" s="1140"/>
      <c r="F88" s="1140"/>
      <c r="G88" s="1140"/>
      <c r="H88" s="1140"/>
      <c r="I88" s="1140"/>
      <c r="J88" s="1140"/>
      <c r="K88" s="1140"/>
      <c r="L88" s="1140"/>
      <c r="M88" s="1140"/>
      <c r="N88" s="1140"/>
      <c r="O88" s="1140"/>
      <c r="P88" s="1140"/>
      <c r="Q88" s="1140"/>
      <c r="R88" s="1140"/>
      <c r="S88" s="1140"/>
      <c r="T88" s="1140"/>
      <c r="U88" s="1141"/>
    </row>
    <row r="89" spans="2:21" ht="14.25" thickTop="1" thickBot="1">
      <c r="B89" s="1163"/>
      <c r="C89" s="1164"/>
      <c r="D89" s="1140"/>
      <c r="E89" s="1140"/>
      <c r="F89" s="1140"/>
      <c r="G89" s="1140"/>
      <c r="H89" s="1140"/>
      <c r="I89" s="1140"/>
      <c r="J89" s="1140"/>
      <c r="K89" s="1140"/>
      <c r="L89" s="1140"/>
      <c r="M89" s="1140"/>
      <c r="N89" s="1140"/>
      <c r="O89" s="1140"/>
      <c r="P89" s="1140"/>
      <c r="Q89" s="1140"/>
      <c r="R89" s="1140"/>
      <c r="S89" s="1140"/>
      <c r="T89" s="1140"/>
      <c r="U89" s="1141"/>
    </row>
    <row r="90" spans="2:21" ht="14.25" thickTop="1" thickBot="1">
      <c r="B90" s="1163"/>
      <c r="C90" s="1164"/>
      <c r="D90" s="1140"/>
      <c r="E90" s="1140"/>
      <c r="F90" s="1140"/>
      <c r="G90" s="1140"/>
      <c r="H90" s="1140"/>
      <c r="I90" s="1140"/>
      <c r="J90" s="1140"/>
      <c r="K90" s="1140"/>
      <c r="L90" s="1140"/>
      <c r="M90" s="1140"/>
      <c r="N90" s="1140"/>
      <c r="O90" s="1140"/>
      <c r="P90" s="1140"/>
      <c r="Q90" s="1140"/>
      <c r="R90" s="1140"/>
      <c r="S90" s="1140"/>
      <c r="T90" s="1140"/>
      <c r="U90" s="1141"/>
    </row>
    <row r="91" spans="2:21" ht="14.25" thickTop="1" thickBot="1">
      <c r="B91" s="1163"/>
      <c r="C91" s="1164"/>
      <c r="D91" s="1140"/>
      <c r="E91" s="1140"/>
      <c r="F91" s="1140"/>
      <c r="G91" s="1140"/>
      <c r="H91" s="1140"/>
      <c r="I91" s="1140"/>
      <c r="J91" s="1140"/>
      <c r="K91" s="1140"/>
      <c r="L91" s="1140"/>
      <c r="M91" s="1140"/>
      <c r="N91" s="1140"/>
      <c r="O91" s="1140"/>
      <c r="P91" s="1140"/>
      <c r="Q91" s="1140"/>
      <c r="R91" s="1140"/>
      <c r="S91" s="1140"/>
      <c r="T91" s="1140"/>
      <c r="U91" s="1141"/>
    </row>
    <row r="92" spans="2:21" ht="14.25" thickTop="1" thickBot="1">
      <c r="B92" s="1163"/>
      <c r="C92" s="1164"/>
      <c r="D92" s="1140"/>
      <c r="E92" s="1140"/>
      <c r="F92" s="1140"/>
      <c r="G92" s="1140"/>
      <c r="H92" s="1140"/>
      <c r="I92" s="1140"/>
      <c r="J92" s="1140"/>
      <c r="K92" s="1140"/>
      <c r="L92" s="1140"/>
      <c r="M92" s="1140"/>
      <c r="N92" s="1140"/>
      <c r="O92" s="1140"/>
      <c r="P92" s="1140"/>
      <c r="Q92" s="1140"/>
      <c r="R92" s="1140"/>
      <c r="S92" s="1140"/>
      <c r="T92" s="1140"/>
      <c r="U92" s="1141"/>
    </row>
    <row r="93" spans="2:21" ht="14.25" thickTop="1" thickBot="1">
      <c r="B93" s="1163"/>
      <c r="C93" s="1164"/>
      <c r="D93" s="1140"/>
      <c r="E93" s="1140"/>
      <c r="F93" s="1140"/>
      <c r="G93" s="1140"/>
      <c r="H93" s="1140"/>
      <c r="I93" s="1140"/>
      <c r="J93" s="1140"/>
      <c r="K93" s="1140"/>
      <c r="L93" s="1140"/>
      <c r="M93" s="1140"/>
      <c r="N93" s="1140"/>
      <c r="O93" s="1140"/>
      <c r="P93" s="1140"/>
      <c r="Q93" s="1140"/>
      <c r="R93" s="1140"/>
      <c r="S93" s="1140"/>
      <c r="T93" s="1140"/>
      <c r="U93" s="1141"/>
    </row>
    <row r="94" spans="2:21" ht="14.25" thickTop="1" thickBot="1">
      <c r="B94" s="1163"/>
      <c r="C94" s="1164"/>
      <c r="D94" s="1140"/>
      <c r="E94" s="1140"/>
      <c r="F94" s="1140"/>
      <c r="G94" s="1140"/>
      <c r="H94" s="1140"/>
      <c r="I94" s="1140"/>
      <c r="J94" s="1140"/>
      <c r="K94" s="1140"/>
      <c r="L94" s="1140"/>
      <c r="M94" s="1140"/>
      <c r="N94" s="1140"/>
      <c r="O94" s="1140"/>
      <c r="P94" s="1140"/>
      <c r="Q94" s="1140"/>
      <c r="R94" s="1140"/>
      <c r="S94" s="1140"/>
      <c r="T94" s="1140"/>
      <c r="U94" s="1141"/>
    </row>
    <row r="95" spans="2:21" ht="14.25" thickTop="1" thickBot="1">
      <c r="B95" s="1163"/>
      <c r="C95" s="1164"/>
      <c r="D95" s="1140"/>
      <c r="E95" s="1140"/>
      <c r="F95" s="1140"/>
      <c r="G95" s="1140"/>
      <c r="H95" s="1140"/>
      <c r="I95" s="1140"/>
      <c r="J95" s="1140"/>
      <c r="K95" s="1140"/>
      <c r="L95" s="1140"/>
      <c r="M95" s="1140"/>
      <c r="N95" s="1140"/>
      <c r="O95" s="1140"/>
      <c r="P95" s="1140"/>
      <c r="Q95" s="1140"/>
      <c r="R95" s="1140"/>
      <c r="S95" s="1140"/>
      <c r="T95" s="1140"/>
      <c r="U95" s="1141"/>
    </row>
    <row r="96" spans="2:21" ht="14.25" thickTop="1" thickBot="1">
      <c r="B96" s="1163"/>
      <c r="C96" s="1164"/>
      <c r="D96" s="1140"/>
      <c r="E96" s="1140"/>
      <c r="F96" s="1140"/>
      <c r="G96" s="1140"/>
      <c r="H96" s="1140"/>
      <c r="I96" s="1140"/>
      <c r="J96" s="1140"/>
      <c r="K96" s="1140"/>
      <c r="L96" s="1140"/>
      <c r="M96" s="1140"/>
      <c r="N96" s="1140"/>
      <c r="O96" s="1140"/>
      <c r="P96" s="1140"/>
      <c r="Q96" s="1140"/>
      <c r="R96" s="1140"/>
      <c r="S96" s="1140"/>
      <c r="T96" s="1140"/>
      <c r="U96" s="1141"/>
    </row>
    <row r="97" spans="2:21" ht="14.25" thickTop="1" thickBot="1">
      <c r="B97" s="1163"/>
      <c r="C97" s="1164"/>
      <c r="D97" s="1140"/>
      <c r="E97" s="1140"/>
      <c r="F97" s="1140"/>
      <c r="G97" s="1140"/>
      <c r="H97" s="1140"/>
      <c r="I97" s="1140"/>
      <c r="J97" s="1140"/>
      <c r="K97" s="1140"/>
      <c r="L97" s="1140"/>
      <c r="M97" s="1140"/>
      <c r="N97" s="1140"/>
      <c r="O97" s="1140"/>
      <c r="P97" s="1140"/>
      <c r="Q97" s="1140"/>
      <c r="R97" s="1140"/>
      <c r="S97" s="1140"/>
      <c r="T97" s="1140"/>
      <c r="U97" s="1141"/>
    </row>
    <row r="98" spans="2:21" ht="14.25" thickTop="1" thickBot="1">
      <c r="B98" s="1163"/>
      <c r="C98" s="1164"/>
      <c r="D98" s="1140"/>
      <c r="E98" s="1140"/>
      <c r="F98" s="1140"/>
      <c r="G98" s="1140"/>
      <c r="H98" s="1140"/>
      <c r="I98" s="1140"/>
      <c r="J98" s="1140"/>
      <c r="K98" s="1140"/>
      <c r="L98" s="1140"/>
      <c r="M98" s="1140"/>
      <c r="N98" s="1140"/>
      <c r="O98" s="1140"/>
      <c r="P98" s="1140"/>
      <c r="Q98" s="1140"/>
      <c r="R98" s="1140"/>
      <c r="S98" s="1140"/>
      <c r="T98" s="1140"/>
      <c r="U98" s="1141"/>
    </row>
    <row r="99" spans="2:21" ht="14.25" thickTop="1" thickBot="1">
      <c r="B99" s="1163"/>
      <c r="C99" s="1164"/>
      <c r="D99" s="1140"/>
      <c r="E99" s="1140"/>
      <c r="F99" s="1140"/>
      <c r="G99" s="1140"/>
      <c r="H99" s="1140"/>
      <c r="I99" s="1140"/>
      <c r="J99" s="1140"/>
      <c r="K99" s="1140"/>
      <c r="L99" s="1140"/>
      <c r="M99" s="1140"/>
      <c r="N99" s="1140"/>
      <c r="O99" s="1140"/>
      <c r="P99" s="1140"/>
      <c r="Q99" s="1140"/>
      <c r="R99" s="1140"/>
      <c r="S99" s="1140"/>
      <c r="T99" s="1140"/>
      <c r="U99" s="1141"/>
    </row>
    <row r="100" spans="2:21" ht="14.25" thickTop="1" thickBot="1">
      <c r="B100" s="1163"/>
      <c r="C100" s="1164"/>
      <c r="D100" s="1140"/>
      <c r="E100" s="1140"/>
      <c r="F100" s="1140"/>
      <c r="G100" s="1140"/>
      <c r="H100" s="1140"/>
      <c r="I100" s="1140"/>
      <c r="J100" s="1140"/>
      <c r="K100" s="1140"/>
      <c r="L100" s="1140"/>
      <c r="M100" s="1140"/>
      <c r="N100" s="1140"/>
      <c r="O100" s="1140"/>
      <c r="P100" s="1140"/>
      <c r="Q100" s="1140"/>
      <c r="R100" s="1140"/>
      <c r="S100" s="1140"/>
      <c r="T100" s="1140"/>
      <c r="U100" s="1141"/>
    </row>
    <row r="101" spans="2:21" ht="14.25" thickTop="1" thickBot="1">
      <c r="B101" s="1163"/>
      <c r="C101" s="1164"/>
      <c r="D101" s="1140"/>
      <c r="E101" s="1140"/>
      <c r="F101" s="1140"/>
      <c r="G101" s="1140"/>
      <c r="H101" s="1140"/>
      <c r="I101" s="1140"/>
      <c r="J101" s="1140"/>
      <c r="K101" s="1140"/>
      <c r="L101" s="1140"/>
      <c r="M101" s="1140"/>
      <c r="N101" s="1140"/>
      <c r="O101" s="1140"/>
      <c r="P101" s="1140"/>
      <c r="Q101" s="1140"/>
      <c r="R101" s="1140"/>
      <c r="S101" s="1140"/>
      <c r="T101" s="1140"/>
      <c r="U101" s="1141"/>
    </row>
    <row r="102" spans="2:21" ht="14.25" thickTop="1" thickBot="1">
      <c r="B102" s="1163"/>
      <c r="C102" s="1164"/>
      <c r="D102" s="1140"/>
      <c r="E102" s="1140"/>
      <c r="F102" s="1140"/>
      <c r="G102" s="1140"/>
      <c r="H102" s="1140"/>
      <c r="I102" s="1140"/>
      <c r="J102" s="1140"/>
      <c r="K102" s="1140"/>
      <c r="L102" s="1140"/>
      <c r="M102" s="1140"/>
      <c r="N102" s="1140"/>
      <c r="O102" s="1140"/>
      <c r="P102" s="1140"/>
      <c r="Q102" s="1140"/>
      <c r="R102" s="1140"/>
      <c r="S102" s="1140"/>
      <c r="T102" s="1140"/>
      <c r="U102" s="1141"/>
    </row>
    <row r="103" spans="2:21" ht="14.25" thickTop="1" thickBot="1">
      <c r="B103" s="1163"/>
      <c r="C103" s="1164"/>
      <c r="D103" s="1140"/>
      <c r="E103" s="1140"/>
      <c r="F103" s="1140"/>
      <c r="G103" s="1140"/>
      <c r="H103" s="1140"/>
      <c r="I103" s="1140"/>
      <c r="J103" s="1140"/>
      <c r="K103" s="1140"/>
      <c r="L103" s="1140"/>
      <c r="M103" s="1140"/>
      <c r="N103" s="1140"/>
      <c r="O103" s="1140"/>
      <c r="P103" s="1140"/>
      <c r="Q103" s="1140"/>
      <c r="R103" s="1140"/>
      <c r="S103" s="1140"/>
      <c r="T103" s="1140"/>
      <c r="U103" s="1141"/>
    </row>
    <row r="104" spans="2:21" ht="14.25" thickTop="1" thickBot="1">
      <c r="B104" s="1163"/>
      <c r="C104" s="1164"/>
      <c r="D104" s="1140"/>
      <c r="E104" s="1140"/>
      <c r="F104" s="1140"/>
      <c r="G104" s="1140"/>
      <c r="H104" s="1140"/>
      <c r="I104" s="1140"/>
      <c r="J104" s="1140"/>
      <c r="K104" s="1140"/>
      <c r="L104" s="1140"/>
      <c r="M104" s="1140"/>
      <c r="N104" s="1140"/>
      <c r="O104" s="1140"/>
      <c r="P104" s="1140"/>
      <c r="Q104" s="1140"/>
      <c r="R104" s="1140"/>
      <c r="S104" s="1140"/>
      <c r="T104" s="1140"/>
      <c r="U104" s="1141"/>
    </row>
    <row r="105" spans="2:21" ht="14.25" thickTop="1" thickBot="1">
      <c r="B105" s="1163"/>
      <c r="C105" s="1164"/>
      <c r="D105" s="1140"/>
      <c r="E105" s="1140"/>
      <c r="F105" s="1140"/>
      <c r="G105" s="1140"/>
      <c r="H105" s="1140"/>
      <c r="I105" s="1140"/>
      <c r="J105" s="1140"/>
      <c r="K105" s="1140"/>
      <c r="L105" s="1140"/>
      <c r="M105" s="1140"/>
      <c r="N105" s="1140"/>
      <c r="O105" s="1140"/>
      <c r="P105" s="1140"/>
      <c r="Q105" s="1140"/>
      <c r="R105" s="1140"/>
      <c r="S105" s="1140"/>
      <c r="T105" s="1140"/>
      <c r="U105" s="1141"/>
    </row>
    <row r="106" spans="2:21" ht="14.25" thickTop="1" thickBot="1">
      <c r="B106" s="1163"/>
      <c r="C106" s="1164"/>
      <c r="D106" s="1140"/>
      <c r="E106" s="1140"/>
      <c r="F106" s="1140"/>
      <c r="G106" s="1140"/>
      <c r="H106" s="1140"/>
      <c r="I106" s="1140"/>
      <c r="J106" s="1140"/>
      <c r="K106" s="1140"/>
      <c r="L106" s="1140"/>
      <c r="M106" s="1140"/>
      <c r="N106" s="1140"/>
      <c r="O106" s="1140"/>
      <c r="P106" s="1140"/>
      <c r="Q106" s="1140"/>
      <c r="R106" s="1140"/>
      <c r="S106" s="1140"/>
      <c r="T106" s="1140"/>
      <c r="U106" s="1141"/>
    </row>
    <row r="107" spans="2:21" ht="14.25" thickTop="1" thickBot="1">
      <c r="B107" s="1163"/>
      <c r="C107" s="1164"/>
      <c r="D107" s="1140"/>
      <c r="E107" s="1140"/>
      <c r="F107" s="1140"/>
      <c r="G107" s="1140"/>
      <c r="H107" s="1140"/>
      <c r="I107" s="1140"/>
      <c r="J107" s="1140"/>
      <c r="K107" s="1140"/>
      <c r="L107" s="1140"/>
      <c r="M107" s="1140"/>
      <c r="N107" s="1140"/>
      <c r="O107" s="1140"/>
      <c r="P107" s="1140"/>
      <c r="Q107" s="1140"/>
      <c r="R107" s="1140"/>
      <c r="S107" s="1140"/>
      <c r="T107" s="1140"/>
      <c r="U107" s="1141"/>
    </row>
    <row r="108" spans="2:21" ht="14.25" thickTop="1" thickBot="1">
      <c r="B108" s="1163"/>
      <c r="C108" s="1164"/>
      <c r="D108" s="1140"/>
      <c r="E108" s="1140"/>
      <c r="F108" s="1140"/>
      <c r="G108" s="1140"/>
      <c r="H108" s="1140"/>
      <c r="I108" s="1140"/>
      <c r="J108" s="1140"/>
      <c r="K108" s="1140"/>
      <c r="L108" s="1140"/>
      <c r="M108" s="1140"/>
      <c r="N108" s="1140"/>
      <c r="O108" s="1140"/>
      <c r="P108" s="1140"/>
      <c r="Q108" s="1140"/>
      <c r="R108" s="1140"/>
      <c r="S108" s="1140"/>
      <c r="T108" s="1140"/>
      <c r="U108" s="1141"/>
    </row>
    <row r="109" spans="2:21" ht="14.25" thickTop="1" thickBot="1">
      <c r="B109" s="1163"/>
      <c r="C109" s="1164"/>
      <c r="D109" s="1140"/>
      <c r="E109" s="1140"/>
      <c r="F109" s="1140"/>
      <c r="G109" s="1140"/>
      <c r="H109" s="1140"/>
      <c r="I109" s="1140"/>
      <c r="J109" s="1140"/>
      <c r="K109" s="1140"/>
      <c r="L109" s="1140"/>
      <c r="M109" s="1140"/>
      <c r="N109" s="1140"/>
      <c r="O109" s="1140"/>
      <c r="P109" s="1140"/>
      <c r="Q109" s="1140"/>
      <c r="R109" s="1140"/>
      <c r="S109" s="1140"/>
      <c r="T109" s="1140"/>
      <c r="U109" s="1141"/>
    </row>
    <row r="110" spans="2:21" ht="14.25" thickTop="1" thickBot="1">
      <c r="B110" s="1163"/>
      <c r="C110" s="1164"/>
      <c r="D110" s="1140"/>
      <c r="E110" s="1140"/>
      <c r="F110" s="1140"/>
      <c r="G110" s="1140"/>
      <c r="H110" s="1140"/>
      <c r="I110" s="1140"/>
      <c r="J110" s="1140"/>
      <c r="K110" s="1140"/>
      <c r="L110" s="1140"/>
      <c r="M110" s="1140"/>
      <c r="N110" s="1140"/>
      <c r="O110" s="1140"/>
      <c r="P110" s="1140"/>
      <c r="Q110" s="1140"/>
      <c r="R110" s="1140"/>
      <c r="S110" s="1140"/>
      <c r="T110" s="1140"/>
      <c r="U110" s="1141"/>
    </row>
    <row r="111" spans="2:21" ht="14.25" thickTop="1" thickBot="1">
      <c r="B111" s="1163"/>
      <c r="C111" s="1164"/>
      <c r="D111" s="1140"/>
      <c r="E111" s="1140"/>
      <c r="F111" s="1140"/>
      <c r="G111" s="1140"/>
      <c r="H111" s="1140"/>
      <c r="I111" s="1140"/>
      <c r="J111" s="1140"/>
      <c r="K111" s="1140"/>
      <c r="L111" s="1140"/>
      <c r="M111" s="1140"/>
      <c r="N111" s="1140"/>
      <c r="O111" s="1140"/>
      <c r="P111" s="1140"/>
      <c r="Q111" s="1140"/>
      <c r="R111" s="1140"/>
      <c r="S111" s="1140"/>
      <c r="T111" s="1140"/>
      <c r="U111" s="1141"/>
    </row>
    <row r="112" spans="2:21" ht="14.25" thickTop="1" thickBot="1">
      <c r="B112" s="1163"/>
      <c r="C112" s="1164"/>
      <c r="D112" s="1140"/>
      <c r="E112" s="1140"/>
      <c r="F112" s="1140"/>
      <c r="G112" s="1140"/>
      <c r="H112" s="1140"/>
      <c r="I112" s="1140"/>
      <c r="J112" s="1140"/>
      <c r="K112" s="1140"/>
      <c r="L112" s="1140"/>
      <c r="M112" s="1140"/>
      <c r="N112" s="1140"/>
      <c r="O112" s="1140"/>
      <c r="P112" s="1140"/>
      <c r="Q112" s="1140"/>
      <c r="R112" s="1140"/>
      <c r="S112" s="1140"/>
      <c r="T112" s="1140"/>
      <c r="U112" s="1141"/>
    </row>
    <row r="113" spans="2:21" ht="14.25" thickTop="1" thickBot="1">
      <c r="B113" s="1163"/>
      <c r="C113" s="1164"/>
      <c r="D113" s="1140"/>
      <c r="E113" s="1140"/>
      <c r="F113" s="1140"/>
      <c r="G113" s="1140"/>
      <c r="H113" s="1140"/>
      <c r="I113" s="1140"/>
      <c r="J113" s="1140"/>
      <c r="K113" s="1140"/>
      <c r="L113" s="1140"/>
      <c r="M113" s="1140"/>
      <c r="N113" s="1140"/>
      <c r="O113" s="1140"/>
      <c r="P113" s="1140"/>
      <c r="Q113" s="1140"/>
      <c r="R113" s="1140"/>
      <c r="S113" s="1140"/>
      <c r="T113" s="1140"/>
      <c r="U113" s="1141"/>
    </row>
    <row r="114" spans="2:21" ht="14.25" thickTop="1" thickBot="1">
      <c r="B114" s="1163"/>
      <c r="C114" s="1164"/>
      <c r="D114" s="1140"/>
      <c r="E114" s="1140"/>
      <c r="F114" s="1140"/>
      <c r="G114" s="1140"/>
      <c r="H114" s="1140"/>
      <c r="I114" s="1140"/>
      <c r="J114" s="1140"/>
      <c r="K114" s="1140"/>
      <c r="L114" s="1140"/>
      <c r="M114" s="1140"/>
      <c r="N114" s="1140"/>
      <c r="O114" s="1140"/>
      <c r="P114" s="1140"/>
      <c r="Q114" s="1140"/>
      <c r="R114" s="1140"/>
      <c r="S114" s="1140"/>
      <c r="T114" s="1140"/>
      <c r="U114" s="1141"/>
    </row>
    <row r="115" spans="2:21" ht="14.25" thickTop="1" thickBot="1">
      <c r="B115" s="1163"/>
      <c r="C115" s="1164"/>
      <c r="D115" s="1140"/>
      <c r="E115" s="1140"/>
      <c r="F115" s="1140"/>
      <c r="G115" s="1140"/>
      <c r="H115" s="1140"/>
      <c r="I115" s="1140"/>
      <c r="J115" s="1140"/>
      <c r="K115" s="1140"/>
      <c r="L115" s="1140"/>
      <c r="M115" s="1140"/>
      <c r="N115" s="1140"/>
      <c r="O115" s="1140"/>
      <c r="P115" s="1140"/>
      <c r="Q115" s="1140"/>
      <c r="R115" s="1140"/>
      <c r="S115" s="1140"/>
      <c r="T115" s="1140"/>
      <c r="U115" s="1141"/>
    </row>
    <row r="116" spans="2:21" ht="14.25" thickTop="1" thickBot="1">
      <c r="B116" s="1163"/>
      <c r="C116" s="1164"/>
      <c r="D116" s="1140"/>
      <c r="E116" s="1140"/>
      <c r="F116" s="1140"/>
      <c r="G116" s="1140"/>
      <c r="H116" s="1140"/>
      <c r="I116" s="1140"/>
      <c r="J116" s="1140"/>
      <c r="K116" s="1140"/>
      <c r="L116" s="1140"/>
      <c r="M116" s="1140"/>
      <c r="N116" s="1140"/>
      <c r="O116" s="1140"/>
      <c r="P116" s="1140"/>
      <c r="Q116" s="1140"/>
      <c r="R116" s="1140"/>
      <c r="S116" s="1140"/>
      <c r="T116" s="1140"/>
      <c r="U116" s="1141"/>
    </row>
    <row r="117" spans="2:21" ht="14.25" thickTop="1" thickBot="1">
      <c r="B117" s="1163"/>
      <c r="C117" s="1164"/>
      <c r="D117" s="1140"/>
      <c r="E117" s="1140"/>
      <c r="F117" s="1140"/>
      <c r="G117" s="1140"/>
      <c r="H117" s="1140"/>
      <c r="I117" s="1140"/>
      <c r="J117" s="1140"/>
      <c r="K117" s="1140"/>
      <c r="L117" s="1140"/>
      <c r="M117" s="1140"/>
      <c r="N117" s="1140"/>
      <c r="O117" s="1140"/>
      <c r="P117" s="1140"/>
      <c r="Q117" s="1140"/>
      <c r="R117" s="1140"/>
      <c r="S117" s="1140"/>
      <c r="T117" s="1140"/>
      <c r="U117" s="1141"/>
    </row>
    <row r="118" spans="2:21" ht="14.25" thickTop="1" thickBot="1">
      <c r="B118" s="1163"/>
      <c r="C118" s="1165"/>
      <c r="D118" s="1140"/>
      <c r="E118" s="1140"/>
      <c r="F118" s="1140"/>
      <c r="G118" s="1140"/>
      <c r="H118" s="1140"/>
      <c r="I118" s="1140"/>
      <c r="J118" s="1140"/>
      <c r="K118" s="1140"/>
      <c r="L118" s="1140"/>
      <c r="M118" s="1140"/>
      <c r="N118" s="1140"/>
      <c r="O118" s="1140"/>
      <c r="P118" s="1140"/>
      <c r="Q118" s="1140"/>
      <c r="R118" s="1140"/>
      <c r="S118" s="1140"/>
      <c r="T118" s="1140"/>
      <c r="U118" s="1141"/>
    </row>
    <row r="119" spans="2:21" ht="14.25" thickTop="1" thickBot="1">
      <c r="B119" s="1163"/>
      <c r="C119" s="1166"/>
      <c r="D119" s="1148"/>
      <c r="E119" s="1148"/>
      <c r="F119" s="1148"/>
      <c r="G119" s="1148"/>
      <c r="H119" s="1148"/>
      <c r="I119" s="1148"/>
      <c r="J119" s="1148"/>
      <c r="K119" s="1148"/>
      <c r="L119" s="1148"/>
      <c r="M119" s="1148"/>
      <c r="N119" s="1148"/>
      <c r="O119" s="1148"/>
      <c r="P119" s="1148"/>
      <c r="Q119" s="1148"/>
      <c r="R119" s="1148"/>
      <c r="S119" s="1148"/>
      <c r="T119" s="1148"/>
      <c r="U119" s="1167"/>
    </row>
    <row r="120" spans="2:21" ht="14.25" thickTop="1" thickBot="1">
      <c r="B120" s="1163"/>
      <c r="C120" s="1166"/>
    </row>
    <row r="121" spans="2:21" ht="14.25" thickTop="1" thickBot="1">
      <c r="B121" s="1163"/>
      <c r="C121" s="1166"/>
    </row>
    <row r="122" spans="2:21" ht="14.25" thickTop="1" thickBot="1">
      <c r="B122" s="1163"/>
      <c r="C122" s="1166"/>
    </row>
    <row r="123" spans="2:21" ht="14.25" thickTop="1" thickBot="1">
      <c r="B123" s="1163"/>
      <c r="C123" s="1166"/>
    </row>
    <row r="124" spans="2:21" ht="14.25" thickTop="1" thickBot="1">
      <c r="B124" s="1163"/>
      <c r="C124" s="1166"/>
    </row>
    <row r="125" spans="2:21" ht="14.25" thickTop="1" thickBot="1">
      <c r="B125" s="1163"/>
      <c r="C125" s="1166"/>
    </row>
    <row r="126" spans="2:21" ht="14.25" thickTop="1" thickBot="1">
      <c r="B126" s="1163"/>
      <c r="C126" s="1166"/>
    </row>
    <row r="127" spans="2:21" ht="14.25" thickTop="1" thickBot="1">
      <c r="B127" s="1163"/>
      <c r="C127" s="1166"/>
    </row>
    <row r="128" spans="2:21" ht="14.25" thickTop="1" thickBot="1">
      <c r="B128" s="1163"/>
      <c r="C128" s="1166"/>
    </row>
    <row r="129" spans="2:3" ht="14.25" thickTop="1" thickBot="1">
      <c r="B129" s="1163"/>
      <c r="C129" s="1166"/>
    </row>
    <row r="130" spans="2:3" ht="14.25" thickTop="1" thickBot="1">
      <c r="B130" s="1163"/>
      <c r="C130" s="1166"/>
    </row>
    <row r="131" spans="2:3" ht="14.25" thickTop="1" thickBot="1">
      <c r="B131" s="1163"/>
      <c r="C131" s="1166"/>
    </row>
    <row r="132" spans="2:3" ht="14.25" thickTop="1" thickBot="1">
      <c r="B132" s="1163"/>
      <c r="C132" s="1166"/>
    </row>
    <row r="133" spans="2:3" ht="14.25" thickTop="1" thickBot="1">
      <c r="B133" s="1163"/>
      <c r="C133" s="1166"/>
    </row>
    <row r="134" spans="2:3" ht="14.25" thickTop="1" thickBot="1">
      <c r="B134" s="1163"/>
      <c r="C134" s="1166"/>
    </row>
    <row r="135" spans="2:3" ht="14.25" thickTop="1" thickBot="1">
      <c r="B135" s="1163"/>
      <c r="C135" s="1166"/>
    </row>
    <row r="136" spans="2:3" ht="14.25" thickTop="1" thickBot="1">
      <c r="B136" s="1163"/>
      <c r="C136" s="1166"/>
    </row>
    <row r="137" spans="2:3" ht="14.25" thickTop="1" thickBot="1">
      <c r="B137" s="1163"/>
      <c r="C137" s="1166"/>
    </row>
    <row r="138" spans="2:3" ht="14.25" thickTop="1" thickBot="1">
      <c r="B138" s="1163"/>
      <c r="C138" s="1166"/>
    </row>
    <row r="139" spans="2:3" ht="14.25" thickTop="1" thickBot="1">
      <c r="B139" s="1163"/>
      <c r="C139" s="1166"/>
    </row>
    <row r="140" spans="2:3" ht="14.25" thickTop="1" thickBot="1">
      <c r="B140" s="1163"/>
      <c r="C140" s="1166"/>
    </row>
    <row r="141" spans="2:3" ht="14.25" thickTop="1" thickBot="1">
      <c r="B141" s="1163"/>
      <c r="C141" s="1166"/>
    </row>
    <row r="142" spans="2:3" ht="14.25" thickTop="1" thickBot="1">
      <c r="B142" s="1163"/>
      <c r="C142" s="1166"/>
    </row>
    <row r="143" spans="2:3" ht="14.25" thickTop="1" thickBot="1">
      <c r="B143" s="1163"/>
      <c r="C143" s="1166"/>
    </row>
    <row r="144" spans="2:3" ht="14.25" thickTop="1" thickBot="1">
      <c r="B144" s="1163"/>
      <c r="C144" s="1166"/>
    </row>
    <row r="145" spans="2:3" ht="14.25" thickTop="1" thickBot="1">
      <c r="B145" s="1163"/>
      <c r="C145" s="1166"/>
    </row>
    <row r="146" spans="2:3" ht="14.25" thickTop="1" thickBot="1">
      <c r="B146" s="1163"/>
      <c r="C146" s="1166"/>
    </row>
    <row r="147" spans="2:3" ht="14.25" thickTop="1" thickBot="1">
      <c r="B147" s="1163"/>
      <c r="C147" s="1166"/>
    </row>
    <row r="148" spans="2:3" ht="14.25" thickTop="1" thickBot="1">
      <c r="B148" s="1163"/>
      <c r="C148" s="1166"/>
    </row>
    <row r="149" spans="2:3" ht="14.25" thickTop="1" thickBot="1">
      <c r="B149" s="1163"/>
      <c r="C149" s="1166"/>
    </row>
    <row r="150" spans="2:3" ht="14.25" thickTop="1" thickBot="1">
      <c r="B150" s="1163"/>
      <c r="C150" s="1166"/>
    </row>
    <row r="151" spans="2:3" ht="14.25" thickTop="1" thickBot="1">
      <c r="B151" s="1163"/>
      <c r="C151" s="1166"/>
    </row>
    <row r="152" spans="2:3" ht="14.25" thickTop="1" thickBot="1">
      <c r="B152" s="1163"/>
      <c r="C152" s="1166"/>
    </row>
    <row r="153" spans="2:3" ht="14.25" thickTop="1" thickBot="1">
      <c r="B153" s="1163"/>
      <c r="C153" s="1166"/>
    </row>
    <row r="154" spans="2:3" ht="14.25" thickTop="1" thickBot="1">
      <c r="B154" s="1163"/>
      <c r="C154" s="1166"/>
    </row>
    <row r="155" spans="2:3" ht="14.25" thickTop="1" thickBot="1">
      <c r="B155" s="1163"/>
      <c r="C155" s="1166"/>
    </row>
    <row r="156" spans="2:3" ht="14.25" thickTop="1" thickBot="1">
      <c r="B156" s="1163"/>
      <c r="C156" s="1166"/>
    </row>
    <row r="157" spans="2:3" ht="14.25" thickTop="1" thickBot="1">
      <c r="B157" s="1163"/>
      <c r="C157" s="1166"/>
    </row>
    <row r="158" spans="2:3" ht="14.25" thickTop="1" thickBot="1">
      <c r="B158" s="1163"/>
      <c r="C158" s="1166"/>
    </row>
    <row r="159" spans="2:3" ht="14.25" thickTop="1" thickBot="1">
      <c r="B159" s="1163"/>
      <c r="C159" s="1166"/>
    </row>
    <row r="160" spans="2:3" ht="14.25" thickTop="1" thickBot="1">
      <c r="B160" s="1163"/>
      <c r="C160" s="1166"/>
    </row>
    <row r="161" spans="2:3" ht="14.25" thickTop="1" thickBot="1">
      <c r="B161" s="1163"/>
      <c r="C161" s="1166"/>
    </row>
    <row r="162" spans="2:3" ht="14.25" thickTop="1" thickBot="1">
      <c r="B162" s="1163"/>
      <c r="C162" s="1166"/>
    </row>
    <row r="163" spans="2:3" ht="14.25" thickTop="1" thickBot="1">
      <c r="B163" s="1163"/>
      <c r="C163" s="1166"/>
    </row>
    <row r="164" spans="2:3" ht="14.25" thickTop="1" thickBot="1">
      <c r="B164" s="1163"/>
      <c r="C164" s="1166"/>
    </row>
    <row r="165" spans="2:3" ht="14.25" thickTop="1" thickBot="1">
      <c r="B165" s="1163"/>
      <c r="C165" s="1166"/>
    </row>
    <row r="166" spans="2:3" ht="14.25" thickTop="1" thickBot="1">
      <c r="B166" s="1163"/>
      <c r="C166" s="1166"/>
    </row>
    <row r="167" spans="2:3" ht="14.25" thickTop="1" thickBot="1">
      <c r="B167" s="1163"/>
      <c r="C167" s="1166"/>
    </row>
    <row r="168" spans="2:3" ht="14.25" thickTop="1" thickBot="1">
      <c r="B168" s="1163"/>
      <c r="C168" s="1166"/>
    </row>
    <row r="169" spans="2:3" ht="14.25" thickTop="1" thickBot="1">
      <c r="B169" s="1163"/>
      <c r="C169" s="1166"/>
    </row>
    <row r="170" spans="2:3" ht="14.25" thickTop="1" thickBot="1">
      <c r="B170" s="1163"/>
      <c r="C170" s="1166"/>
    </row>
    <row r="171" spans="2:3" ht="14.25" thickTop="1" thickBot="1">
      <c r="B171" s="1163"/>
      <c r="C171" s="1166"/>
    </row>
    <row r="172" spans="2:3" ht="14.25" thickTop="1" thickBot="1">
      <c r="B172" s="1163"/>
      <c r="C172" s="1166"/>
    </row>
    <row r="173" spans="2:3" ht="14.25" thickTop="1" thickBot="1">
      <c r="B173" s="1163"/>
      <c r="C173" s="1166"/>
    </row>
    <row r="174" spans="2:3" ht="14.25" thickTop="1" thickBot="1">
      <c r="B174" s="1163"/>
      <c r="C174" s="1166"/>
    </row>
    <row r="175" spans="2:3" ht="14.25" thickTop="1" thickBot="1">
      <c r="B175" s="1163"/>
      <c r="C175" s="1166"/>
    </row>
    <row r="176" spans="2:3" ht="14.25" thickTop="1" thickBot="1">
      <c r="B176" s="1163"/>
      <c r="C176" s="1166"/>
    </row>
    <row r="177" spans="2:3" ht="14.25" thickTop="1" thickBot="1">
      <c r="B177" s="1163"/>
      <c r="C177" s="1166"/>
    </row>
    <row r="178" spans="2:3" ht="14.25" thickTop="1" thickBot="1">
      <c r="B178" s="1163"/>
      <c r="C178" s="1166"/>
    </row>
    <row r="179" spans="2:3" ht="14.25" thickTop="1" thickBot="1">
      <c r="B179" s="1163"/>
      <c r="C179" s="1166"/>
    </row>
    <row r="180" spans="2:3" ht="14.25" thickTop="1" thickBot="1">
      <c r="B180" s="1163"/>
      <c r="C180" s="1166"/>
    </row>
    <row r="181" spans="2:3" ht="14.25" thickTop="1" thickBot="1">
      <c r="B181" s="1163"/>
      <c r="C181" s="1166"/>
    </row>
    <row r="182" spans="2:3" ht="14.25" thickTop="1" thickBot="1">
      <c r="B182" s="1163"/>
      <c r="C182" s="1166"/>
    </row>
    <row r="183" spans="2:3" ht="14.25" thickTop="1" thickBot="1">
      <c r="B183" s="1163"/>
      <c r="C183" s="1166"/>
    </row>
    <row r="184" spans="2:3" ht="14.25" thickTop="1" thickBot="1">
      <c r="B184" s="1163"/>
      <c r="C184" s="1166"/>
    </row>
    <row r="185" spans="2:3" ht="14.25" thickTop="1" thickBot="1">
      <c r="B185" s="1163"/>
      <c r="C185" s="1166"/>
    </row>
    <row r="186" spans="2:3" ht="14.25" thickTop="1" thickBot="1">
      <c r="B186" s="1163"/>
      <c r="C186" s="1166"/>
    </row>
    <row r="187" spans="2:3" ht="14.25" thickTop="1" thickBot="1">
      <c r="B187" s="1163"/>
      <c r="C187" s="1166"/>
    </row>
    <row r="188" spans="2:3" ht="14.25" thickTop="1" thickBot="1">
      <c r="B188" s="1163"/>
      <c r="C188" s="1166"/>
    </row>
    <row r="189" spans="2:3" ht="14.25" thickTop="1" thickBot="1">
      <c r="B189" s="1163"/>
      <c r="C189" s="1166"/>
    </row>
    <row r="190" spans="2:3" ht="14.25" thickTop="1" thickBot="1">
      <c r="B190" s="1163"/>
      <c r="C190" s="1166"/>
    </row>
    <row r="191" spans="2:3" ht="14.25" thickTop="1" thickBot="1">
      <c r="B191" s="1163"/>
      <c r="C191" s="1166"/>
    </row>
    <row r="192" spans="2:3" ht="14.25" thickTop="1" thickBot="1">
      <c r="B192" s="1163"/>
      <c r="C192" s="1166"/>
    </row>
    <row r="193" spans="2:3" ht="14.25" thickTop="1" thickBot="1">
      <c r="B193" s="1163"/>
      <c r="C193" s="1166"/>
    </row>
    <row r="194" spans="2:3" ht="14.25" thickTop="1" thickBot="1">
      <c r="B194" s="1163"/>
      <c r="C194" s="1166"/>
    </row>
    <row r="195" spans="2:3" ht="14.25" thickTop="1" thickBot="1">
      <c r="B195" s="1163"/>
      <c r="C195" s="1166"/>
    </row>
    <row r="196" spans="2:3" ht="14.25" thickTop="1" thickBot="1">
      <c r="B196" s="1163"/>
      <c r="C196" s="1166"/>
    </row>
    <row r="197" spans="2:3" ht="14.25" thickTop="1" thickBot="1">
      <c r="B197" s="1163"/>
      <c r="C197" s="1166"/>
    </row>
    <row r="198" spans="2:3" ht="14.25" thickTop="1" thickBot="1">
      <c r="B198" s="1163"/>
      <c r="C198" s="1166"/>
    </row>
    <row r="199" spans="2:3" ht="14.25" thickTop="1" thickBot="1">
      <c r="B199" s="1163"/>
      <c r="C199" s="1166"/>
    </row>
    <row r="200" spans="2:3" ht="14.25" thickTop="1" thickBot="1">
      <c r="B200" s="1163"/>
      <c r="C200" s="1166"/>
    </row>
    <row r="201" spans="2:3" ht="14.25" thickTop="1" thickBot="1">
      <c r="B201" s="1163"/>
      <c r="C201" s="1166"/>
    </row>
    <row r="202" spans="2:3" ht="14.25" thickTop="1" thickBot="1">
      <c r="B202" s="1163"/>
      <c r="C202" s="1166"/>
    </row>
    <row r="203" spans="2:3" ht="14.25" thickTop="1" thickBot="1">
      <c r="B203" s="1163"/>
      <c r="C203" s="1166"/>
    </row>
    <row r="204" spans="2:3" ht="14.25" thickTop="1" thickBot="1">
      <c r="B204" s="1163"/>
      <c r="C204" s="1166"/>
    </row>
    <row r="205" spans="2:3" ht="14.25" thickTop="1" thickBot="1">
      <c r="B205" s="1163"/>
      <c r="C205" s="1166"/>
    </row>
    <row r="206" spans="2:3" ht="14.25" thickTop="1" thickBot="1">
      <c r="B206" s="1163"/>
      <c r="C206" s="1166"/>
    </row>
    <row r="207" spans="2:3" ht="14.25" thickTop="1" thickBot="1">
      <c r="B207" s="1163"/>
      <c r="C207" s="1166"/>
    </row>
    <row r="208" spans="2:3" ht="14.25" thickTop="1" thickBot="1">
      <c r="B208" s="1163"/>
      <c r="C208" s="1166"/>
    </row>
    <row r="209" spans="2:3" ht="14.25" thickTop="1" thickBot="1">
      <c r="B209" s="1163"/>
      <c r="C209" s="1166"/>
    </row>
    <row r="210" spans="2:3" ht="14.25" thickTop="1" thickBot="1">
      <c r="B210" s="1163"/>
      <c r="C210" s="1166"/>
    </row>
    <row r="211" spans="2:3" ht="14.25" thickTop="1" thickBot="1">
      <c r="B211" s="1163"/>
      <c r="C211" s="1166"/>
    </row>
    <row r="212" spans="2:3" ht="14.25" thickTop="1" thickBot="1">
      <c r="B212" s="1163"/>
      <c r="C212" s="1166"/>
    </row>
    <row r="213" spans="2:3" ht="14.25" thickTop="1" thickBot="1">
      <c r="B213" s="1163"/>
      <c r="C213" s="1166"/>
    </row>
    <row r="214" spans="2:3" ht="14.25" thickTop="1" thickBot="1">
      <c r="B214" s="1163"/>
      <c r="C214" s="1166"/>
    </row>
    <row r="215" spans="2:3" ht="14.25" thickTop="1" thickBot="1">
      <c r="B215" s="1163"/>
      <c r="C215" s="1166"/>
    </row>
    <row r="216" spans="2:3" ht="14.25" thickTop="1" thickBot="1">
      <c r="B216" s="1163"/>
      <c r="C216" s="1166"/>
    </row>
    <row r="217" spans="2:3" ht="14.25" thickTop="1" thickBot="1">
      <c r="B217" s="1163"/>
      <c r="C217" s="1166"/>
    </row>
    <row r="218" spans="2:3" ht="14.25" thickTop="1" thickBot="1">
      <c r="B218" s="1163"/>
      <c r="C218" s="1166"/>
    </row>
    <row r="219" spans="2:3" ht="14.25" thickTop="1" thickBot="1">
      <c r="B219" s="1163"/>
      <c r="C219" s="1166"/>
    </row>
    <row r="220" spans="2:3" ht="14.25" thickTop="1" thickBot="1">
      <c r="B220" s="1163"/>
      <c r="C220" s="1166"/>
    </row>
    <row r="221" spans="2:3" ht="14.25" thickTop="1" thickBot="1">
      <c r="B221" s="1163"/>
      <c r="C221" s="1166"/>
    </row>
    <row r="222" spans="2:3" ht="14.25" thickTop="1" thickBot="1">
      <c r="B222" s="1163"/>
      <c r="C222" s="1166"/>
    </row>
    <row r="223" spans="2:3" ht="14.25" thickTop="1" thickBot="1">
      <c r="B223" s="1163"/>
      <c r="C223" s="1166"/>
    </row>
    <row r="224" spans="2:3" ht="14.25" thickTop="1" thickBot="1">
      <c r="B224" s="1163"/>
      <c r="C224" s="1166"/>
    </row>
    <row r="225" spans="2:3" ht="14.25" thickTop="1" thickBot="1">
      <c r="B225" s="1163"/>
      <c r="C225" s="1166"/>
    </row>
    <row r="226" spans="2:3" ht="14.25" thickTop="1" thickBot="1">
      <c r="B226" s="1163"/>
      <c r="C226" s="1166"/>
    </row>
    <row r="227" spans="2:3" ht="14.25" thickTop="1" thickBot="1">
      <c r="B227" s="1163"/>
      <c r="C227" s="1166"/>
    </row>
    <row r="228" spans="2:3" ht="14.25" thickTop="1" thickBot="1">
      <c r="B228" s="1163"/>
      <c r="C228" s="1166"/>
    </row>
    <row r="229" spans="2:3" ht="14.25" thickTop="1" thickBot="1">
      <c r="B229" s="1163"/>
      <c r="C229" s="1166"/>
    </row>
    <row r="230" spans="2:3" ht="14.25" thickTop="1" thickBot="1">
      <c r="B230" s="1163"/>
      <c r="C230" s="1166"/>
    </row>
    <row r="231" spans="2:3" ht="14.25" thickTop="1" thickBot="1">
      <c r="B231" s="1163"/>
      <c r="C231" s="1166"/>
    </row>
    <row r="232" spans="2:3" ht="14.25" thickTop="1" thickBot="1">
      <c r="B232" s="1163"/>
      <c r="C232" s="1166"/>
    </row>
    <row r="233" spans="2:3" ht="14.25" thickTop="1" thickBot="1">
      <c r="B233" s="1163"/>
      <c r="C233" s="1166"/>
    </row>
    <row r="234" spans="2:3" ht="14.25" thickTop="1" thickBot="1">
      <c r="B234" s="1163"/>
      <c r="C234" s="1166"/>
    </row>
    <row r="235" spans="2:3" ht="13.5" thickTop="1">
      <c r="B235" s="1168"/>
      <c r="C235" s="1169"/>
    </row>
  </sheetData>
  <mergeCells count="4">
    <mergeCell ref="C2:C6"/>
    <mergeCell ref="B30:C30"/>
    <mergeCell ref="B33:D33"/>
    <mergeCell ref="B11:B13"/>
  </mergeCells>
  <hyperlinks>
    <hyperlink ref="B26" location="'Project Description'!A1" display="Project Description"/>
    <hyperlink ref="B32" location="'Combined Cost-Benefit'!A1" display="Cost Benefit Summary"/>
    <hyperlink ref="B29" location="'ERR &amp; Sensitivity Analysis'!A1" display="ERR &amp; Sensitivty Analysis"/>
    <hyperlink ref="B38" location="Cost!A1" display="Costs"/>
    <hyperlink ref="B41" location="Benefits!A1" display="Benefits"/>
    <hyperlink ref="B44" location="health!A1" display="Health"/>
    <hyperlink ref="B47" location="'Health--Stunting'!A1" display="Health-Stunting"/>
    <hyperlink ref="B53" location="'Time Savings'!A1" display="Time Savings"/>
    <hyperlink ref="B50" location="Drainage!A1" display="Drainage"/>
    <hyperlink ref="B56" location="NRW!A1" display="NRW"/>
    <hyperlink ref="B65" location="Assumptions!A1" display="Assumptions"/>
    <hyperlink ref="B35" location="ERR!A1" display="ERR"/>
    <hyperlink ref="B59" location="'Travel time analysis'!A1" display="Travel Time Analysis"/>
    <hyperlink ref="B68" location="'BA data'!A1" display="BA Data"/>
    <hyperlink ref="B71" location="'Poverty Scorecard'!A1" display="Poverty Scorecard"/>
    <hyperlink ref="B77" location="'barchart data'!A1" display="Barchart data"/>
    <hyperlink ref="B62" location="Sources!A1" display="Sources"/>
  </hyperlinks>
  <pageMargins left="0.78740157499999996" right="0.78740157499999996" top="0.984251969" bottom="0.984251969"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92D050"/>
    <pageSetUpPr fitToPage="1"/>
  </sheetPr>
  <dimension ref="A1:CB314"/>
  <sheetViews>
    <sheetView zoomScale="90" zoomScaleNormal="90" workbookViewId="0"/>
  </sheetViews>
  <sheetFormatPr defaultRowHeight="15"/>
  <cols>
    <col min="1" max="1" width="3.28515625" style="1" customWidth="1"/>
    <col min="2" max="2" width="55" style="1" customWidth="1"/>
    <col min="3" max="3" width="20.85546875" style="1" customWidth="1"/>
    <col min="4" max="4" width="12" style="1" customWidth="1"/>
    <col min="5" max="6" width="11.140625" style="1" customWidth="1"/>
    <col min="7" max="7" width="11.5703125" style="1" customWidth="1"/>
    <col min="8" max="8" width="11.140625" style="1" customWidth="1"/>
    <col min="9" max="9" width="11.7109375" style="1" customWidth="1"/>
    <col min="10" max="10" width="11.140625" style="1" customWidth="1"/>
    <col min="11" max="11" width="12" style="1" customWidth="1"/>
    <col min="12" max="12" width="11.140625" style="1" customWidth="1"/>
    <col min="13" max="14" width="11.140625" style="1" bestFit="1" customWidth="1"/>
    <col min="15" max="15" width="13.85546875" style="1" customWidth="1"/>
    <col min="16" max="24" width="11.140625" style="1" bestFit="1" customWidth="1"/>
    <col min="25" max="16384" width="9.140625" style="1"/>
  </cols>
  <sheetData>
    <row r="1" spans="2:31" ht="15.75">
      <c r="B1" s="196" t="s">
        <v>700</v>
      </c>
      <c r="C1" s="469"/>
      <c r="I1" s="1028" t="s">
        <v>1624</v>
      </c>
      <c r="L1" s="176"/>
      <c r="Y1" s="205"/>
    </row>
    <row r="2" spans="2:31" ht="16.5" thickBot="1">
      <c r="B2" s="196"/>
      <c r="C2" s="214" t="s">
        <v>699</v>
      </c>
      <c r="I2" s="468"/>
      <c r="L2" s="176"/>
      <c r="Y2" s="205"/>
    </row>
    <row r="3" spans="2:31" ht="15.75">
      <c r="B3" s="464"/>
      <c r="C3" s="467" t="s">
        <v>51</v>
      </c>
      <c r="D3" s="466">
        <f>ERR!C24</f>
        <v>0</v>
      </c>
      <c r="F3" s="465" t="s">
        <v>698</v>
      </c>
      <c r="G3" s="103">
        <f>IRR(G20:Z20)</f>
        <v>6.5716241699645073E-2</v>
      </c>
      <c r="I3" s="393"/>
      <c r="L3" s="176"/>
      <c r="Y3" s="205"/>
    </row>
    <row r="4" spans="2:31" ht="16.5" thickBot="1">
      <c r="B4" s="464"/>
      <c r="C4" s="463" t="s">
        <v>52</v>
      </c>
      <c r="D4" s="462">
        <f>ERR!C25</f>
        <v>1</v>
      </c>
      <c r="E4" s="254"/>
      <c r="F4" s="254"/>
      <c r="G4" s="254"/>
      <c r="H4" s="254"/>
      <c r="I4" s="393"/>
      <c r="L4" s="176"/>
      <c r="Y4" s="205"/>
    </row>
    <row r="5" spans="2:31" ht="16.5" thickBot="1">
      <c r="B5" s="196" t="s">
        <v>470</v>
      </c>
      <c r="C5" s="454"/>
      <c r="D5" s="205"/>
      <c r="E5" s="254"/>
      <c r="F5" s="254"/>
      <c r="G5" s="254"/>
      <c r="H5" s="254"/>
      <c r="I5" s="393"/>
      <c r="L5" s="176"/>
      <c r="Y5" s="205"/>
    </row>
    <row r="6" spans="2:31">
      <c r="B6" s="461" t="s">
        <v>697</v>
      </c>
      <c r="C6" s="460"/>
      <c r="D6" s="460"/>
      <c r="E6" s="460"/>
      <c r="F6" s="459"/>
      <c r="G6" s="1306" t="s">
        <v>420</v>
      </c>
      <c r="H6" s="1306"/>
      <c r="I6" s="1306"/>
      <c r="J6" s="1306"/>
      <c r="K6" s="1306"/>
      <c r="L6" s="458"/>
      <c r="M6" s="458"/>
      <c r="N6" s="458"/>
      <c r="O6" s="458"/>
      <c r="P6" s="458"/>
      <c r="Q6" s="458"/>
      <c r="R6" s="458"/>
      <c r="S6" s="458"/>
      <c r="T6" s="458"/>
      <c r="U6" s="458"/>
      <c r="V6" s="458"/>
      <c r="W6" s="458"/>
      <c r="X6" s="458"/>
      <c r="Y6" s="458"/>
      <c r="Z6" s="457"/>
      <c r="AA6" s="205"/>
    </row>
    <row r="7" spans="2:31" s="453" customFormat="1">
      <c r="B7" s="456"/>
      <c r="C7" s="450"/>
      <c r="D7" s="450"/>
      <c r="E7" s="450"/>
      <c r="F7" s="450">
        <v>2012</v>
      </c>
      <c r="G7" s="452">
        <f t="shared" ref="G7:Z7" si="0">F7+1</f>
        <v>2013</v>
      </c>
      <c r="H7" s="452">
        <f t="shared" si="0"/>
        <v>2014</v>
      </c>
      <c r="I7" s="452">
        <f t="shared" si="0"/>
        <v>2015</v>
      </c>
      <c r="J7" s="452">
        <f t="shared" si="0"/>
        <v>2016</v>
      </c>
      <c r="K7" s="452">
        <f t="shared" si="0"/>
        <v>2017</v>
      </c>
      <c r="L7" s="452">
        <f t="shared" si="0"/>
        <v>2018</v>
      </c>
      <c r="M7" s="452">
        <f t="shared" si="0"/>
        <v>2019</v>
      </c>
      <c r="N7" s="452">
        <f t="shared" si="0"/>
        <v>2020</v>
      </c>
      <c r="O7" s="452">
        <f t="shared" si="0"/>
        <v>2021</v>
      </c>
      <c r="P7" s="452">
        <f t="shared" si="0"/>
        <v>2022</v>
      </c>
      <c r="Q7" s="452">
        <f t="shared" si="0"/>
        <v>2023</v>
      </c>
      <c r="R7" s="452">
        <f t="shared" si="0"/>
        <v>2024</v>
      </c>
      <c r="S7" s="452">
        <f t="shared" si="0"/>
        <v>2025</v>
      </c>
      <c r="T7" s="452">
        <f t="shared" si="0"/>
        <v>2026</v>
      </c>
      <c r="U7" s="452">
        <f t="shared" si="0"/>
        <v>2027</v>
      </c>
      <c r="V7" s="452">
        <f t="shared" si="0"/>
        <v>2028</v>
      </c>
      <c r="W7" s="452">
        <f t="shared" si="0"/>
        <v>2029</v>
      </c>
      <c r="X7" s="452">
        <f t="shared" si="0"/>
        <v>2030</v>
      </c>
      <c r="Y7" s="452">
        <f t="shared" si="0"/>
        <v>2031</v>
      </c>
      <c r="Z7" s="455">
        <f t="shared" si="0"/>
        <v>2032</v>
      </c>
      <c r="AA7" s="452"/>
      <c r="AB7" s="454"/>
      <c r="AC7" s="454"/>
      <c r="AD7" s="454"/>
      <c r="AE7" s="454"/>
    </row>
    <row r="8" spans="2:31" s="3" customFormat="1">
      <c r="B8" s="449"/>
      <c r="C8" s="450"/>
      <c r="D8" s="450"/>
      <c r="E8" s="450"/>
      <c r="F8" s="450">
        <v>0</v>
      </c>
      <c r="G8" s="452">
        <f t="shared" ref="G8:Z8" si="1">F8+1</f>
        <v>1</v>
      </c>
      <c r="H8" s="201">
        <f t="shared" si="1"/>
        <v>2</v>
      </c>
      <c r="I8" s="201">
        <f t="shared" si="1"/>
        <v>3</v>
      </c>
      <c r="J8" s="201">
        <f t="shared" si="1"/>
        <v>4</v>
      </c>
      <c r="K8" s="201">
        <f t="shared" si="1"/>
        <v>5</v>
      </c>
      <c r="L8" s="201">
        <f t="shared" si="1"/>
        <v>6</v>
      </c>
      <c r="M8" s="201">
        <f t="shared" si="1"/>
        <v>7</v>
      </c>
      <c r="N8" s="201">
        <f t="shared" si="1"/>
        <v>8</v>
      </c>
      <c r="O8" s="201">
        <f t="shared" si="1"/>
        <v>9</v>
      </c>
      <c r="P8" s="201">
        <f t="shared" si="1"/>
        <v>10</v>
      </c>
      <c r="Q8" s="201">
        <f t="shared" si="1"/>
        <v>11</v>
      </c>
      <c r="R8" s="201">
        <f t="shared" si="1"/>
        <v>12</v>
      </c>
      <c r="S8" s="201">
        <f t="shared" si="1"/>
        <v>13</v>
      </c>
      <c r="T8" s="201">
        <f t="shared" si="1"/>
        <v>14</v>
      </c>
      <c r="U8" s="201">
        <f t="shared" si="1"/>
        <v>15</v>
      </c>
      <c r="V8" s="201">
        <f t="shared" si="1"/>
        <v>16</v>
      </c>
      <c r="W8" s="201">
        <f t="shared" si="1"/>
        <v>17</v>
      </c>
      <c r="X8" s="201">
        <f t="shared" si="1"/>
        <v>18</v>
      </c>
      <c r="Y8" s="201">
        <f t="shared" si="1"/>
        <v>19</v>
      </c>
      <c r="Z8" s="451">
        <f t="shared" si="1"/>
        <v>20</v>
      </c>
      <c r="AA8" s="450"/>
    </row>
    <row r="9" spans="2:31" s="3" customFormat="1">
      <c r="B9" s="449"/>
      <c r="C9" s="450"/>
      <c r="D9" s="450"/>
      <c r="E9" s="450"/>
      <c r="F9" s="450"/>
      <c r="G9" s="201"/>
      <c r="H9" s="201"/>
      <c r="I9" s="201"/>
      <c r="J9" s="201"/>
      <c r="K9" s="201"/>
      <c r="L9" s="201"/>
      <c r="M9" s="201"/>
      <c r="N9" s="201"/>
      <c r="O9" s="201"/>
      <c r="P9" s="201"/>
      <c r="Q9" s="201"/>
      <c r="R9" s="201"/>
      <c r="S9" s="201"/>
      <c r="T9" s="201"/>
      <c r="U9" s="201"/>
      <c r="V9" s="201"/>
      <c r="W9" s="201"/>
      <c r="X9" s="201"/>
      <c r="Y9" s="201"/>
      <c r="Z9" s="451"/>
      <c r="AA9" s="450"/>
    </row>
    <row r="10" spans="2:31" s="72" customFormat="1">
      <c r="B10" s="120" t="s">
        <v>696</v>
      </c>
      <c r="C10" s="72" t="s">
        <v>693</v>
      </c>
      <c r="E10" s="444">
        <f>NPV(0.1,F10:Z10)</f>
        <v>40.215329818313435</v>
      </c>
      <c r="F10" s="440">
        <f t="shared" ref="F10:Z10" si="2">SUM(F12:F15)</f>
        <v>0</v>
      </c>
      <c r="G10" s="440">
        <f t="shared" si="2"/>
        <v>0</v>
      </c>
      <c r="H10" s="440">
        <f t="shared" si="2"/>
        <v>0.24616770747370539</v>
      </c>
      <c r="I10" s="440">
        <f t="shared" si="2"/>
        <v>1.2924745400075999</v>
      </c>
      <c r="J10" s="440">
        <f t="shared" si="2"/>
        <v>3.2574766830364403</v>
      </c>
      <c r="K10" s="440">
        <f t="shared" si="2"/>
        <v>5.4166164629729678</v>
      </c>
      <c r="L10" s="440">
        <f t="shared" si="2"/>
        <v>5.9883121000392787</v>
      </c>
      <c r="M10" s="440">
        <f t="shared" si="2"/>
        <v>6.2896882871576372</v>
      </c>
      <c r="N10" s="440">
        <f t="shared" si="2"/>
        <v>6.6065968497720888</v>
      </c>
      <c r="O10" s="440">
        <f t="shared" si="2"/>
        <v>6.9398444608641494</v>
      </c>
      <c r="P10" s="440">
        <f t="shared" si="2"/>
        <v>7.2902797991018629</v>
      </c>
      <c r="Q10" s="440">
        <f t="shared" si="2"/>
        <v>7.6587957385399692</v>
      </c>
      <c r="R10" s="440">
        <f t="shared" si="2"/>
        <v>8.0463316525344144</v>
      </c>
      <c r="S10" s="440">
        <f t="shared" si="2"/>
        <v>8.4538758378315286</v>
      </c>
      <c r="T10" s="440">
        <f t="shared" si="2"/>
        <v>8.8824680651035326</v>
      </c>
      <c r="U10" s="440">
        <f t="shared" si="2"/>
        <v>9.3332022625294027</v>
      </c>
      <c r="V10" s="440">
        <f t="shared" si="2"/>
        <v>9.8072293393648149</v>
      </c>
      <c r="W10" s="440">
        <f t="shared" si="2"/>
        <v>10.305760156807484</v>
      </c>
      <c r="X10" s="440">
        <f t="shared" si="2"/>
        <v>10.830068653845668</v>
      </c>
      <c r="Y10" s="440">
        <f t="shared" si="2"/>
        <v>11.381495136179328</v>
      </c>
      <c r="Z10" s="443">
        <f t="shared" si="2"/>
        <v>11.961449736725669</v>
      </c>
      <c r="AA10" s="440"/>
    </row>
    <row r="11" spans="2:31" s="72" customFormat="1">
      <c r="B11" s="120"/>
      <c r="F11" s="440"/>
      <c r="G11" s="440"/>
      <c r="H11" s="440"/>
      <c r="I11" s="440"/>
      <c r="J11" s="440"/>
      <c r="K11" s="440"/>
      <c r="L11" s="440"/>
      <c r="M11" s="440"/>
      <c r="N11" s="440"/>
      <c r="O11" s="440"/>
      <c r="P11" s="440"/>
      <c r="Q11" s="440"/>
      <c r="R11" s="440"/>
      <c r="S11" s="440"/>
      <c r="T11" s="440"/>
      <c r="U11" s="440"/>
      <c r="V11" s="440"/>
      <c r="W11" s="440"/>
      <c r="X11" s="440"/>
      <c r="Y11" s="440"/>
      <c r="Z11" s="443"/>
      <c r="AA11" s="440"/>
    </row>
    <row r="12" spans="2:31" s="72" customFormat="1">
      <c r="B12" s="449" t="s">
        <v>695</v>
      </c>
      <c r="C12" s="72" t="s">
        <v>693</v>
      </c>
      <c r="D12" s="211">
        <f>E12/$E$16</f>
        <v>0.18368928761378064</v>
      </c>
      <c r="E12" s="444">
        <f>NPV(0.1,F12:Z12)</f>
        <v>7.3871252854792253</v>
      </c>
      <c r="F12" s="440">
        <f>SUM(health!B270:B272)*F17/1000000</f>
        <v>0</v>
      </c>
      <c r="G12" s="440">
        <f>SUM(health!C270:C272)*G17/1000000</f>
        <v>0</v>
      </c>
      <c r="H12" s="440">
        <f>SUM(health!D270:D272)*H17/1000000</f>
        <v>4.4684234946159321E-2</v>
      </c>
      <c r="I12" s="440">
        <f>SUM(health!E270:E272)*I17/1000000</f>
        <v>0.23499004805079393</v>
      </c>
      <c r="J12" s="440">
        <f>SUM(health!F270:F272)*J17/1000000</f>
        <v>0.59317911383592214</v>
      </c>
      <c r="K12" s="440">
        <f>SUM(health!G270:G272)*K17/1000000</f>
        <v>0.98783257823432902</v>
      </c>
      <c r="L12" s="440">
        <f>SUM(health!H270:H272)*L17/1000000</f>
        <v>1.0936664224565409</v>
      </c>
      <c r="M12" s="440">
        <f>SUM(health!I270:I272)*M17/1000000</f>
        <v>1.1502970811708706</v>
      </c>
      <c r="N12" s="440">
        <f>SUM(health!J270:J272)*N17/1000000</f>
        <v>1.2098601070499666</v>
      </c>
      <c r="O12" s="440">
        <f>SUM(health!K270:K272)*O17/1000000</f>
        <v>1.2725073397048141</v>
      </c>
      <c r="P12" s="440">
        <f>SUM(health!L270:L272)*P17/1000000</f>
        <v>1.3383984810863323</v>
      </c>
      <c r="Q12" s="440">
        <f>SUM(health!M270:M272)*Q17/1000000</f>
        <v>1.4077015026017337</v>
      </c>
      <c r="R12" s="440">
        <f>SUM(health!N270:N272)*R17/1000000</f>
        <v>1.4805930733115915</v>
      </c>
      <c r="S12" s="440">
        <f>SUM(health!O270:O272)*S17/1000000</f>
        <v>1.5572590102991937</v>
      </c>
      <c r="T12" s="440">
        <f>SUM(health!P270:P272)*T17/1000000</f>
        <v>1.6378947523602727</v>
      </c>
      <c r="U12" s="440">
        <f>SUM(health!Q270:Q272)*U17/1000000</f>
        <v>1.7227058582206543</v>
      </c>
      <c r="V12" s="440">
        <f>SUM(health!R270:R272)*V17/1000000</f>
        <v>1.8119085305518945</v>
      </c>
      <c r="W12" s="440">
        <f>SUM(health!S270:S272)*W17/1000000</f>
        <v>1.9057301671207405</v>
      </c>
      <c r="X12" s="440">
        <f>SUM(health!T270:T272)*X17/1000000</f>
        <v>2.0044099404774163</v>
      </c>
      <c r="Y12" s="440">
        <f>SUM(health!U270:U272)*Y17/1000000</f>
        <v>2.1081994076604937</v>
      </c>
      <c r="Z12" s="440">
        <f>SUM(health!V270:V272)*Z17/1000000</f>
        <v>2.2173631514726231</v>
      </c>
      <c r="AA12" s="440"/>
    </row>
    <row r="13" spans="2:31" s="72" customFormat="1">
      <c r="B13" s="449" t="s">
        <v>694</v>
      </c>
      <c r="C13" s="72" t="s">
        <v>693</v>
      </c>
      <c r="D13" s="211">
        <f>E13/$E$16</f>
        <v>0.68133311074861158</v>
      </c>
      <c r="E13" s="444">
        <f>NPV(0.1,F13:Z13)</f>
        <v>27.400035764892891</v>
      </c>
      <c r="F13" s="440">
        <v>0</v>
      </c>
      <c r="G13" s="440">
        <f>G$17*$D$4*'Travel time analysis'!E10</f>
        <v>0</v>
      </c>
      <c r="H13" s="440">
        <f>H$17*$D$4*'Travel time analysis'!F10</f>
        <v>0.16616242231988834</v>
      </c>
      <c r="I13" s="440">
        <f>I$17*$D$4*'Travel time analysis'!G10</f>
        <v>0.87352436303012837</v>
      </c>
      <c r="J13" s="440">
        <f>J$17*$D$4*'Travel time analysis'!H10</f>
        <v>2.2042697356231646</v>
      </c>
      <c r="K13" s="440">
        <f>K$17*$D$4*'Travel time analysis'!I10</f>
        <v>3.6696248285496917</v>
      </c>
      <c r="L13" s="440">
        <f>L$17*$D$4*'Travel time analysis'!J10</f>
        <v>4.0615197058159955</v>
      </c>
      <c r="M13" s="440">
        <f>M$17*$D$4*'Travel time analysis'!K10</f>
        <v>4.2705601037640841</v>
      </c>
      <c r="N13" s="440">
        <f>N$17*$D$4*'Travel time analysis'!L10</f>
        <v>4.4904175237553794</v>
      </c>
      <c r="O13" s="440">
        <f>O$17*$D$4*'Travel time analysis'!M10</f>
        <v>4.7216530127824194</v>
      </c>
      <c r="P13" s="440">
        <f>P$17*$D$4*'Travel time analysis'!N10</f>
        <v>4.9648567513310979</v>
      </c>
      <c r="Q13" s="440">
        <f>Q$17*$D$4*'Travel time analysis'!O10</f>
        <v>5.2206495671762978</v>
      </c>
      <c r="R13" s="440">
        <f>R$17*$D$4*'Travel time analysis'!P10</f>
        <v>5.4896845278724502</v>
      </c>
      <c r="S13" s="440">
        <f>S$17*$D$4*'Travel time analysis'!Q10</f>
        <v>5.7726486160319279</v>
      </c>
      <c r="T13" s="440">
        <f>T$17*$D$4*'Travel time analysis'!R10</f>
        <v>6.0702644916972162</v>
      </c>
      <c r="U13" s="440">
        <f>U$17*$D$4*'Travel time analysis'!S10</f>
        <v>6.3832923463368845</v>
      </c>
      <c r="V13" s="440">
        <f>V$17*$D$4*'Travel time analysis'!T10</f>
        <v>6.7125318532311686</v>
      </c>
      <c r="W13" s="440">
        <f>W$17*$D$4*'Travel time analysis'!U10</f>
        <v>7.0588242192610329</v>
      </c>
      <c r="X13" s="440">
        <f>X$17*$D$4*'Travel time analysis'!V10</f>
        <v>7.423054343375532</v>
      </c>
      <c r="Y13" s="440">
        <f>Y$17*$D$4*'Travel time analysis'!W10</f>
        <v>7.8061530872869334</v>
      </c>
      <c r="Z13" s="443">
        <f>Z$17*$D$4*'Travel time analysis'!X10</f>
        <v>8.2090996642318412</v>
      </c>
      <c r="AA13" s="440"/>
    </row>
    <row r="14" spans="2:31" s="72" customFormat="1">
      <c r="B14" s="448" t="s">
        <v>538</v>
      </c>
      <c r="C14" s="72" t="s">
        <v>693</v>
      </c>
      <c r="D14" s="211">
        <f>E14/$E$16</f>
        <v>3.3411295785349071E-2</v>
      </c>
      <c r="E14" s="444">
        <f>NPV(0.1,F14:Z14)</f>
        <v>1.3436462796650386</v>
      </c>
      <c r="F14" s="446">
        <f>F$17*($D$3*D237+$D$4*D242)/1000000</f>
        <v>0</v>
      </c>
      <c r="G14" s="446">
        <f>G$17*(E242)/1000000</f>
        <v>0</v>
      </c>
      <c r="H14" s="446">
        <f>H$17*(F242)/1000000</f>
        <v>1.1025030425488554E-2</v>
      </c>
      <c r="I14" s="446">
        <f>I$17*(G242)/1000000</f>
        <v>5.5951294395337699E-2</v>
      </c>
      <c r="J14" s="446">
        <f t="shared" ref="J14:Z14" si="3">J$17*(H242)/1000000</f>
        <v>0.13629556404541257</v>
      </c>
      <c r="K14" s="446">
        <f t="shared" si="3"/>
        <v>0.21903545638689959</v>
      </c>
      <c r="L14" s="446">
        <f t="shared" si="3"/>
        <v>0.2340190256957761</v>
      </c>
      <c r="M14" s="446">
        <f t="shared" si="3"/>
        <v>0.23752620031888788</v>
      </c>
      <c r="N14" s="446">
        <f t="shared" si="3"/>
        <v>0.24108593836219644</v>
      </c>
      <c r="O14" s="446">
        <f t="shared" si="3"/>
        <v>0.24469902765070092</v>
      </c>
      <c r="P14" s="446">
        <f t="shared" si="3"/>
        <v>0.24836626781792737</v>
      </c>
      <c r="Q14" s="446">
        <f t="shared" si="3"/>
        <v>0.25208847048293248</v>
      </c>
      <c r="R14" s="446">
        <f t="shared" si="3"/>
        <v>0.25586645942995961</v>
      </c>
      <c r="S14" s="446">
        <f t="shared" si="3"/>
        <v>0.25970107079078875</v>
      </c>
      <c r="T14" s="446">
        <f t="shared" si="3"/>
        <v>0.26359315322981985</v>
      </c>
      <c r="U14" s="446">
        <f t="shared" si="3"/>
        <v>0.2675435681319302</v>
      </c>
      <c r="V14" s="446">
        <f t="shared" si="3"/>
        <v>0.27155318979314808</v>
      </c>
      <c r="W14" s="446">
        <f t="shared" si="3"/>
        <v>0.27562290561418462</v>
      </c>
      <c r="X14" s="446">
        <f t="shared" si="3"/>
        <v>0.27975361629686657</v>
      </c>
      <c r="Y14" s="446">
        <f t="shared" si="3"/>
        <v>0.2839462360435141</v>
      </c>
      <c r="Z14" s="446">
        <f t="shared" si="3"/>
        <v>0.28820169275930663</v>
      </c>
      <c r="AA14" s="440"/>
    </row>
    <row r="15" spans="2:31" s="72" customFormat="1">
      <c r="B15" s="447" t="s">
        <v>530</v>
      </c>
      <c r="C15" s="72" t="s">
        <v>693</v>
      </c>
      <c r="D15" s="211">
        <f>E15/$E$16</f>
        <v>0.10156630585225868</v>
      </c>
      <c r="E15" s="444">
        <f>NPV(0.1,F15:Z15)</f>
        <v>4.0845224882762805</v>
      </c>
      <c r="F15" s="446">
        <f t="shared" ref="F15:Z15" si="4">F$17*($D$3*D250+$D$4*D251)/1000000</f>
        <v>0</v>
      </c>
      <c r="G15" s="446">
        <f>G$17*($D$3*E250+$D$4*E251)/1000000</f>
        <v>0</v>
      </c>
      <c r="H15" s="446">
        <f t="shared" si="4"/>
        <v>2.4296019782169154E-2</v>
      </c>
      <c r="I15" s="446">
        <f t="shared" si="4"/>
        <v>0.12800883453133996</v>
      </c>
      <c r="J15" s="446">
        <f t="shared" si="4"/>
        <v>0.32373226953194073</v>
      </c>
      <c r="K15" s="446">
        <f t="shared" si="4"/>
        <v>0.5401235998020476</v>
      </c>
      <c r="L15" s="446">
        <f t="shared" si="4"/>
        <v>0.59910694607096682</v>
      </c>
      <c r="M15" s="446">
        <f t="shared" si="4"/>
        <v>0.63130490190379507</v>
      </c>
      <c r="N15" s="446">
        <f t="shared" si="4"/>
        <v>0.66523328060454645</v>
      </c>
      <c r="O15" s="446">
        <f t="shared" si="4"/>
        <v>0.70098508072621524</v>
      </c>
      <c r="P15" s="446">
        <f t="shared" si="4"/>
        <v>0.7386582988665048</v>
      </c>
      <c r="Q15" s="446">
        <f t="shared" si="4"/>
        <v>0.7783561982790056</v>
      </c>
      <c r="R15" s="446">
        <f t="shared" si="4"/>
        <v>0.82018759192041213</v>
      </c>
      <c r="S15" s="446">
        <f t="shared" si="4"/>
        <v>0.86426714070961785</v>
      </c>
      <c r="T15" s="446">
        <f t="shared" si="4"/>
        <v>0.9107156678162236</v>
      </c>
      <c r="U15" s="446">
        <f t="shared" si="4"/>
        <v>0.95966048983993291</v>
      </c>
      <c r="V15" s="446">
        <f t="shared" si="4"/>
        <v>1.0112357657886053</v>
      </c>
      <c r="W15" s="446">
        <f t="shared" si="4"/>
        <v>1.0655828648115251</v>
      </c>
      <c r="X15" s="446">
        <f t="shared" si="4"/>
        <v>1.1228507536958512</v>
      </c>
      <c r="Y15" s="446">
        <f t="shared" si="4"/>
        <v>1.1831964051883888</v>
      </c>
      <c r="Z15" s="445">
        <f t="shared" si="4"/>
        <v>1.2467852282618976</v>
      </c>
      <c r="AA15" s="440"/>
    </row>
    <row r="16" spans="2:31" s="72" customFormat="1">
      <c r="B16" s="120"/>
      <c r="D16" s="211">
        <f>E16/$E$16</f>
        <v>1</v>
      </c>
      <c r="E16" s="444">
        <f>SUM(E12:E15)</f>
        <v>40.215329818313435</v>
      </c>
      <c r="F16" s="440"/>
      <c r="G16" s="440"/>
      <c r="H16" s="440"/>
      <c r="I16" s="440"/>
      <c r="J16" s="440"/>
      <c r="K16" s="440"/>
      <c r="L16" s="440"/>
      <c r="M16" s="440"/>
      <c r="N16" s="440"/>
      <c r="O16" s="440"/>
      <c r="P16" s="440"/>
      <c r="Q16" s="440"/>
      <c r="R16" s="440"/>
      <c r="S16" s="440"/>
      <c r="T16" s="440"/>
      <c r="U16" s="440"/>
      <c r="V16" s="440"/>
      <c r="W16" s="440"/>
      <c r="X16" s="440"/>
      <c r="Y16" s="440"/>
      <c r="Z16" s="443"/>
      <c r="AA16" s="440"/>
    </row>
    <row r="17" spans="2:30" s="72" customFormat="1">
      <c r="B17" s="34" t="s">
        <v>387</v>
      </c>
      <c r="C17" s="204" t="s">
        <v>227</v>
      </c>
      <c r="D17" s="204"/>
      <c r="E17" s="204"/>
      <c r="F17" s="249">
        <f>health!B274</f>
        <v>0</v>
      </c>
      <c r="G17" s="249">
        <f>health!C274</f>
        <v>0</v>
      </c>
      <c r="H17" s="249">
        <f>health!D274</f>
        <v>0.05</v>
      </c>
      <c r="I17" s="249">
        <f>health!E274</f>
        <v>0.25</v>
      </c>
      <c r="J17" s="249">
        <f>health!F274</f>
        <v>0.6</v>
      </c>
      <c r="K17" s="249">
        <f>health!G274</f>
        <v>0.95</v>
      </c>
      <c r="L17" s="249">
        <f>health!H274</f>
        <v>1</v>
      </c>
      <c r="M17" s="249">
        <f>health!I274</f>
        <v>1</v>
      </c>
      <c r="N17" s="249">
        <f t="shared" ref="N17:Z17" si="5">M17</f>
        <v>1</v>
      </c>
      <c r="O17" s="249">
        <f t="shared" si="5"/>
        <v>1</v>
      </c>
      <c r="P17" s="249">
        <f t="shared" si="5"/>
        <v>1</v>
      </c>
      <c r="Q17" s="249">
        <f t="shared" si="5"/>
        <v>1</v>
      </c>
      <c r="R17" s="249">
        <f t="shared" si="5"/>
        <v>1</v>
      </c>
      <c r="S17" s="249">
        <f t="shared" si="5"/>
        <v>1</v>
      </c>
      <c r="T17" s="249">
        <f t="shared" si="5"/>
        <v>1</v>
      </c>
      <c r="U17" s="249">
        <f t="shared" si="5"/>
        <v>1</v>
      </c>
      <c r="V17" s="249">
        <f t="shared" si="5"/>
        <v>1</v>
      </c>
      <c r="W17" s="249">
        <f t="shared" si="5"/>
        <v>1</v>
      </c>
      <c r="X17" s="249">
        <f t="shared" si="5"/>
        <v>1</v>
      </c>
      <c r="Y17" s="249">
        <f t="shared" si="5"/>
        <v>1</v>
      </c>
      <c r="Z17" s="441">
        <f t="shared" si="5"/>
        <v>1</v>
      </c>
      <c r="AA17" s="440"/>
    </row>
    <row r="18" spans="2:30" s="72" customFormat="1" ht="15.75" thickBot="1">
      <c r="B18" s="439"/>
      <c r="C18" s="438"/>
      <c r="D18" s="438"/>
      <c r="E18" s="437"/>
      <c r="F18" s="437"/>
      <c r="G18" s="437"/>
      <c r="H18" s="437"/>
      <c r="I18" s="437"/>
      <c r="J18" s="437"/>
      <c r="K18" s="437"/>
      <c r="L18" s="437"/>
      <c r="M18" s="437"/>
      <c r="N18" s="437"/>
      <c r="O18" s="437"/>
      <c r="P18" s="437"/>
      <c r="Q18" s="437"/>
      <c r="R18" s="437"/>
      <c r="S18" s="437"/>
      <c r="T18" s="437"/>
      <c r="U18" s="437"/>
      <c r="V18" s="437"/>
      <c r="W18" s="437"/>
      <c r="X18" s="437"/>
      <c r="Y18" s="437"/>
      <c r="Z18" s="117"/>
      <c r="AA18" s="205"/>
      <c r="AD18" s="72" t="s">
        <v>80</v>
      </c>
    </row>
    <row r="19" spans="2:30" s="434" customFormat="1">
      <c r="C19" s="434" t="s">
        <v>692</v>
      </c>
      <c r="D19" s="436"/>
      <c r="G19" s="435">
        <f>Cost!E14</f>
        <v>5.2502767234637151</v>
      </c>
      <c r="H19" s="435">
        <f>Cost!F14</f>
        <v>17.08276353138676</v>
      </c>
      <c r="I19" s="435">
        <f>Cost!G14</f>
        <v>20.637435837470303</v>
      </c>
      <c r="J19" s="435">
        <f>Cost!H14</f>
        <v>18.820158154566542</v>
      </c>
      <c r="K19" s="435">
        <f>Cost!I14</f>
        <v>10.20618616342634</v>
      </c>
      <c r="L19" s="435">
        <f>Cost!J14</f>
        <v>0.62928113252364037</v>
      </c>
      <c r="M19" s="435">
        <f>Cost!K14</f>
        <v>0.62928113252364037</v>
      </c>
      <c r="N19" s="435">
        <f>Cost!L14</f>
        <v>0.62928113252364037</v>
      </c>
      <c r="O19" s="435">
        <f>Cost!M14</f>
        <v>0.62928113252364037</v>
      </c>
      <c r="P19" s="435">
        <f>Cost!N14</f>
        <v>0.62928113252364037</v>
      </c>
      <c r="Q19" s="435">
        <f>Cost!O14</f>
        <v>0.62928113252364037</v>
      </c>
      <c r="R19" s="435">
        <f>Cost!P14</f>
        <v>0.62928113252364037</v>
      </c>
      <c r="S19" s="435">
        <f>Cost!Q14</f>
        <v>0.62928113252364037</v>
      </c>
      <c r="T19" s="435">
        <f>Cost!R14</f>
        <v>0.62928113252364037</v>
      </c>
      <c r="U19" s="435">
        <f>Cost!S14</f>
        <v>0.62928113252364037</v>
      </c>
      <c r="V19" s="435">
        <f>Cost!T14</f>
        <v>0.62928113252364037</v>
      </c>
      <c r="W19" s="435">
        <f>Cost!U14</f>
        <v>0.62928113252364037</v>
      </c>
      <c r="X19" s="435">
        <f>Cost!V14</f>
        <v>0.62928113252364037</v>
      </c>
      <c r="Y19" s="435">
        <f>Cost!W14</f>
        <v>0.62928113252364037</v>
      </c>
      <c r="Z19" s="435">
        <f>Cost!X14</f>
        <v>0.62928113252364037</v>
      </c>
    </row>
    <row r="20" spans="2:30" s="431" customFormat="1">
      <c r="C20" s="431" t="s">
        <v>691</v>
      </c>
      <c r="D20" s="433"/>
      <c r="G20" s="432">
        <f t="shared" ref="G20:Z20" si="6">G10-G19</f>
        <v>-5.2502767234637151</v>
      </c>
      <c r="H20" s="432">
        <f t="shared" si="6"/>
        <v>-16.836595823913054</v>
      </c>
      <c r="I20" s="432">
        <f t="shared" si="6"/>
        <v>-19.344961297462703</v>
      </c>
      <c r="J20" s="432">
        <f t="shared" si="6"/>
        <v>-15.562681471530102</v>
      </c>
      <c r="K20" s="432">
        <f t="shared" si="6"/>
        <v>-4.7895697004533719</v>
      </c>
      <c r="L20" s="432">
        <f t="shared" si="6"/>
        <v>5.359030967515638</v>
      </c>
      <c r="M20" s="432">
        <f t="shared" si="6"/>
        <v>5.6604071546339965</v>
      </c>
      <c r="N20" s="432">
        <f t="shared" si="6"/>
        <v>5.9773157172484481</v>
      </c>
      <c r="O20" s="432">
        <f t="shared" si="6"/>
        <v>6.3105633283405087</v>
      </c>
      <c r="P20" s="432">
        <f t="shared" si="6"/>
        <v>6.6609986665782221</v>
      </c>
      <c r="Q20" s="432">
        <f t="shared" si="6"/>
        <v>7.0295146060163285</v>
      </c>
      <c r="R20" s="432">
        <f t="shared" si="6"/>
        <v>7.4170505200107737</v>
      </c>
      <c r="S20" s="432">
        <f t="shared" si="6"/>
        <v>7.8245947053078879</v>
      </c>
      <c r="T20" s="432">
        <f t="shared" si="6"/>
        <v>8.2531869325798919</v>
      </c>
      <c r="U20" s="432">
        <f t="shared" si="6"/>
        <v>8.703921130005762</v>
      </c>
      <c r="V20" s="432">
        <f t="shared" si="6"/>
        <v>9.1779482068411742</v>
      </c>
      <c r="W20" s="432">
        <f t="shared" si="6"/>
        <v>9.676479024283843</v>
      </c>
      <c r="X20" s="432">
        <f t="shared" si="6"/>
        <v>10.200787521322027</v>
      </c>
      <c r="Y20" s="432">
        <f t="shared" si="6"/>
        <v>10.752214003655688</v>
      </c>
      <c r="Z20" s="432">
        <f t="shared" si="6"/>
        <v>11.332168604202028</v>
      </c>
    </row>
    <row r="21" spans="2:30" s="72" customFormat="1" ht="15.75">
      <c r="B21" s="196" t="s">
        <v>690</v>
      </c>
      <c r="Y21" s="205"/>
    </row>
    <row r="23" spans="2:30" ht="15.75">
      <c r="B23" s="263" t="s">
        <v>689</v>
      </c>
      <c r="C23" s="7"/>
      <c r="D23" s="7"/>
      <c r="E23" s="7"/>
      <c r="F23" s="7"/>
      <c r="G23" s="7"/>
      <c r="H23" s="7"/>
    </row>
    <row r="24" spans="2:30">
      <c r="B24" s="423" t="s">
        <v>528</v>
      </c>
      <c r="C24" s="430"/>
      <c r="D24" s="420"/>
      <c r="E24" s="421"/>
      <c r="F24" s="422" t="s">
        <v>681</v>
      </c>
      <c r="G24" s="421"/>
      <c r="H24" s="422"/>
      <c r="I24" s="421" t="s">
        <v>352</v>
      </c>
      <c r="J24" s="421"/>
      <c r="K24" s="421"/>
      <c r="L24" s="421"/>
      <c r="M24" s="420"/>
      <c r="N24" s="420"/>
    </row>
    <row r="25" spans="2:30" ht="45">
      <c r="B25" s="415" t="s">
        <v>680</v>
      </c>
      <c r="C25" s="429" t="s">
        <v>679</v>
      </c>
      <c r="D25" s="419" t="s">
        <v>605</v>
      </c>
      <c r="E25" s="419" t="s">
        <v>678</v>
      </c>
      <c r="F25" s="429" t="s">
        <v>677</v>
      </c>
      <c r="G25" s="429" t="s">
        <v>688</v>
      </c>
      <c r="H25" s="429" t="s">
        <v>676</v>
      </c>
      <c r="I25" s="429" t="s">
        <v>688</v>
      </c>
      <c r="J25" s="429" t="s">
        <v>675</v>
      </c>
      <c r="K25" s="429" t="s">
        <v>688</v>
      </c>
      <c r="L25" s="429" t="s">
        <v>687</v>
      </c>
      <c r="M25" s="303" t="s">
        <v>686</v>
      </c>
    </row>
    <row r="26" spans="2:30">
      <c r="B26" s="415" t="s">
        <v>674</v>
      </c>
      <c r="C26" s="418"/>
      <c r="D26" s="417"/>
      <c r="E26" s="13">
        <f>1-SUM(F26:J26)</f>
        <v>0.34999999999999987</v>
      </c>
      <c r="F26" s="416">
        <v>0.4</v>
      </c>
      <c r="G26" s="321"/>
      <c r="H26" s="416">
        <v>0.2</v>
      </c>
      <c r="I26" s="321"/>
      <c r="J26" s="416">
        <v>0.05</v>
      </c>
      <c r="K26" s="321"/>
      <c r="L26" s="321"/>
      <c r="M26" s="303"/>
    </row>
    <row r="27" spans="2:30">
      <c r="B27" s="415" t="s">
        <v>673</v>
      </c>
      <c r="C27" s="414"/>
      <c r="F27" s="413">
        <f>3/52</f>
        <v>5.7692307692307696E-2</v>
      </c>
      <c r="G27" s="321"/>
      <c r="H27" s="413">
        <f>10/52</f>
        <v>0.19230769230769232</v>
      </c>
      <c r="I27" s="321"/>
      <c r="J27" s="413">
        <f>16/52</f>
        <v>0.30769230769230771</v>
      </c>
      <c r="K27" s="321"/>
      <c r="L27" s="428">
        <f>E26*E27+F26*F27+H26*H27+J26*J27</f>
        <v>7.6923076923076927E-2</v>
      </c>
      <c r="M27" s="303" t="s">
        <v>685</v>
      </c>
    </row>
    <row r="28" spans="2:30">
      <c r="B28" s="411" t="s">
        <v>594</v>
      </c>
      <c r="C28" s="1" t="s">
        <v>672</v>
      </c>
      <c r="D28" s="7"/>
      <c r="E28" s="7"/>
      <c r="F28" s="7"/>
      <c r="G28" s="7"/>
      <c r="H28" s="7"/>
      <c r="I28" s="7"/>
      <c r="J28" s="7"/>
      <c r="K28" s="7"/>
      <c r="L28" s="7"/>
      <c r="M28" s="289" t="s">
        <v>668</v>
      </c>
    </row>
    <row r="29" spans="2:30">
      <c r="B29" s="411" t="s">
        <v>575</v>
      </c>
      <c r="C29" s="7" t="s">
        <v>671</v>
      </c>
      <c r="D29" s="7"/>
      <c r="E29" s="7"/>
      <c r="F29" s="7"/>
      <c r="G29" s="7"/>
      <c r="H29" s="7"/>
      <c r="I29" s="7"/>
      <c r="J29" s="7"/>
      <c r="K29" s="7"/>
      <c r="L29" s="7"/>
      <c r="M29" s="289" t="s">
        <v>668</v>
      </c>
    </row>
    <row r="30" spans="2:30" s="7" customFormat="1">
      <c r="B30" s="427"/>
      <c r="F30" s="7">
        <f>0.65-(0.65*F17)</f>
        <v>0.65</v>
      </c>
      <c r="G30" s="7">
        <f t="shared" ref="G30:L30" si="7">0.65-(0.65*G17)</f>
        <v>0.65</v>
      </c>
      <c r="H30" s="7">
        <f t="shared" si="7"/>
        <v>0.61750000000000005</v>
      </c>
      <c r="I30" s="7">
        <f t="shared" si="7"/>
        <v>0.48750000000000004</v>
      </c>
      <c r="J30" s="7">
        <f t="shared" si="7"/>
        <v>0.26</v>
      </c>
      <c r="K30" s="7">
        <f t="shared" si="7"/>
        <v>3.2500000000000084E-2</v>
      </c>
      <c r="L30" s="7">
        <f t="shared" si="7"/>
        <v>0</v>
      </c>
    </row>
    <row r="31" spans="2:30" ht="45" customHeight="1">
      <c r="B31" s="407" t="s">
        <v>570</v>
      </c>
      <c r="C31" s="337" t="s">
        <v>670</v>
      </c>
      <c r="E31" s="282">
        <v>0</v>
      </c>
      <c r="G31" s="410" t="s">
        <v>669</v>
      </c>
      <c r="H31" s="12"/>
      <c r="I31" s="410" t="s">
        <v>669</v>
      </c>
      <c r="J31" s="12"/>
      <c r="K31" s="410" t="s">
        <v>669</v>
      </c>
      <c r="M31" s="289" t="s">
        <v>668</v>
      </c>
    </row>
    <row r="32" spans="2:30">
      <c r="B32" s="270" t="s">
        <v>528</v>
      </c>
      <c r="C32" s="337"/>
      <c r="D32" s="190"/>
      <c r="E32" s="282"/>
      <c r="F32" s="410"/>
      <c r="H32" s="12"/>
      <c r="J32" s="12"/>
    </row>
    <row r="33" spans="2:15">
      <c r="B33" s="271" t="s">
        <v>524</v>
      </c>
      <c r="C33" s="337"/>
      <c r="D33" s="190" t="s">
        <v>227</v>
      </c>
      <c r="E33" s="12">
        <v>0</v>
      </c>
      <c r="F33" s="409">
        <f>$E$125*$D$172*$D$175+$E$126*$D$173*$D$177</f>
        <v>6.2241204437400947E-3</v>
      </c>
      <c r="H33" s="409">
        <f>$E$125*$D$172*$D$176+$E$126*$D$173*$D$178</f>
        <v>2.6523613312202852E-2</v>
      </c>
      <c r="J33" s="409">
        <f>$E$125*$D$172+$E$126*$D$173</f>
        <v>6.4600316957210774E-2</v>
      </c>
      <c r="L33" s="408">
        <f>$E$26*E33+$F$26*F33+$H$26*H33+$J$26*J33</f>
        <v>1.1024386687797146E-2</v>
      </c>
    </row>
    <row r="34" spans="2:15">
      <c r="B34" s="271" t="s">
        <v>51</v>
      </c>
      <c r="C34" s="337"/>
      <c r="D34" s="190" t="s">
        <v>227</v>
      </c>
      <c r="E34" s="12">
        <v>0</v>
      </c>
      <c r="F34" s="409">
        <f>$F$125*$D$172*$D$175+$F$126*$D$173*$D$177</f>
        <v>6.2241204437400947E-3</v>
      </c>
      <c r="H34" s="409">
        <f>$F$125*$D$172*$D$176+$F$126*$D$173*$D$178</f>
        <v>2.6523613312202852E-2</v>
      </c>
      <c r="J34" s="409">
        <f>$F$125*$D$172+$F$126*$D$173</f>
        <v>6.4600316957210774E-2</v>
      </c>
      <c r="L34" s="408">
        <f>$E$26*E34+$F$26*F34+$H$26*H34+$J$26*J34</f>
        <v>1.1024386687797146E-2</v>
      </c>
    </row>
    <row r="35" spans="2:15">
      <c r="B35" s="266" t="s">
        <v>536</v>
      </c>
      <c r="C35" s="337"/>
      <c r="D35" s="190" t="s">
        <v>227</v>
      </c>
      <c r="E35" s="12">
        <v>0</v>
      </c>
      <c r="F35" s="409">
        <f>$G$125*$D$172*$D$175+$G$126*$D$173*$D$177</f>
        <v>7.6544781300624828E-5</v>
      </c>
      <c r="H35" s="409">
        <f>$G$125*$D$172*$D$176+$G$126*$D$173*$D$178</f>
        <v>2.5514927100208279E-4</v>
      </c>
      <c r="J35" s="409">
        <f>$G$125*$D$172+$G$126*$D$173</f>
        <v>5.1029854200416557E-4</v>
      </c>
      <c r="L35" s="408">
        <f>$E$26*E35+$F$26*F35+$H$26*H35+$J$26*J35</f>
        <v>1.0716269382087476E-4</v>
      </c>
    </row>
    <row r="36" spans="2:15">
      <c r="B36" s="266" t="s">
        <v>535</v>
      </c>
      <c r="C36" s="337"/>
      <c r="D36" s="190" t="s">
        <v>227</v>
      </c>
      <c r="E36" s="12">
        <v>0</v>
      </c>
      <c r="F36" s="409">
        <f>$H$125*$D$172*$D$175+$H$126*$D$173*$D$177</f>
        <v>2.6249999999999998E-4</v>
      </c>
      <c r="H36" s="409">
        <f>$H$125*$D$172*$D$176+$H$126*$D$173*$D$178</f>
        <v>8.7499999999999991E-4</v>
      </c>
      <c r="J36" s="409">
        <f>$H$125*$D$172+$H$126*$D$173</f>
        <v>1.7499999999999998E-3</v>
      </c>
      <c r="L36" s="408">
        <f>$E$26*E36+$F$26*F36+$H$26*H36+$J$26*J36</f>
        <v>3.6749999999999999E-4</v>
      </c>
    </row>
    <row r="37" spans="2:15" ht="45">
      <c r="B37" s="407" t="s">
        <v>559</v>
      </c>
      <c r="C37" s="424" t="s">
        <v>684</v>
      </c>
      <c r="D37" s="190" t="s">
        <v>227</v>
      </c>
      <c r="E37" s="282">
        <v>0</v>
      </c>
      <c r="F37" s="426">
        <f>F27*$D$185</f>
        <v>1.1538461538461539E-2</v>
      </c>
      <c r="G37" s="282"/>
      <c r="H37" s="426">
        <f>H27*$D$185</f>
        <v>3.8461538461538464E-2</v>
      </c>
      <c r="I37" s="282"/>
      <c r="J37" s="426">
        <f>J27*$D$185</f>
        <v>6.1538461538461542E-2</v>
      </c>
      <c r="M37" s="289" t="s">
        <v>683</v>
      </c>
    </row>
    <row r="38" spans="2:15">
      <c r="B38" s="406" t="s">
        <v>639</v>
      </c>
      <c r="C38" s="425" t="s">
        <v>682</v>
      </c>
      <c r="D38" s="190"/>
      <c r="F38" s="107"/>
      <c r="H38" s="107"/>
      <c r="J38" s="107"/>
      <c r="M38" s="1" t="s">
        <v>666</v>
      </c>
    </row>
    <row r="39" spans="2:15">
      <c r="B39" s="283"/>
      <c r="C39" s="424"/>
      <c r="D39" s="190"/>
    </row>
    <row r="40" spans="2:15">
      <c r="B40" s="423" t="s">
        <v>520</v>
      </c>
      <c r="C40" s="420"/>
      <c r="D40" s="420"/>
      <c r="E40" s="421"/>
      <c r="F40" s="422" t="s">
        <v>681</v>
      </c>
      <c r="G40" s="421"/>
      <c r="H40" s="422"/>
      <c r="I40" s="421" t="s">
        <v>352</v>
      </c>
      <c r="J40" s="421"/>
      <c r="K40" s="421"/>
      <c r="L40" s="421"/>
      <c r="M40" s="420"/>
      <c r="N40" s="420"/>
    </row>
    <row r="41" spans="2:15" ht="30">
      <c r="B41" s="415" t="s">
        <v>680</v>
      </c>
      <c r="C41" s="414" t="s">
        <v>679</v>
      </c>
      <c r="D41" s="419" t="s">
        <v>605</v>
      </c>
      <c r="E41" s="177" t="s">
        <v>678</v>
      </c>
      <c r="F41" s="414" t="s">
        <v>677</v>
      </c>
      <c r="G41" s="414" t="s">
        <v>676</v>
      </c>
      <c r="H41" s="414" t="s">
        <v>675</v>
      </c>
      <c r="I41" s="199"/>
      <c r="N41" s="229">
        <v>1</v>
      </c>
      <c r="O41" s="1" t="s">
        <v>426</v>
      </c>
    </row>
    <row r="42" spans="2:15">
      <c r="B42" s="415" t="s">
        <v>674</v>
      </c>
      <c r="C42" s="418"/>
      <c r="D42" s="417"/>
      <c r="E42" s="13">
        <f>1-SUM(F42:H42)</f>
        <v>0.34999999999999987</v>
      </c>
      <c r="F42" s="416">
        <v>0.4</v>
      </c>
      <c r="G42" s="416">
        <v>0.2</v>
      </c>
      <c r="H42" s="416">
        <v>0.05</v>
      </c>
      <c r="O42" s="107">
        <v>7.6923076923076927E-2</v>
      </c>
    </row>
    <row r="43" spans="2:15">
      <c r="B43" s="415" t="s">
        <v>673</v>
      </c>
      <c r="C43" s="414"/>
      <c r="F43" s="413">
        <f>3/52</f>
        <v>5.7692307692307696E-2</v>
      </c>
      <c r="G43" s="413">
        <f>10/52</f>
        <v>0.19230769230769232</v>
      </c>
      <c r="H43" s="413">
        <f>16/52</f>
        <v>0.30769230769230771</v>
      </c>
      <c r="L43" s="412">
        <f>(E42*E43+F42*F43+G42*G43+H42*H43)*N41</f>
        <v>7.6923076923076927E-2</v>
      </c>
      <c r="O43" s="226"/>
    </row>
    <row r="44" spans="2:15">
      <c r="B44" s="411" t="s">
        <v>594</v>
      </c>
      <c r="C44" s="1" t="s">
        <v>672</v>
      </c>
      <c r="M44" s="289" t="s">
        <v>668</v>
      </c>
      <c r="N44" s="136" t="s">
        <v>423</v>
      </c>
      <c r="O44" s="224">
        <f>(O43-O42)/O42</f>
        <v>-1</v>
      </c>
    </row>
    <row r="45" spans="2:15">
      <c r="B45" s="411" t="s">
        <v>575</v>
      </c>
      <c r="C45" s="7" t="s">
        <v>671</v>
      </c>
      <c r="M45" s="1" t="s">
        <v>666</v>
      </c>
    </row>
    <row r="46" spans="2:15" ht="45" customHeight="1">
      <c r="B46" s="407" t="s">
        <v>570</v>
      </c>
      <c r="C46" s="337" t="s">
        <v>670</v>
      </c>
      <c r="E46" s="282">
        <v>0</v>
      </c>
      <c r="G46" s="410" t="s">
        <v>669</v>
      </c>
      <c r="H46" s="12"/>
      <c r="I46" s="410" t="s">
        <v>669</v>
      </c>
      <c r="J46" s="12"/>
      <c r="K46" s="410" t="s">
        <v>669</v>
      </c>
      <c r="M46" s="289" t="s">
        <v>668</v>
      </c>
    </row>
    <row r="47" spans="2:15">
      <c r="B47" s="270" t="s">
        <v>520</v>
      </c>
      <c r="C47" s="337"/>
      <c r="D47" s="190"/>
      <c r="E47" s="282"/>
      <c r="F47" s="410"/>
      <c r="H47" s="12"/>
      <c r="J47" s="12"/>
    </row>
    <row r="48" spans="2:15">
      <c r="B48" s="266" t="s">
        <v>533</v>
      </c>
      <c r="C48" s="337"/>
      <c r="D48" s="190" t="s">
        <v>227</v>
      </c>
      <c r="E48" s="12">
        <v>0</v>
      </c>
      <c r="F48" s="409">
        <f>$K$125*$D$172*$D$175+$K$126*$D$173*$D$177</f>
        <v>1.826086956521739E-3</v>
      </c>
      <c r="H48" s="409">
        <f>$K$125*$D$172*$D$176+$K$126*$D$173*$D$178</f>
        <v>6.0869565217391303E-3</v>
      </c>
      <c r="J48" s="409">
        <f>$K$125*$D$172+$K$126*$D$173</f>
        <v>1.2173913043478261E-2</v>
      </c>
      <c r="L48" s="408">
        <f>$E$26*E48+$F$26*F48+$H$26*H48+$J$26*J48</f>
        <v>2.5565217391304348E-3</v>
      </c>
    </row>
    <row r="49" spans="2:22">
      <c r="B49" s="266" t="s">
        <v>532</v>
      </c>
      <c r="C49" s="337"/>
      <c r="D49" s="190" t="s">
        <v>227</v>
      </c>
      <c r="E49" s="12">
        <v>0</v>
      </c>
      <c r="F49" s="409">
        <f>$L$125*$D$172*$D$175+$L$126*$D$173*$D$177</f>
        <v>1.826086956521739E-3</v>
      </c>
      <c r="H49" s="409">
        <f>$L$125*$D$172*$D$176+$L$126*$D$173*$D$178</f>
        <v>6.0869565217391303E-3</v>
      </c>
      <c r="J49" s="409">
        <f>$L$125*$D$172+$L$126*$D$173</f>
        <v>1.2173913043478261E-2</v>
      </c>
      <c r="L49" s="408">
        <f>$E$26*E49+$F$26*F49+$H$26*H49+$J$26*J49</f>
        <v>2.5565217391304348E-3</v>
      </c>
    </row>
    <row r="50" spans="2:22">
      <c r="B50" s="266" t="s">
        <v>82</v>
      </c>
      <c r="C50" s="337"/>
      <c r="D50" s="190" t="s">
        <v>227</v>
      </c>
      <c r="E50" s="12">
        <v>0</v>
      </c>
      <c r="F50" s="409">
        <f>$M$125*$D$172*$D$175+$M$126*$D$173*$D$177</f>
        <v>4.9999999999999984E-3</v>
      </c>
      <c r="H50" s="409">
        <f>$M$125*$D$172*$D$176+$M$126*$D$173*$D$178</f>
        <v>2.0238095238095236E-2</v>
      </c>
      <c r="J50" s="409">
        <f>$M$125*$D$172+$M$126*$D$173</f>
        <v>4.7619047619047609E-2</v>
      </c>
      <c r="L50" s="408">
        <f>$E$26*E50+$F$26*F50+$H$26*H50+$J$26*J50</f>
        <v>8.4285714285714276E-3</v>
      </c>
    </row>
    <row r="51" spans="2:22">
      <c r="B51" s="266" t="s">
        <v>531</v>
      </c>
      <c r="C51" s="337"/>
      <c r="D51" s="190" t="s">
        <v>227</v>
      </c>
      <c r="E51" s="12">
        <v>0</v>
      </c>
      <c r="F51" s="409">
        <f>$N$125*$D$172*$D$175+$N$126*$D$173*$D$177</f>
        <v>1.826086956521739E-3</v>
      </c>
      <c r="H51" s="409">
        <f>$N$125*$D$172*$D$176+$N$126*$D$173*$D$178</f>
        <v>6.0869565217391303E-3</v>
      </c>
      <c r="J51" s="409">
        <f>$N$125*$D$172+$N$126*$D$173</f>
        <v>1.2173913043478261E-2</v>
      </c>
      <c r="L51" s="408">
        <f>$E$26*E51+$F$26*F51+$H$26*H51+$J$26*J51</f>
        <v>2.5565217391304348E-3</v>
      </c>
    </row>
    <row r="52" spans="2:22">
      <c r="B52" s="265" t="s">
        <v>84</v>
      </c>
      <c r="C52" s="337"/>
      <c r="D52" s="190" t="s">
        <v>227</v>
      </c>
      <c r="E52" s="12">
        <v>0</v>
      </c>
      <c r="F52" s="409">
        <f>$O$125*$D$172*$D$175+$O$126*$D$173*$D$177</f>
        <v>0</v>
      </c>
      <c r="H52" s="409">
        <f>$O$125*$D$172*$D$176+$O$126*$D$173*$D$178</f>
        <v>0</v>
      </c>
      <c r="J52" s="409">
        <f>$O$125*$D$172+$O$126*$D$173</f>
        <v>0</v>
      </c>
      <c r="L52" s="408">
        <f>$E$26*E52+$F$26*F52+$H$26*H52+$J$26*J52</f>
        <v>0</v>
      </c>
    </row>
    <row r="53" spans="2:22">
      <c r="B53" s="407" t="s">
        <v>559</v>
      </c>
      <c r="M53" s="1" t="s">
        <v>667</v>
      </c>
    </row>
    <row r="54" spans="2:22">
      <c r="B54" s="406" t="s">
        <v>639</v>
      </c>
      <c r="M54" s="1" t="s">
        <v>666</v>
      </c>
    </row>
    <row r="55" spans="2:22">
      <c r="B55" s="245"/>
    </row>
    <row r="56" spans="2:22" ht="15.75">
      <c r="B56" s="263" t="s">
        <v>665</v>
      </c>
    </row>
    <row r="57" spans="2:22">
      <c r="C57" s="69"/>
      <c r="D57" s="1309" t="s">
        <v>528</v>
      </c>
      <c r="E57" s="1310"/>
      <c r="F57" s="1310"/>
      <c r="G57" s="1310"/>
      <c r="H57" s="1311"/>
      <c r="I57" s="1309" t="s">
        <v>520</v>
      </c>
      <c r="J57" s="1310"/>
      <c r="K57" s="1310"/>
      <c r="L57" s="1310"/>
      <c r="M57" s="1310"/>
      <c r="N57" s="1311"/>
      <c r="O57" s="405" t="s">
        <v>352</v>
      </c>
      <c r="P57" s="69"/>
      <c r="Q57" s="69"/>
      <c r="R57" s="69"/>
      <c r="S57" s="69"/>
      <c r="T57" s="69"/>
      <c r="U57" s="69"/>
      <c r="V57" s="69"/>
    </row>
    <row r="58" spans="2:22" ht="60">
      <c r="B58" s="369"/>
      <c r="C58" s="404" t="s">
        <v>664</v>
      </c>
      <c r="D58" s="348" t="s">
        <v>135</v>
      </c>
      <c r="E58" s="350" t="s">
        <v>524</v>
      </c>
      <c r="F58" s="350" t="s">
        <v>51</v>
      </c>
      <c r="G58" s="347" t="s">
        <v>536</v>
      </c>
      <c r="H58" s="349" t="s">
        <v>535</v>
      </c>
      <c r="I58" s="403" t="s">
        <v>135</v>
      </c>
      <c r="J58" s="347" t="s">
        <v>631</v>
      </c>
      <c r="K58" s="347" t="s">
        <v>533</v>
      </c>
      <c r="L58" s="347" t="s">
        <v>532</v>
      </c>
      <c r="M58" s="347" t="s">
        <v>82</v>
      </c>
      <c r="N58" s="347" t="s">
        <v>531</v>
      </c>
      <c r="O58" s="346" t="s">
        <v>84</v>
      </c>
      <c r="P58" s="123"/>
    </row>
    <row r="59" spans="2:22" ht="17.25">
      <c r="B59" s="309" t="s">
        <v>663</v>
      </c>
      <c r="C59" s="402" t="s">
        <v>555</v>
      </c>
      <c r="D59" s="398">
        <f>SUM(E59:H59)</f>
        <v>12941000</v>
      </c>
      <c r="E59" s="401">
        <v>1600000</v>
      </c>
      <c r="F59" s="400">
        <v>6000000</v>
      </c>
      <c r="G59" s="398">
        <v>1763000</v>
      </c>
      <c r="H59" s="398">
        <v>3578000</v>
      </c>
      <c r="I59" s="399">
        <f>SUM(K59:O59)</f>
        <v>5153500</v>
      </c>
      <c r="J59" s="398">
        <f>SUM(K59:N59)</f>
        <v>153500</v>
      </c>
      <c r="K59" s="398">
        <v>64000</v>
      </c>
      <c r="L59" s="398">
        <v>27000</v>
      </c>
      <c r="M59" s="398">
        <v>12500</v>
      </c>
      <c r="N59" s="398">
        <v>50000</v>
      </c>
      <c r="O59" s="397">
        <f>7500000*(2/3)</f>
        <v>5000000</v>
      </c>
      <c r="P59" s="123"/>
    </row>
    <row r="60" spans="2:22">
      <c r="B60" s="309" t="s">
        <v>662</v>
      </c>
      <c r="C60" s="384"/>
      <c r="D60" s="395">
        <f t="shared" ref="D60:I60" si="8">D71/D59</f>
        <v>1.507076346495634E-2</v>
      </c>
      <c r="E60" s="395">
        <f t="shared" si="8"/>
        <v>1.3909218750000002E-2</v>
      </c>
      <c r="F60" s="395">
        <f t="shared" si="8"/>
        <v>2.0403000000000001E-2</v>
      </c>
      <c r="G60" s="395">
        <f t="shared" si="8"/>
        <v>8.7775950085082228E-3</v>
      </c>
      <c r="H60" s="395">
        <f t="shared" si="8"/>
        <v>9.7493292342090542E-3</v>
      </c>
      <c r="I60" s="396">
        <f t="shared" si="8"/>
        <v>4.038342873775104E-2</v>
      </c>
      <c r="J60" s="23"/>
      <c r="K60" s="395">
        <f>K71/K59</f>
        <v>1.4718749999999999E-2</v>
      </c>
      <c r="L60" s="395">
        <f>L71/L59</f>
        <v>3.4444444444444444E-2</v>
      </c>
      <c r="M60" s="395">
        <f>M71/M59</f>
        <v>4.0800000000000003E-2</v>
      </c>
      <c r="N60" s="395">
        <f>N71/N59</f>
        <v>2.664E-2</v>
      </c>
      <c r="O60" s="394"/>
      <c r="P60" s="123"/>
    </row>
    <row r="61" spans="2:22">
      <c r="B61" s="393" t="s">
        <v>661</v>
      </c>
      <c r="C61" s="384"/>
      <c r="D61" s="23"/>
      <c r="I61" s="123"/>
      <c r="J61" s="72"/>
      <c r="P61" s="123"/>
    </row>
    <row r="62" spans="2:22" ht="30">
      <c r="B62" s="390" t="s">
        <v>171</v>
      </c>
      <c r="C62" s="384"/>
      <c r="D62" s="23"/>
      <c r="E62" s="244" t="s">
        <v>524</v>
      </c>
      <c r="F62" s="244" t="s">
        <v>51</v>
      </c>
      <c r="G62" s="388" t="s">
        <v>498</v>
      </c>
      <c r="H62" s="283" t="s">
        <v>660</v>
      </c>
      <c r="I62" s="389"/>
      <c r="J62" s="388"/>
      <c r="K62" s="392" t="s">
        <v>506</v>
      </c>
      <c r="L62" s="392" t="s">
        <v>506</v>
      </c>
      <c r="M62" s="388" t="s">
        <v>159</v>
      </c>
      <c r="N62" s="392" t="s">
        <v>506</v>
      </c>
      <c r="O62" s="388" t="s">
        <v>496</v>
      </c>
      <c r="P62" s="123"/>
    </row>
    <row r="63" spans="2:22">
      <c r="B63" s="390" t="s">
        <v>659</v>
      </c>
      <c r="C63" s="384"/>
      <c r="D63" s="23"/>
      <c r="E63" s="391">
        <v>1</v>
      </c>
      <c r="F63" s="391">
        <v>0.7</v>
      </c>
      <c r="G63" s="391">
        <v>0.5</v>
      </c>
      <c r="H63" s="391">
        <v>0.8</v>
      </c>
      <c r="I63" s="123"/>
      <c r="J63" s="72"/>
      <c r="K63" s="391">
        <v>1</v>
      </c>
      <c r="L63" s="391">
        <v>1</v>
      </c>
      <c r="M63" s="391">
        <v>0.5</v>
      </c>
      <c r="N63" s="391">
        <v>1</v>
      </c>
      <c r="O63" s="391">
        <v>1</v>
      </c>
      <c r="P63" s="123"/>
    </row>
    <row r="64" spans="2:22" ht="30">
      <c r="B64" s="390" t="s">
        <v>171</v>
      </c>
      <c r="C64" s="384"/>
      <c r="D64" s="23"/>
      <c r="F64" s="244" t="s">
        <v>504</v>
      </c>
      <c r="G64" s="388" t="s">
        <v>523</v>
      </c>
      <c r="H64" s="388" t="s">
        <v>523</v>
      </c>
      <c r="I64" s="389"/>
      <c r="J64" s="388"/>
      <c r="K64" s="388"/>
      <c r="L64" s="388"/>
      <c r="M64" s="244" t="s">
        <v>499</v>
      </c>
      <c r="N64" s="388"/>
      <c r="O64" s="388"/>
      <c r="P64" s="123"/>
    </row>
    <row r="65" spans="2:16">
      <c r="B65" s="312" t="s">
        <v>659</v>
      </c>
      <c r="C65" s="384"/>
      <c r="D65" s="23"/>
      <c r="E65" s="190"/>
      <c r="F65" s="387">
        <v>0.3</v>
      </c>
      <c r="G65" s="385">
        <v>0.5</v>
      </c>
      <c r="H65" s="386">
        <v>0.2</v>
      </c>
      <c r="I65" s="23"/>
      <c r="J65" s="23"/>
      <c r="K65" s="23"/>
      <c r="L65" s="23"/>
      <c r="M65" s="385">
        <v>0.5</v>
      </c>
      <c r="N65" s="23"/>
      <c r="O65" s="23"/>
      <c r="P65" s="123"/>
    </row>
    <row r="66" spans="2:16">
      <c r="B66" s="309"/>
      <c r="C66" s="384"/>
      <c r="D66" s="23"/>
      <c r="E66" s="190"/>
      <c r="F66" s="387"/>
      <c r="G66" s="385"/>
      <c r="H66" s="386"/>
      <c r="I66" s="23"/>
      <c r="J66" s="23"/>
      <c r="K66" s="23"/>
      <c r="L66" s="23"/>
      <c r="M66" s="385"/>
      <c r="N66" s="23"/>
      <c r="O66" s="23"/>
      <c r="P66" s="123"/>
    </row>
    <row r="67" spans="2:16">
      <c r="B67" s="262" t="s">
        <v>658</v>
      </c>
      <c r="C67" s="384"/>
      <c r="D67" s="23"/>
      <c r="E67" s="190"/>
      <c r="F67" s="190"/>
      <c r="G67" s="23"/>
      <c r="H67" s="383"/>
      <c r="I67" s="23"/>
      <c r="J67" s="23"/>
      <c r="K67" s="23"/>
      <c r="L67" s="23"/>
      <c r="M67" s="23"/>
      <c r="N67" s="23"/>
      <c r="O67" s="23"/>
      <c r="P67" s="382" t="s">
        <v>657</v>
      </c>
    </row>
    <row r="68" spans="2:16">
      <c r="B68" s="197" t="s">
        <v>656</v>
      </c>
      <c r="C68" s="379" t="s">
        <v>542</v>
      </c>
      <c r="D68" s="319">
        <f>SUM(E68:H68)</f>
        <v>21316.2</v>
      </c>
      <c r="E68" s="378">
        <f>4000*(0.5+0.5*$D$139)</f>
        <v>2700</v>
      </c>
      <c r="F68" s="378">
        <f>15000</f>
        <v>15000</v>
      </c>
      <c r="G68" s="378">
        <f>3175*$D$139</f>
        <v>1111.25</v>
      </c>
      <c r="H68" s="381">
        <f>7157*$D$139</f>
        <v>2504.9499999999998</v>
      </c>
      <c r="I68" s="320">
        <f>SUM(K68:O68)</f>
        <v>21660</v>
      </c>
      <c r="J68" s="319"/>
      <c r="K68" s="380">
        <f>117</f>
        <v>117</v>
      </c>
      <c r="L68" s="380">
        <f>115</f>
        <v>115</v>
      </c>
      <c r="M68" s="380">
        <f>63</f>
        <v>63</v>
      </c>
      <c r="N68" s="380">
        <f>165</f>
        <v>165</v>
      </c>
      <c r="O68" s="380">
        <f>21200</f>
        <v>21200</v>
      </c>
      <c r="P68" s="123"/>
    </row>
    <row r="69" spans="2:16">
      <c r="B69" s="197" t="s">
        <v>655</v>
      </c>
      <c r="C69" s="379" t="s">
        <v>542</v>
      </c>
      <c r="D69" s="319">
        <f>SUM(E69:H69)</f>
        <v>32505.125</v>
      </c>
      <c r="E69" s="378">
        <f>5495*(0.5+0.5*$D$139)</f>
        <v>3709.1250000000005</v>
      </c>
      <c r="F69" s="378">
        <f>20403</f>
        <v>20403</v>
      </c>
      <c r="G69" s="378">
        <f>7369*$D$139</f>
        <v>2579.1499999999996</v>
      </c>
      <c r="H69" s="381">
        <f>16611*$D$139</f>
        <v>5813.8499999999995</v>
      </c>
      <c r="I69" s="320">
        <f>SUM(K69:O69)</f>
        <v>34686</v>
      </c>
      <c r="J69" s="319"/>
      <c r="K69" s="380">
        <f>157</f>
        <v>157</v>
      </c>
      <c r="L69" s="380">
        <f>155</f>
        <v>155</v>
      </c>
      <c r="M69" s="380">
        <f>85</f>
        <v>85</v>
      </c>
      <c r="N69" s="380">
        <f>222</f>
        <v>222</v>
      </c>
      <c r="O69" s="380">
        <f>34067</f>
        <v>34067</v>
      </c>
      <c r="P69" s="123"/>
    </row>
    <row r="70" spans="2:16">
      <c r="B70" s="197" t="s">
        <v>654</v>
      </c>
      <c r="C70" s="379" t="s">
        <v>539</v>
      </c>
      <c r="D70" s="319">
        <f>SUM(E70:H70)</f>
        <v>127897.2</v>
      </c>
      <c r="E70" s="378">
        <f>E68*$D$142</f>
        <v>16200</v>
      </c>
      <c r="F70" s="378">
        <f t="shared" ref="E70:H71" si="9">F68*$D$142</f>
        <v>90000</v>
      </c>
      <c r="G70" s="378">
        <f t="shared" si="9"/>
        <v>6667.5</v>
      </c>
      <c r="H70" s="378">
        <f t="shared" si="9"/>
        <v>15029.699999999999</v>
      </c>
      <c r="I70" s="320">
        <f>SUM(K70:O70)</f>
        <v>129960</v>
      </c>
      <c r="J70" s="319"/>
      <c r="K70" s="378">
        <f t="shared" ref="K70:O71" si="10">K68*$D$142</f>
        <v>702</v>
      </c>
      <c r="L70" s="378">
        <f t="shared" si="10"/>
        <v>690</v>
      </c>
      <c r="M70" s="378">
        <f t="shared" si="10"/>
        <v>378</v>
      </c>
      <c r="N70" s="378">
        <f t="shared" si="10"/>
        <v>990</v>
      </c>
      <c r="O70" s="378">
        <f t="shared" si="10"/>
        <v>127200</v>
      </c>
      <c r="P70" s="123"/>
    </row>
    <row r="71" spans="2:16">
      <c r="B71" s="197" t="s">
        <v>653</v>
      </c>
      <c r="C71" s="379" t="s">
        <v>539</v>
      </c>
      <c r="D71" s="319">
        <f>SUM(E71:H71)</f>
        <v>195030.75</v>
      </c>
      <c r="E71" s="378">
        <f t="shared" si="9"/>
        <v>22254.750000000004</v>
      </c>
      <c r="F71" s="378">
        <f t="shared" si="9"/>
        <v>122418</v>
      </c>
      <c r="G71" s="378">
        <f t="shared" si="9"/>
        <v>15474.899999999998</v>
      </c>
      <c r="H71" s="378">
        <f t="shared" si="9"/>
        <v>34883.1</v>
      </c>
      <c r="I71" s="320">
        <f>SUM(K71:O71)</f>
        <v>208116</v>
      </c>
      <c r="J71" s="319"/>
      <c r="K71" s="378">
        <f t="shared" si="10"/>
        <v>942</v>
      </c>
      <c r="L71" s="378">
        <f t="shared" si="10"/>
        <v>930</v>
      </c>
      <c r="M71" s="378">
        <f t="shared" si="10"/>
        <v>510</v>
      </c>
      <c r="N71" s="378">
        <f t="shared" si="10"/>
        <v>1332</v>
      </c>
      <c r="O71" s="378">
        <f t="shared" si="10"/>
        <v>204402</v>
      </c>
      <c r="P71" s="123"/>
    </row>
    <row r="72" spans="2:16">
      <c r="B72" s="136" t="s">
        <v>652</v>
      </c>
      <c r="C72" s="377" t="s">
        <v>227</v>
      </c>
      <c r="D72" s="376">
        <f t="shared" ref="D72:I72" si="11">(D69/D68)^(1/20)-1</f>
        <v>2.1320625880545396E-2</v>
      </c>
      <c r="E72" s="223">
        <f t="shared" si="11"/>
        <v>1.6003923982960133E-2</v>
      </c>
      <c r="F72" s="223">
        <f t="shared" si="11"/>
        <v>1.5500492872707161E-2</v>
      </c>
      <c r="G72" s="223">
        <f t="shared" si="11"/>
        <v>4.299743730351846E-2</v>
      </c>
      <c r="H72" s="331">
        <f t="shared" si="11"/>
        <v>4.2997429393022868E-2</v>
      </c>
      <c r="I72" s="375">
        <f t="shared" si="11"/>
        <v>2.3822780055726689E-2</v>
      </c>
      <c r="J72" s="331"/>
      <c r="K72" s="331">
        <f>(K69/K68)^(1/20)-1</f>
        <v>1.481222312096131E-2</v>
      </c>
      <c r="L72" s="331">
        <f>(L69/L68)^(1/20)-1</f>
        <v>1.5036578147137991E-2</v>
      </c>
      <c r="M72" s="331">
        <f>(M69/M68)^(1/20)-1</f>
        <v>1.5088526081657561E-2</v>
      </c>
      <c r="N72" s="331">
        <f>(N69/N68)^(1/20)-1</f>
        <v>1.4947204021565463E-2</v>
      </c>
      <c r="O72" s="374">
        <f>(O69/O68)^(1/20)-1</f>
        <v>2.3999869939983931E-2</v>
      </c>
      <c r="P72" s="123"/>
    </row>
    <row r="73" spans="2:16">
      <c r="B73" s="136" t="s">
        <v>651</v>
      </c>
      <c r="C73" s="322" t="s">
        <v>1137</v>
      </c>
      <c r="D73" s="373"/>
      <c r="E73" s="372"/>
      <c r="F73" s="372"/>
      <c r="G73" s="372"/>
      <c r="H73" s="371"/>
      <c r="I73" s="72"/>
      <c r="J73" s="72"/>
      <c r="K73" s="324"/>
      <c r="L73" s="324"/>
      <c r="M73" s="324"/>
      <c r="N73" s="324"/>
      <c r="O73" s="370"/>
      <c r="P73" s="123"/>
    </row>
    <row r="74" spans="2:16">
      <c r="B74" s="369"/>
      <c r="C74" s="352"/>
      <c r="D74" s="134"/>
      <c r="E74" s="69"/>
      <c r="F74" s="69"/>
      <c r="G74" s="69"/>
      <c r="H74" s="368"/>
      <c r="I74" s="69"/>
      <c r="J74" s="69"/>
      <c r="K74" s="367"/>
      <c r="L74" s="367"/>
      <c r="M74" s="367"/>
      <c r="N74" s="367"/>
      <c r="O74" s="366"/>
      <c r="P74" s="123"/>
    </row>
    <row r="75" spans="2:16">
      <c r="B75" s="262" t="s">
        <v>650</v>
      </c>
      <c r="C75" s="323"/>
      <c r="D75" s="72"/>
      <c r="E75" s="72"/>
      <c r="F75" s="72"/>
      <c r="G75" s="72"/>
      <c r="H75" s="122"/>
      <c r="I75" s="256"/>
      <c r="J75" s="256"/>
      <c r="K75" s="256"/>
      <c r="L75" s="256"/>
      <c r="M75" s="256"/>
      <c r="N75" s="256"/>
      <c r="O75" s="365"/>
      <c r="P75" s="123"/>
    </row>
    <row r="76" spans="2:16">
      <c r="B76" s="262"/>
      <c r="C76" s="328" t="s">
        <v>539</v>
      </c>
      <c r="D76" s="1305" t="s">
        <v>649</v>
      </c>
      <c r="E76" s="1305"/>
      <c r="F76" s="1305"/>
      <c r="G76" s="1305"/>
      <c r="H76" s="1305"/>
      <c r="I76" s="362" t="s">
        <v>575</v>
      </c>
      <c r="J76" s="256"/>
      <c r="K76" s="256"/>
      <c r="L76" s="256"/>
      <c r="M76" s="256"/>
      <c r="N76" s="256"/>
      <c r="O76" s="256"/>
      <c r="P76" s="123"/>
    </row>
    <row r="77" spans="2:16">
      <c r="B77" s="262"/>
      <c r="C77" s="328"/>
      <c r="D77" s="206"/>
      <c r="E77" s="206"/>
      <c r="F77" s="206"/>
      <c r="G77" s="206"/>
      <c r="H77" s="206"/>
      <c r="I77" s="351"/>
      <c r="J77" s="256" t="s">
        <v>648</v>
      </c>
      <c r="K77" s="256"/>
      <c r="L77" s="256"/>
      <c r="M77" s="357">
        <f>'Travel time analysis'!$Z$49+'Travel time analysis'!$Z$139</f>
        <v>15127.91345264269</v>
      </c>
      <c r="N77" s="256" t="s">
        <v>647</v>
      </c>
      <c r="O77" s="256"/>
      <c r="P77" s="123"/>
    </row>
    <row r="78" spans="2:16">
      <c r="B78" s="262"/>
      <c r="C78" s="328"/>
      <c r="D78" s="206"/>
      <c r="E78" s="206"/>
      <c r="F78" s="206"/>
      <c r="G78" s="206"/>
      <c r="H78" s="206"/>
      <c r="I78" s="351"/>
      <c r="J78" s="256"/>
      <c r="K78" s="256"/>
      <c r="L78" s="256"/>
      <c r="M78" s="256"/>
      <c r="N78" s="256"/>
      <c r="O78" s="256"/>
      <c r="P78" s="123"/>
    </row>
    <row r="79" spans="2:16">
      <c r="B79" s="262"/>
      <c r="C79" s="328"/>
      <c r="D79" s="206"/>
      <c r="E79" s="206"/>
      <c r="F79" s="206"/>
      <c r="G79" s="206"/>
      <c r="H79" s="206"/>
      <c r="I79" s="362" t="s">
        <v>612</v>
      </c>
      <c r="J79" s="256"/>
      <c r="K79" s="256"/>
      <c r="L79" s="256"/>
      <c r="M79" s="256"/>
      <c r="N79" s="256"/>
      <c r="O79" s="256"/>
      <c r="P79" s="123"/>
    </row>
    <row r="80" spans="2:16">
      <c r="B80" s="262"/>
      <c r="C80" s="328"/>
      <c r="D80" s="206"/>
      <c r="E80" s="206"/>
      <c r="F80" s="206"/>
      <c r="G80" s="206"/>
      <c r="H80" s="206"/>
      <c r="I80" s="351"/>
      <c r="J80" s="256" t="s">
        <v>646</v>
      </c>
      <c r="K80" s="256"/>
      <c r="L80" s="256"/>
      <c r="M80" s="254"/>
      <c r="N80" s="254"/>
      <c r="O80" s="256"/>
      <c r="P80" s="123"/>
    </row>
    <row r="81" spans="2:16">
      <c r="B81" s="262"/>
      <c r="C81" s="328"/>
      <c r="D81" s="206"/>
      <c r="E81" s="206"/>
      <c r="F81" s="206"/>
      <c r="G81" s="206"/>
      <c r="H81" s="206"/>
      <c r="I81" s="351"/>
      <c r="J81" s="363">
        <v>30</v>
      </c>
      <c r="K81" s="256" t="s">
        <v>645</v>
      </c>
      <c r="L81" s="256"/>
      <c r="M81" s="354">
        <f>I71/J81</f>
        <v>6937.2</v>
      </c>
      <c r="N81" s="254" t="s">
        <v>644</v>
      </c>
      <c r="O81" s="256"/>
      <c r="P81" s="123"/>
    </row>
    <row r="82" spans="2:16">
      <c r="B82" s="262"/>
      <c r="C82" s="328"/>
      <c r="D82" s="206"/>
      <c r="E82" s="206"/>
      <c r="F82" s="206"/>
      <c r="G82" s="206"/>
      <c r="H82" s="206"/>
      <c r="I82" s="351"/>
      <c r="J82" s="364" t="s">
        <v>643</v>
      </c>
      <c r="K82" s="256"/>
      <c r="L82" s="256"/>
      <c r="M82" s="254"/>
      <c r="N82" s="254"/>
      <c r="O82" s="256"/>
      <c r="P82" s="123"/>
    </row>
    <row r="83" spans="2:16">
      <c r="B83" s="262"/>
      <c r="C83" s="328"/>
      <c r="D83" s="206"/>
      <c r="E83" s="206"/>
      <c r="F83" s="206"/>
      <c r="G83" s="206"/>
      <c r="H83" s="206"/>
      <c r="I83" s="351"/>
      <c r="J83" s="363" t="s">
        <v>642</v>
      </c>
      <c r="K83" s="363">
        <v>1.2</v>
      </c>
      <c r="L83" s="256" t="s">
        <v>641</v>
      </c>
      <c r="M83" s="254"/>
      <c r="N83" s="254"/>
      <c r="O83" s="256"/>
      <c r="P83" s="123"/>
    </row>
    <row r="84" spans="2:16">
      <c r="B84" s="262"/>
      <c r="C84" s="328"/>
      <c r="D84" s="206"/>
      <c r="E84" s="206"/>
      <c r="F84" s="206"/>
      <c r="G84" s="206"/>
      <c r="H84" s="206"/>
      <c r="I84" s="351"/>
      <c r="J84" s="357">
        <f>M81*K83</f>
        <v>8324.64</v>
      </c>
      <c r="K84" s="256" t="s">
        <v>640</v>
      </c>
      <c r="L84" s="256"/>
      <c r="M84" s="254"/>
      <c r="N84" s="254"/>
      <c r="O84" s="256"/>
      <c r="P84" s="123"/>
    </row>
    <row r="85" spans="2:16">
      <c r="B85" s="262"/>
      <c r="C85" s="328"/>
      <c r="D85" s="206"/>
      <c r="E85" s="206"/>
      <c r="F85" s="206"/>
      <c r="G85" s="206"/>
      <c r="H85" s="206"/>
      <c r="I85" s="351"/>
      <c r="J85" s="354"/>
      <c r="K85" s="256"/>
      <c r="L85" s="256"/>
      <c r="M85" s="254"/>
      <c r="N85" s="254"/>
      <c r="O85" s="256"/>
      <c r="P85" s="123"/>
    </row>
    <row r="86" spans="2:16">
      <c r="B86" s="262"/>
      <c r="C86" s="328"/>
      <c r="D86" s="206"/>
      <c r="E86" s="206"/>
      <c r="F86" s="206"/>
      <c r="G86" s="206"/>
      <c r="H86" s="206"/>
      <c r="I86" s="362" t="s">
        <v>639</v>
      </c>
      <c r="J86" s="256"/>
      <c r="K86" s="256"/>
      <c r="L86" s="256"/>
      <c r="M86" s="256"/>
      <c r="N86" s="256"/>
      <c r="O86" s="256"/>
      <c r="P86" s="123"/>
    </row>
    <row r="87" spans="2:16">
      <c r="B87" s="262"/>
      <c r="C87" s="328"/>
      <c r="D87" s="206"/>
      <c r="E87" s="206"/>
      <c r="F87" s="206"/>
      <c r="G87" s="206"/>
      <c r="H87" s="206"/>
      <c r="I87" s="351"/>
      <c r="J87" s="256" t="s">
        <v>638</v>
      </c>
      <c r="K87" s="256"/>
      <c r="L87" s="256"/>
      <c r="M87" s="256"/>
      <c r="N87" s="256"/>
      <c r="O87" s="256"/>
      <c r="P87" s="123"/>
    </row>
    <row r="88" spans="2:16">
      <c r="B88" s="262"/>
      <c r="C88" s="328"/>
      <c r="D88" s="206"/>
      <c r="E88" s="206"/>
      <c r="F88" s="206"/>
      <c r="G88" s="206"/>
      <c r="H88" s="206"/>
      <c r="I88" s="351"/>
      <c r="K88" s="361" t="s">
        <v>637</v>
      </c>
      <c r="L88" s="361"/>
      <c r="M88" s="361" t="s">
        <v>636</v>
      </c>
      <c r="N88" s="361"/>
      <c r="O88" s="360"/>
      <c r="P88" s="123"/>
    </row>
    <row r="89" spans="2:16">
      <c r="B89" s="262"/>
      <c r="C89" s="328"/>
      <c r="D89" s="206"/>
      <c r="E89" s="206"/>
      <c r="F89" s="206"/>
      <c r="G89" s="206"/>
      <c r="H89" s="206"/>
      <c r="I89" s="351"/>
      <c r="J89" s="256" t="s">
        <v>635</v>
      </c>
      <c r="K89" s="359">
        <f>'BA data'!D32</f>
        <v>984.60372078409853</v>
      </c>
      <c r="L89" s="256"/>
      <c r="M89" s="354">
        <f>'BA data'!G35</f>
        <v>2231.9081956530863</v>
      </c>
      <c r="N89" s="256"/>
      <c r="O89" s="256"/>
      <c r="P89" s="123"/>
    </row>
    <row r="90" spans="2:16">
      <c r="B90" s="262"/>
      <c r="C90" s="328"/>
      <c r="D90" s="206"/>
      <c r="E90" s="206"/>
      <c r="F90" s="206"/>
      <c r="G90" s="206"/>
      <c r="H90" s="206"/>
      <c r="I90" s="351"/>
      <c r="J90" s="256" t="s">
        <v>634</v>
      </c>
      <c r="K90" s="358">
        <f>'BA data'!D33</f>
        <v>109.40041342045537</v>
      </c>
      <c r="L90" s="256"/>
      <c r="M90" s="354">
        <f>'BA data'!G36</f>
        <v>15623.357369571604</v>
      </c>
      <c r="N90" s="256"/>
      <c r="O90" s="256"/>
      <c r="P90" s="123"/>
    </row>
    <row r="91" spans="2:16">
      <c r="B91" s="262"/>
      <c r="C91" s="328"/>
      <c r="D91" s="206"/>
      <c r="E91" s="206"/>
      <c r="F91" s="206"/>
      <c r="G91" s="206"/>
      <c r="H91" s="206"/>
      <c r="I91" s="351"/>
      <c r="J91" s="356" t="s">
        <v>72</v>
      </c>
      <c r="K91" s="357">
        <f>SUM(K89:K90)</f>
        <v>1094.0041342045538</v>
      </c>
      <c r="L91" s="256"/>
      <c r="M91" s="354">
        <f>SUMPRODUCT(K89:K90,M89:M90)/SUM(K89:K90)</f>
        <v>3571.0531130449376</v>
      </c>
      <c r="N91" s="256" t="s">
        <v>633</v>
      </c>
      <c r="O91" s="256"/>
      <c r="P91" s="123"/>
    </row>
    <row r="92" spans="2:16" ht="15.75" thickBot="1">
      <c r="B92" s="262"/>
      <c r="C92" s="328"/>
      <c r="D92" s="206"/>
      <c r="E92" s="206"/>
      <c r="F92" s="206"/>
      <c r="G92" s="206"/>
      <c r="H92" s="206"/>
      <c r="I92" s="351"/>
      <c r="J92" s="356"/>
      <c r="K92" s="354"/>
      <c r="L92" s="256"/>
      <c r="M92" s="354"/>
      <c r="N92" s="256"/>
      <c r="O92" s="256"/>
      <c r="P92" s="123"/>
    </row>
    <row r="93" spans="2:16" ht="15.75" thickBot="1">
      <c r="B93" s="262"/>
      <c r="C93" s="328"/>
      <c r="D93" s="206"/>
      <c r="E93" s="206"/>
      <c r="F93" s="206"/>
      <c r="G93" s="206"/>
      <c r="H93" s="206"/>
      <c r="I93" s="351" t="s">
        <v>632</v>
      </c>
      <c r="J93" s="256"/>
      <c r="K93" s="354"/>
      <c r="L93" s="355">
        <f>M77+J84+K91</f>
        <v>24546.557586847244</v>
      </c>
      <c r="M93" s="354"/>
      <c r="N93" s="256"/>
      <c r="O93" s="256"/>
      <c r="P93" s="123"/>
    </row>
    <row r="94" spans="2:16">
      <c r="B94" s="353"/>
      <c r="C94" s="352"/>
      <c r="D94" s="206"/>
      <c r="E94" s="206"/>
      <c r="F94" s="206"/>
      <c r="G94" s="206"/>
      <c r="H94" s="206"/>
      <c r="I94" s="351"/>
      <c r="J94" s="256"/>
      <c r="K94" s="256"/>
      <c r="L94" s="256"/>
      <c r="M94" s="256"/>
      <c r="N94" s="256"/>
      <c r="O94" s="256"/>
      <c r="P94" s="123"/>
    </row>
    <row r="95" spans="2:16" ht="60">
      <c r="B95" s="262" t="s">
        <v>570</v>
      </c>
      <c r="C95" s="328"/>
      <c r="D95" s="348" t="s">
        <v>135</v>
      </c>
      <c r="E95" s="350" t="s">
        <v>524</v>
      </c>
      <c r="F95" s="350" t="s">
        <v>51</v>
      </c>
      <c r="G95" s="347" t="s">
        <v>536</v>
      </c>
      <c r="H95" s="349" t="s">
        <v>535</v>
      </c>
      <c r="I95" s="348" t="s">
        <v>135</v>
      </c>
      <c r="J95" s="347" t="s">
        <v>631</v>
      </c>
      <c r="K95" s="347" t="s">
        <v>533</v>
      </c>
      <c r="L95" s="347" t="s">
        <v>532</v>
      </c>
      <c r="M95" s="347" t="s">
        <v>82</v>
      </c>
      <c r="N95" s="347" t="s">
        <v>531</v>
      </c>
      <c r="O95" s="346" t="s">
        <v>84</v>
      </c>
      <c r="P95" s="123"/>
    </row>
    <row r="96" spans="2:16">
      <c r="B96" s="197" t="s">
        <v>627</v>
      </c>
      <c r="C96" s="328" t="s">
        <v>227</v>
      </c>
      <c r="D96" s="206"/>
      <c r="E96" s="332">
        <v>1</v>
      </c>
      <c r="F96" s="332">
        <v>1</v>
      </c>
      <c r="G96" s="332">
        <f>G63</f>
        <v>0.5</v>
      </c>
      <c r="H96" s="332">
        <v>0.5</v>
      </c>
      <c r="I96" s="326"/>
      <c r="J96" s="325"/>
      <c r="K96" s="332">
        <f>K63</f>
        <v>1</v>
      </c>
      <c r="L96" s="332">
        <f>L63</f>
        <v>1</v>
      </c>
      <c r="M96" s="332">
        <f>M63+M65</f>
        <v>1</v>
      </c>
      <c r="N96" s="332">
        <f>N63</f>
        <v>1</v>
      </c>
      <c r="O96" s="332">
        <f>O63</f>
        <v>1</v>
      </c>
      <c r="P96" s="123"/>
    </row>
    <row r="97" spans="2:16">
      <c r="B97" s="197" t="s">
        <v>626</v>
      </c>
      <c r="C97" s="328" t="s">
        <v>404</v>
      </c>
      <c r="D97" s="206"/>
      <c r="E97" s="309">
        <v>6</v>
      </c>
      <c r="F97" s="309">
        <v>6</v>
      </c>
      <c r="G97" s="309">
        <v>38</v>
      </c>
      <c r="H97" s="309">
        <v>38</v>
      </c>
      <c r="I97" s="326"/>
      <c r="J97" s="325"/>
      <c r="K97" s="344">
        <v>13</v>
      </c>
      <c r="L97" s="344">
        <v>13</v>
      </c>
      <c r="M97" s="345">
        <v>7</v>
      </c>
      <c r="N97" s="344">
        <v>13</v>
      </c>
      <c r="O97" s="212">
        <v>28</v>
      </c>
      <c r="P97" s="123"/>
    </row>
    <row r="98" spans="2:16" ht="30" customHeight="1">
      <c r="B98" s="343" t="s">
        <v>625</v>
      </c>
      <c r="C98" s="328"/>
      <c r="D98" s="206"/>
      <c r="E98" s="342" t="s">
        <v>630</v>
      </c>
      <c r="F98" s="342" t="s">
        <v>630</v>
      </c>
      <c r="G98" s="341" t="s">
        <v>629</v>
      </c>
      <c r="H98" s="341" t="s">
        <v>629</v>
      </c>
      <c r="I98" s="340"/>
      <c r="J98" s="339"/>
      <c r="K98" s="338" t="s">
        <v>506</v>
      </c>
      <c r="L98" s="338" t="s">
        <v>506</v>
      </c>
      <c r="M98" s="338" t="s">
        <v>82</v>
      </c>
      <c r="N98" s="338" t="s">
        <v>506</v>
      </c>
      <c r="O98" s="337" t="s">
        <v>628</v>
      </c>
      <c r="P98" s="123"/>
    </row>
    <row r="99" spans="2:16">
      <c r="B99" s="270" t="s">
        <v>623</v>
      </c>
      <c r="C99" s="144"/>
      <c r="I99" s="123"/>
      <c r="P99" s="123"/>
    </row>
    <row r="100" spans="2:16">
      <c r="B100" s="330" t="s">
        <v>621</v>
      </c>
      <c r="C100" s="322" t="s">
        <v>1137</v>
      </c>
      <c r="E100" s="106">
        <v>0</v>
      </c>
      <c r="F100" s="106">
        <v>0</v>
      </c>
      <c r="G100" s="106">
        <v>0</v>
      </c>
      <c r="H100" s="106">
        <v>0</v>
      </c>
      <c r="I100" s="123" t="s">
        <v>1291</v>
      </c>
      <c r="K100" s="106">
        <v>0</v>
      </c>
      <c r="L100" s="106">
        <v>0</v>
      </c>
      <c r="M100" s="106">
        <v>0</v>
      </c>
      <c r="N100" s="106">
        <v>0</v>
      </c>
      <c r="O100" s="232">
        <v>0</v>
      </c>
      <c r="P100" s="123" t="s">
        <v>1296</v>
      </c>
    </row>
    <row r="101" spans="2:16">
      <c r="B101" s="330" t="s">
        <v>620</v>
      </c>
      <c r="C101" s="322" t="s">
        <v>1137</v>
      </c>
      <c r="E101" s="106">
        <v>75235.174162225172</v>
      </c>
      <c r="F101" s="106">
        <v>75235.174162225172</v>
      </c>
      <c r="G101" s="106">
        <v>75235.174162225172</v>
      </c>
      <c r="H101" s="106">
        <v>75235.174162225172</v>
      </c>
      <c r="I101" s="123" t="s">
        <v>1292</v>
      </c>
      <c r="K101" s="106">
        <v>167640.80483384151</v>
      </c>
      <c r="L101" s="106">
        <v>167640.80483384151</v>
      </c>
      <c r="M101" s="106">
        <v>136913.07374453908</v>
      </c>
      <c r="N101" s="106">
        <v>167640.80483384151</v>
      </c>
      <c r="O101" s="232">
        <v>68784.489454661176</v>
      </c>
      <c r="P101" s="123" t="s">
        <v>1297</v>
      </c>
    </row>
    <row r="102" spans="2:16">
      <c r="B102" s="330" t="s">
        <v>619</v>
      </c>
      <c r="C102" s="322" t="s">
        <v>1137</v>
      </c>
      <c r="E102" s="106">
        <v>0</v>
      </c>
      <c r="F102" s="106">
        <v>0</v>
      </c>
      <c r="G102" s="106">
        <v>0</v>
      </c>
      <c r="H102" s="106">
        <v>0</v>
      </c>
      <c r="I102" s="123" t="s">
        <v>1293</v>
      </c>
      <c r="K102" s="106">
        <v>0</v>
      </c>
      <c r="L102" s="106">
        <v>0</v>
      </c>
      <c r="M102" s="106">
        <v>0</v>
      </c>
      <c r="N102" s="106">
        <v>0</v>
      </c>
      <c r="O102" s="232">
        <v>0</v>
      </c>
      <c r="P102" s="123" t="s">
        <v>1298</v>
      </c>
    </row>
    <row r="103" spans="2:16">
      <c r="B103" s="330" t="s">
        <v>618</v>
      </c>
      <c r="C103" s="322" t="s">
        <v>1137</v>
      </c>
      <c r="E103" s="106">
        <v>129013.69415127992</v>
      </c>
      <c r="F103" s="106">
        <v>129013.69415127992</v>
      </c>
      <c r="G103" s="106">
        <v>129013.69415127992</v>
      </c>
      <c r="H103" s="106">
        <v>129013.69415127992</v>
      </c>
      <c r="I103" s="123" t="s">
        <v>1294</v>
      </c>
      <c r="K103" s="106">
        <v>230507.88899752332</v>
      </c>
      <c r="L103" s="106">
        <v>230507.88899752332</v>
      </c>
      <c r="M103" s="106">
        <v>0</v>
      </c>
      <c r="N103" s="106">
        <v>230507.88899752332</v>
      </c>
      <c r="O103" s="232">
        <v>232589.67495531368</v>
      </c>
      <c r="P103" s="123" t="s">
        <v>1299</v>
      </c>
    </row>
    <row r="104" spans="2:16">
      <c r="B104" s="330" t="s">
        <v>617</v>
      </c>
      <c r="C104" s="322" t="s">
        <v>1137</v>
      </c>
      <c r="E104" s="106">
        <v>26378.794670630839</v>
      </c>
      <c r="F104" s="106">
        <v>26378.794670630839</v>
      </c>
      <c r="G104" s="106">
        <v>26378.794670630839</v>
      </c>
      <c r="H104" s="106">
        <v>26378.794670630839</v>
      </c>
      <c r="I104" s="123" t="s">
        <v>1295</v>
      </c>
      <c r="K104" s="106">
        <v>179190.4392571988</v>
      </c>
      <c r="L104" s="106">
        <v>179190.4392571988</v>
      </c>
      <c r="M104" s="106">
        <v>60314.757544199165</v>
      </c>
      <c r="N104" s="106">
        <v>179190.4392571988</v>
      </c>
      <c r="O104" s="232">
        <v>25238.090036225185</v>
      </c>
      <c r="P104" s="123" t="s">
        <v>1300</v>
      </c>
    </row>
    <row r="105" spans="2:16">
      <c r="B105" s="330"/>
      <c r="C105" s="144"/>
      <c r="E105" s="336"/>
      <c r="I105" s="123"/>
      <c r="P105" s="123"/>
    </row>
    <row r="106" spans="2:16">
      <c r="B106" s="197" t="s">
        <v>627</v>
      </c>
      <c r="C106" s="328" t="s">
        <v>227</v>
      </c>
      <c r="D106" s="206"/>
      <c r="E106" s="309"/>
      <c r="F106" s="335"/>
      <c r="G106" s="332">
        <f>G65</f>
        <v>0.5</v>
      </c>
      <c r="H106" s="332">
        <v>0.5</v>
      </c>
      <c r="I106" s="326"/>
      <c r="J106" s="325"/>
      <c r="K106" s="325"/>
      <c r="L106" s="325"/>
      <c r="M106" s="325"/>
      <c r="N106" s="325"/>
      <c r="O106" s="325"/>
      <c r="P106" s="123"/>
    </row>
    <row r="107" spans="2:16">
      <c r="B107" s="197" t="s">
        <v>626</v>
      </c>
      <c r="C107" s="328" t="s">
        <v>404</v>
      </c>
      <c r="D107" s="206"/>
      <c r="E107" s="309"/>
      <c r="F107" s="212"/>
      <c r="G107" s="212">
        <v>23</v>
      </c>
      <c r="H107" s="212">
        <v>23</v>
      </c>
      <c r="I107" s="326"/>
      <c r="J107" s="325"/>
      <c r="K107" s="325"/>
      <c r="L107" s="325"/>
      <c r="M107" s="325"/>
      <c r="N107" s="325"/>
      <c r="O107" s="325"/>
      <c r="P107" s="123"/>
    </row>
    <row r="108" spans="2:16">
      <c r="B108" s="197" t="s">
        <v>625</v>
      </c>
      <c r="C108" s="328"/>
      <c r="D108" s="206"/>
      <c r="E108" s="309"/>
      <c r="F108" s="212"/>
      <c r="G108" s="245" t="s">
        <v>624</v>
      </c>
      <c r="H108" s="245" t="s">
        <v>624</v>
      </c>
      <c r="I108" s="326"/>
      <c r="J108" s="325"/>
      <c r="K108" s="325"/>
      <c r="L108" s="325"/>
      <c r="M108" s="325"/>
      <c r="N108" s="325"/>
      <c r="O108" s="325"/>
      <c r="P108" s="123"/>
    </row>
    <row r="109" spans="2:16">
      <c r="B109" s="270" t="s">
        <v>623</v>
      </c>
      <c r="C109" s="328"/>
      <c r="D109" s="206"/>
      <c r="E109" s="309"/>
      <c r="F109" s="309"/>
      <c r="G109" s="245"/>
      <c r="H109" s="245"/>
      <c r="I109" s="326"/>
      <c r="J109" s="325"/>
      <c r="K109" s="325"/>
      <c r="L109" s="325"/>
      <c r="M109" s="325"/>
      <c r="N109" s="325"/>
      <c r="O109" s="325"/>
      <c r="P109" s="123"/>
    </row>
    <row r="110" spans="2:16">
      <c r="B110" s="330" t="s">
        <v>621</v>
      </c>
      <c r="C110" s="322" t="s">
        <v>1137</v>
      </c>
      <c r="D110" s="206"/>
      <c r="E110" s="309"/>
      <c r="F110" s="106"/>
      <c r="G110" s="106">
        <v>0</v>
      </c>
      <c r="H110" s="106">
        <v>0</v>
      </c>
      <c r="I110" s="123" t="s">
        <v>1296</v>
      </c>
      <c r="J110" s="325"/>
      <c r="K110" s="325"/>
      <c r="L110" s="325"/>
      <c r="M110" s="325"/>
      <c r="N110" s="325"/>
      <c r="O110" s="325"/>
      <c r="P110" s="123"/>
    </row>
    <row r="111" spans="2:16">
      <c r="B111" s="330" t="s">
        <v>620</v>
      </c>
      <c r="C111" s="322" t="s">
        <v>1137</v>
      </c>
      <c r="D111" s="206"/>
      <c r="E111" s="309"/>
      <c r="F111" s="106"/>
      <c r="G111" s="106">
        <v>68613.383759500328</v>
      </c>
      <c r="H111" s="106">
        <v>68613.383759500328</v>
      </c>
      <c r="I111" s="123" t="s">
        <v>1296</v>
      </c>
      <c r="J111" s="325"/>
      <c r="K111" s="325"/>
      <c r="L111" s="325"/>
      <c r="M111" s="325"/>
      <c r="N111" s="325"/>
      <c r="O111" s="325"/>
      <c r="P111" s="123"/>
    </row>
    <row r="112" spans="2:16">
      <c r="B112" s="330" t="s">
        <v>619</v>
      </c>
      <c r="C112" s="322" t="s">
        <v>1137</v>
      </c>
      <c r="D112" s="206"/>
      <c r="E112" s="309"/>
      <c r="F112" s="106"/>
      <c r="G112" s="106">
        <v>0</v>
      </c>
      <c r="H112" s="106">
        <v>0</v>
      </c>
      <c r="I112" s="123" t="s">
        <v>1296</v>
      </c>
      <c r="J112" s="325"/>
      <c r="K112" s="325"/>
      <c r="L112" s="325"/>
      <c r="M112" s="325"/>
      <c r="N112" s="325"/>
      <c r="O112" s="325"/>
      <c r="P112" s="123"/>
    </row>
    <row r="113" spans="2:16">
      <c r="B113" s="330" t="s">
        <v>618</v>
      </c>
      <c r="C113" s="322" t="s">
        <v>1137</v>
      </c>
      <c r="F113" s="106"/>
      <c r="G113" s="106">
        <v>100439.0430594182</v>
      </c>
      <c r="H113" s="106">
        <v>100439.0430594182</v>
      </c>
      <c r="I113" s="123" t="s">
        <v>1296</v>
      </c>
      <c r="P113" s="123"/>
    </row>
    <row r="114" spans="2:16">
      <c r="B114" s="330" t="s">
        <v>617</v>
      </c>
      <c r="C114" s="322" t="s">
        <v>1137</v>
      </c>
      <c r="D114" s="206"/>
      <c r="E114" s="309"/>
      <c r="F114" s="106"/>
      <c r="G114" s="106">
        <v>25437.713347246176</v>
      </c>
      <c r="H114" s="106">
        <v>25437.713347246176</v>
      </c>
      <c r="I114" s="123" t="s">
        <v>1296</v>
      </c>
      <c r="J114" s="325"/>
      <c r="K114" s="325"/>
      <c r="L114" s="325"/>
      <c r="M114" s="325"/>
      <c r="N114" s="325"/>
      <c r="O114" s="325"/>
      <c r="P114" s="123"/>
    </row>
    <row r="115" spans="2:16">
      <c r="B115" s="330"/>
      <c r="C115" s="322"/>
      <c r="D115" s="206"/>
      <c r="E115" s="309"/>
      <c r="F115" s="332"/>
      <c r="G115" s="332"/>
      <c r="H115" s="332"/>
      <c r="I115" s="326"/>
      <c r="J115" s="325"/>
      <c r="K115" s="325"/>
      <c r="L115" s="325"/>
      <c r="M115" s="325"/>
      <c r="N115" s="325"/>
      <c r="O115" s="325"/>
      <c r="P115" s="123"/>
    </row>
    <row r="116" spans="2:16">
      <c r="B116" s="270" t="s">
        <v>622</v>
      </c>
      <c r="C116" s="328"/>
      <c r="D116" s="206"/>
      <c r="E116" s="309"/>
      <c r="F116" s="332"/>
      <c r="G116" s="332"/>
      <c r="H116" s="332"/>
      <c r="I116" s="326"/>
      <c r="J116" s="325"/>
      <c r="K116" s="325"/>
      <c r="L116" s="325"/>
      <c r="M116" s="325"/>
      <c r="N116" s="325"/>
      <c r="O116" s="325"/>
      <c r="P116" s="123"/>
    </row>
    <row r="117" spans="2:16">
      <c r="B117" s="330" t="s">
        <v>621</v>
      </c>
      <c r="C117" s="322" t="s">
        <v>1137</v>
      </c>
      <c r="D117" s="206"/>
      <c r="E117" s="333">
        <f t="shared" ref="E117:F121" si="12">E100*E$96</f>
        <v>0</v>
      </c>
      <c r="F117" s="333">
        <f t="shared" si="12"/>
        <v>0</v>
      </c>
      <c r="G117" s="333">
        <f t="shared" ref="G117:H121" si="13">G100*G$96+G110*G$106</f>
        <v>0</v>
      </c>
      <c r="H117" s="333">
        <f t="shared" si="13"/>
        <v>0</v>
      </c>
      <c r="I117" s="326"/>
      <c r="J117" s="325"/>
      <c r="K117" s="333">
        <f t="shared" ref="K117:O121" si="14">K100*K$96</f>
        <v>0</v>
      </c>
      <c r="L117" s="333">
        <f t="shared" si="14"/>
        <v>0</v>
      </c>
      <c r="M117" s="333">
        <f t="shared" si="14"/>
        <v>0</v>
      </c>
      <c r="N117" s="333">
        <f t="shared" si="14"/>
        <v>0</v>
      </c>
      <c r="O117" s="333">
        <f t="shared" si="14"/>
        <v>0</v>
      </c>
      <c r="P117" s="123"/>
    </row>
    <row r="118" spans="2:16">
      <c r="B118" s="330" t="s">
        <v>620</v>
      </c>
      <c r="C118" s="322" t="s">
        <v>1137</v>
      </c>
      <c r="D118" s="206"/>
      <c r="E118" s="333">
        <f t="shared" si="12"/>
        <v>75235.174162225172</v>
      </c>
      <c r="F118" s="334">
        <f t="shared" si="12"/>
        <v>75235.174162225172</v>
      </c>
      <c r="G118" s="333">
        <f t="shared" si="13"/>
        <v>71924.27896086275</v>
      </c>
      <c r="H118" s="333">
        <f t="shared" si="13"/>
        <v>71924.27896086275</v>
      </c>
      <c r="I118" s="326"/>
      <c r="J118" s="325"/>
      <c r="K118" s="333">
        <f t="shared" si="14"/>
        <v>167640.80483384151</v>
      </c>
      <c r="L118" s="333">
        <f t="shared" si="14"/>
        <v>167640.80483384151</v>
      </c>
      <c r="M118" s="333">
        <f t="shared" si="14"/>
        <v>136913.07374453908</v>
      </c>
      <c r="N118" s="333">
        <f t="shared" si="14"/>
        <v>167640.80483384151</v>
      </c>
      <c r="O118" s="333">
        <f t="shared" si="14"/>
        <v>68784.489454661176</v>
      </c>
      <c r="P118" s="123"/>
    </row>
    <row r="119" spans="2:16">
      <c r="B119" s="330" t="s">
        <v>619</v>
      </c>
      <c r="C119" s="322" t="s">
        <v>1137</v>
      </c>
      <c r="D119" s="206"/>
      <c r="E119" s="333">
        <f t="shared" si="12"/>
        <v>0</v>
      </c>
      <c r="F119" s="333">
        <f t="shared" si="12"/>
        <v>0</v>
      </c>
      <c r="G119" s="333">
        <f t="shared" si="13"/>
        <v>0</v>
      </c>
      <c r="H119" s="333">
        <f t="shared" si="13"/>
        <v>0</v>
      </c>
      <c r="I119" s="326"/>
      <c r="J119" s="325"/>
      <c r="K119" s="333">
        <f t="shared" si="14"/>
        <v>0</v>
      </c>
      <c r="L119" s="333">
        <f t="shared" si="14"/>
        <v>0</v>
      </c>
      <c r="M119" s="333">
        <f t="shared" si="14"/>
        <v>0</v>
      </c>
      <c r="N119" s="333">
        <f t="shared" si="14"/>
        <v>0</v>
      </c>
      <c r="O119" s="333">
        <f t="shared" si="14"/>
        <v>0</v>
      </c>
      <c r="P119" s="123"/>
    </row>
    <row r="120" spans="2:16">
      <c r="B120" s="330" t="s">
        <v>618</v>
      </c>
      <c r="C120" s="322" t="s">
        <v>1137</v>
      </c>
      <c r="D120" s="206"/>
      <c r="E120" s="333">
        <f t="shared" si="12"/>
        <v>129013.69415127992</v>
      </c>
      <c r="F120" s="333">
        <f t="shared" si="12"/>
        <v>129013.69415127992</v>
      </c>
      <c r="G120" s="333">
        <f t="shared" si="13"/>
        <v>114726.36860534907</v>
      </c>
      <c r="H120" s="333">
        <f t="shared" si="13"/>
        <v>114726.36860534907</v>
      </c>
      <c r="I120" s="326"/>
      <c r="J120" s="325"/>
      <c r="K120" s="333">
        <f t="shared" si="14"/>
        <v>230507.88899752332</v>
      </c>
      <c r="L120" s="333">
        <f t="shared" si="14"/>
        <v>230507.88899752332</v>
      </c>
      <c r="M120" s="333">
        <f t="shared" si="14"/>
        <v>0</v>
      </c>
      <c r="N120" s="333">
        <f t="shared" si="14"/>
        <v>230507.88899752332</v>
      </c>
      <c r="O120" s="333">
        <f t="shared" si="14"/>
        <v>232589.67495531368</v>
      </c>
      <c r="P120" s="123"/>
    </row>
    <row r="121" spans="2:16">
      <c r="B121" s="330" t="s">
        <v>617</v>
      </c>
      <c r="C121" s="322" t="s">
        <v>1137</v>
      </c>
      <c r="D121" s="206"/>
      <c r="E121" s="333">
        <f t="shared" si="12"/>
        <v>26378.794670630839</v>
      </c>
      <c r="F121" s="333">
        <f t="shared" si="12"/>
        <v>26378.794670630839</v>
      </c>
      <c r="G121" s="333">
        <f t="shared" si="13"/>
        <v>25908.254008938507</v>
      </c>
      <c r="H121" s="333">
        <f t="shared" si="13"/>
        <v>25908.254008938507</v>
      </c>
      <c r="I121" s="326"/>
      <c r="J121" s="325"/>
      <c r="K121" s="333">
        <f>K104*K$96</f>
        <v>179190.4392571988</v>
      </c>
      <c r="L121" s="333">
        <f t="shared" si="14"/>
        <v>179190.4392571988</v>
      </c>
      <c r="M121" s="333">
        <f t="shared" si="14"/>
        <v>60314.757544199165</v>
      </c>
      <c r="N121" s="333">
        <f t="shared" si="14"/>
        <v>179190.4392571988</v>
      </c>
      <c r="O121" s="333">
        <f t="shared" si="14"/>
        <v>25238.090036225185</v>
      </c>
      <c r="P121" s="123"/>
    </row>
    <row r="122" spans="2:16">
      <c r="B122" s="270" t="s">
        <v>616</v>
      </c>
      <c r="C122" s="322"/>
      <c r="D122" s="206"/>
      <c r="E122" s="309"/>
      <c r="F122" s="332"/>
      <c r="G122" s="332"/>
      <c r="H122" s="332"/>
      <c r="I122" s="326"/>
      <c r="J122" s="325"/>
      <c r="K122" s="325"/>
      <c r="L122" s="325"/>
      <c r="M122" s="325"/>
      <c r="N122" s="325"/>
      <c r="O122" s="325"/>
      <c r="P122" s="123"/>
    </row>
    <row r="123" spans="2:16">
      <c r="B123" s="330"/>
      <c r="C123" s="328"/>
      <c r="D123" s="206"/>
      <c r="E123" s="309"/>
      <c r="F123" s="332"/>
      <c r="G123" s="332"/>
      <c r="H123" s="332"/>
      <c r="I123" s="326"/>
      <c r="J123" s="325"/>
      <c r="K123" s="325"/>
      <c r="L123" s="325"/>
      <c r="M123" s="325"/>
      <c r="N123" s="325"/>
      <c r="O123" s="325"/>
      <c r="P123" s="123"/>
    </row>
    <row r="124" spans="2:16">
      <c r="B124" s="270" t="s">
        <v>615</v>
      </c>
      <c r="C124" s="328"/>
      <c r="D124" s="206"/>
      <c r="E124" s="206"/>
      <c r="F124" s="206"/>
      <c r="G124" s="206"/>
      <c r="H124" s="206"/>
      <c r="I124" s="326"/>
      <c r="J124" s="325"/>
      <c r="K124" s="325"/>
      <c r="L124" s="325"/>
      <c r="M124" s="325"/>
      <c r="N124" s="325"/>
      <c r="O124" s="325"/>
      <c r="P124" s="123"/>
    </row>
    <row r="125" spans="2:16">
      <c r="B125" s="330" t="s">
        <v>614</v>
      </c>
      <c r="C125" s="328" t="s">
        <v>227</v>
      </c>
      <c r="D125" s="206"/>
      <c r="E125" s="325">
        <f>F125</f>
        <v>0.11855467511885896</v>
      </c>
      <c r="F125" s="15">
        <f>2078/(15775/0.9)</f>
        <v>0.11855467511885896</v>
      </c>
      <c r="G125" s="331">
        <f>7/(4321/0.9)</f>
        <v>1.4579958342976161E-3</v>
      </c>
      <c r="H125" s="327">
        <v>5.0000000000000001E-3</v>
      </c>
      <c r="I125" s="326"/>
      <c r="J125" s="325"/>
      <c r="K125" s="325">
        <f>L125</f>
        <v>3.4782608695652174E-2</v>
      </c>
      <c r="L125" s="325">
        <f>4/L68</f>
        <v>3.4782608695652174E-2</v>
      </c>
      <c r="M125" s="325">
        <f>6/M68</f>
        <v>9.5238095238095233E-2</v>
      </c>
      <c r="N125" s="325">
        <f>L125</f>
        <v>3.4782608695652174E-2</v>
      </c>
      <c r="O125" s="310">
        <v>0</v>
      </c>
      <c r="P125" s="123"/>
    </row>
    <row r="126" spans="2:16">
      <c r="B126" s="330" t="s">
        <v>613</v>
      </c>
      <c r="C126" s="328" t="s">
        <v>227</v>
      </c>
      <c r="D126" s="206"/>
      <c r="E126" s="325">
        <f>F126</f>
        <v>2.5673534072900159E-2</v>
      </c>
      <c r="F126" s="15">
        <f>450/(15775/0.9)</f>
        <v>2.5673534072900159E-2</v>
      </c>
      <c r="G126" s="327">
        <v>0</v>
      </c>
      <c r="H126" s="327">
        <v>0</v>
      </c>
      <c r="I126" s="326"/>
      <c r="J126" s="325"/>
      <c r="K126" s="325">
        <f>L126</f>
        <v>0</v>
      </c>
      <c r="L126" s="325">
        <v>0</v>
      </c>
      <c r="M126" s="325">
        <f>1/M68</f>
        <v>1.5873015873015872E-2</v>
      </c>
      <c r="N126" s="325">
        <f>L126</f>
        <v>0</v>
      </c>
      <c r="O126" s="310">
        <v>0</v>
      </c>
      <c r="P126" s="123"/>
    </row>
    <row r="127" spans="2:16">
      <c r="B127" s="197"/>
      <c r="C127" s="328"/>
      <c r="D127" s="206"/>
      <c r="E127" s="325"/>
      <c r="F127" s="15"/>
      <c r="G127" s="327"/>
      <c r="H127" s="327"/>
      <c r="I127" s="326"/>
      <c r="J127" s="325"/>
      <c r="K127" s="325"/>
      <c r="L127" s="325"/>
      <c r="M127" s="325"/>
      <c r="N127" s="325"/>
      <c r="O127" s="325"/>
      <c r="P127" s="123"/>
    </row>
    <row r="128" spans="2:16">
      <c r="B128" s="329" t="s">
        <v>612</v>
      </c>
      <c r="C128" s="328"/>
      <c r="D128" s="206"/>
      <c r="E128" s="206"/>
      <c r="F128" s="206"/>
      <c r="G128" s="206"/>
      <c r="H128" s="206"/>
      <c r="I128" s="123"/>
      <c r="J128" s="72"/>
      <c r="K128" s="324"/>
      <c r="L128" s="324"/>
      <c r="M128" s="324"/>
      <c r="N128" s="324"/>
      <c r="O128" s="324"/>
      <c r="P128" s="123"/>
    </row>
    <row r="129" spans="2:16">
      <c r="B129" s="197" t="s">
        <v>611</v>
      </c>
      <c r="C129" s="328" t="s">
        <v>227</v>
      </c>
      <c r="D129" s="206"/>
      <c r="E129" s="327">
        <f>F129</f>
        <v>0.77500000000000002</v>
      </c>
      <c r="F129" s="327">
        <v>0.77500000000000002</v>
      </c>
      <c r="G129" s="325">
        <v>0.75</v>
      </c>
      <c r="H129" s="327">
        <v>0.625</v>
      </c>
      <c r="I129" s="326"/>
      <c r="J129" s="325"/>
      <c r="K129" s="325">
        <f>L129</f>
        <v>0</v>
      </c>
      <c r="L129" s="325">
        <v>0</v>
      </c>
      <c r="M129" s="325">
        <v>0</v>
      </c>
      <c r="N129" s="325">
        <f>L129</f>
        <v>0</v>
      </c>
      <c r="O129" s="325">
        <v>0.75</v>
      </c>
      <c r="P129" s="123"/>
    </row>
    <row r="130" spans="2:16">
      <c r="B130" s="303"/>
      <c r="C130" s="323"/>
      <c r="D130" s="72"/>
      <c r="E130" s="72"/>
      <c r="F130" s="72"/>
      <c r="G130" s="72"/>
      <c r="H130" s="72"/>
      <c r="I130" s="123"/>
      <c r="J130" s="72"/>
      <c r="K130" s="324"/>
      <c r="L130" s="324"/>
      <c r="M130" s="324"/>
      <c r="N130" s="324"/>
      <c r="O130" s="324"/>
      <c r="P130" s="123"/>
    </row>
    <row r="131" spans="2:16">
      <c r="B131" s="262" t="s">
        <v>610</v>
      </c>
      <c r="C131" s="323"/>
      <c r="I131" s="123"/>
      <c r="P131" s="123"/>
    </row>
    <row r="132" spans="2:16" ht="17.25">
      <c r="B132" s="197" t="s">
        <v>609</v>
      </c>
      <c r="C132" s="322" t="s">
        <v>555</v>
      </c>
      <c r="D132" s="321" t="s">
        <v>608</v>
      </c>
      <c r="E132" s="321"/>
      <c r="F132" s="321"/>
      <c r="G132" s="321"/>
      <c r="H132" s="321"/>
      <c r="I132" s="320">
        <f>SUM(K132:N132)</f>
        <v>153500</v>
      </c>
      <c r="J132" s="319"/>
      <c r="K132" s="319">
        <v>64000</v>
      </c>
      <c r="L132" s="319">
        <v>27000</v>
      </c>
      <c r="M132" s="319">
        <v>12500</v>
      </c>
      <c r="N132" s="319">
        <v>50000</v>
      </c>
      <c r="O132" s="319" t="s">
        <v>607</v>
      </c>
      <c r="P132" s="123"/>
    </row>
    <row r="133" spans="2:16">
      <c r="B133" s="262"/>
      <c r="C133" s="144"/>
      <c r="I133" s="123"/>
      <c r="P133" s="123"/>
    </row>
    <row r="134" spans="2:16">
      <c r="B134" s="262"/>
    </row>
    <row r="136" spans="2:16" ht="15.75">
      <c r="B136" s="196" t="s">
        <v>606</v>
      </c>
      <c r="C136" s="225" t="s">
        <v>605</v>
      </c>
      <c r="D136" s="225" t="s">
        <v>604</v>
      </c>
      <c r="E136" s="3" t="s">
        <v>352</v>
      </c>
    </row>
    <row r="137" spans="2:16">
      <c r="B137" s="3" t="s">
        <v>603</v>
      </c>
      <c r="C137" s="225"/>
      <c r="D137" s="225"/>
      <c r="E137" s="3"/>
    </row>
    <row r="138" spans="2:16" s="254" customFormat="1">
      <c r="B138" s="318" t="s">
        <v>602</v>
      </c>
      <c r="C138" s="316"/>
      <c r="D138" s="316"/>
      <c r="E138" s="314"/>
      <c r="F138" s="314"/>
      <c r="G138" s="314"/>
      <c r="H138" s="314"/>
      <c r="I138" s="314"/>
      <c r="J138" s="314"/>
    </row>
    <row r="139" spans="2:16" s="254" customFormat="1">
      <c r="B139" s="317" t="s">
        <v>528</v>
      </c>
      <c r="C139" s="316"/>
      <c r="D139" s="1304">
        <v>0.35</v>
      </c>
      <c r="E139" s="314" t="s">
        <v>601</v>
      </c>
      <c r="F139" s="314"/>
      <c r="G139" s="314"/>
      <c r="H139" s="314"/>
      <c r="I139" s="314"/>
      <c r="J139" s="314"/>
    </row>
    <row r="140" spans="2:16" s="254" customFormat="1">
      <c r="B140" s="317"/>
      <c r="C140" s="316"/>
      <c r="D140" s="1304"/>
      <c r="E140" s="314" t="s">
        <v>600</v>
      </c>
      <c r="F140" s="314"/>
      <c r="G140" s="314"/>
      <c r="H140" s="314"/>
      <c r="I140" s="314"/>
      <c r="J140" s="314"/>
    </row>
    <row r="141" spans="2:16" s="254" customFormat="1">
      <c r="B141" s="317" t="s">
        <v>599</v>
      </c>
      <c r="C141" s="316"/>
      <c r="D141" s="315"/>
      <c r="E141" s="314"/>
      <c r="F141" s="314"/>
      <c r="G141" s="314"/>
      <c r="H141" s="314"/>
      <c r="I141" s="314"/>
      <c r="J141" s="314"/>
    </row>
    <row r="142" spans="2:16" s="314" customFormat="1">
      <c r="B142" s="245" t="s">
        <v>598</v>
      </c>
      <c r="C142" s="12" t="s">
        <v>539</v>
      </c>
      <c r="D142" s="311">
        <f>Assumptions!L9</f>
        <v>6</v>
      </c>
    </row>
    <row r="143" spans="2:16" s="254" customFormat="1">
      <c r="B143" s="245" t="s">
        <v>597</v>
      </c>
      <c r="C143" s="12" t="s">
        <v>539</v>
      </c>
      <c r="D143" s="297">
        <v>1742979.0400000007</v>
      </c>
    </row>
    <row r="144" spans="2:16" s="254" customFormat="1">
      <c r="B144" s="245" t="s">
        <v>596</v>
      </c>
      <c r="C144" s="12" t="s">
        <v>539</v>
      </c>
      <c r="D144" s="297">
        <f>1413000*(1+Assumptions!E47)^2</f>
        <v>1554866.6129999999</v>
      </c>
      <c r="E144" s="254" t="s">
        <v>595</v>
      </c>
    </row>
    <row r="145" spans="2:5" s="254" customFormat="1"/>
    <row r="146" spans="2:5" s="254" customFormat="1">
      <c r="B146" s="3" t="s">
        <v>594</v>
      </c>
      <c r="C146" s="12"/>
      <c r="D146" s="223"/>
    </row>
    <row r="147" spans="2:5">
      <c r="B147" s="136" t="s">
        <v>593</v>
      </c>
      <c r="C147" s="12" t="s">
        <v>539</v>
      </c>
      <c r="D147" s="12">
        <v>8</v>
      </c>
      <c r="E147" s="1" t="s">
        <v>592</v>
      </c>
    </row>
    <row r="148" spans="2:5">
      <c r="B148" s="136"/>
      <c r="C148" s="12"/>
      <c r="D148" s="12"/>
      <c r="E148" s="292" t="s">
        <v>591</v>
      </c>
    </row>
    <row r="149" spans="2:5">
      <c r="B149" s="136" t="s">
        <v>590</v>
      </c>
      <c r="C149" s="12"/>
      <c r="D149" s="12"/>
      <c r="E149" s="1" t="s">
        <v>589</v>
      </c>
    </row>
    <row r="150" spans="2:5">
      <c r="B150" s="74" t="s">
        <v>528</v>
      </c>
      <c r="C150" s="12" t="s">
        <v>539</v>
      </c>
      <c r="D150" s="313">
        <f>(D70/$D$143)*$D$147*125%</f>
        <v>0.73378507179294561</v>
      </c>
    </row>
    <row r="151" spans="2:5">
      <c r="B151" s="74" t="s">
        <v>520</v>
      </c>
      <c r="C151" s="12" t="s">
        <v>539</v>
      </c>
      <c r="D151" s="313">
        <f>(I70/$D$143)*$D$147*125%</f>
        <v>0.74561998175262012</v>
      </c>
    </row>
    <row r="152" spans="2:5">
      <c r="B152" s="199" t="s">
        <v>588</v>
      </c>
      <c r="C152" s="12"/>
      <c r="D152" s="313"/>
    </row>
    <row r="153" spans="2:5">
      <c r="B153" s="199"/>
      <c r="C153" s="12"/>
      <c r="D153" s="313"/>
    </row>
    <row r="154" spans="2:5">
      <c r="B154" s="262" t="s">
        <v>587</v>
      </c>
      <c r="C154" s="12"/>
      <c r="D154" s="313"/>
    </row>
    <row r="155" spans="2:5">
      <c r="B155" s="312" t="s">
        <v>1255</v>
      </c>
      <c r="C155" s="206" t="s">
        <v>1137</v>
      </c>
      <c r="D155" s="311">
        <f>'Health--Stunting'!C105</f>
        <v>2448.722134659386</v>
      </c>
      <c r="E155" s="309" t="s">
        <v>412</v>
      </c>
    </row>
    <row r="156" spans="2:5">
      <c r="B156" s="305" t="s">
        <v>586</v>
      </c>
      <c r="C156" s="204" t="s">
        <v>227</v>
      </c>
      <c r="D156" s="310">
        <v>1</v>
      </c>
      <c r="E156" s="309" t="s">
        <v>585</v>
      </c>
    </row>
    <row r="157" spans="2:5">
      <c r="B157" s="305" t="s">
        <v>584</v>
      </c>
      <c r="C157" s="206" t="s">
        <v>1137</v>
      </c>
      <c r="D157" s="307">
        <f>D155*D156</f>
        <v>2448.722134659386</v>
      </c>
      <c r="E157" s="30"/>
    </row>
    <row r="158" spans="2:5">
      <c r="B158" s="305" t="s">
        <v>583</v>
      </c>
      <c r="C158" s="206" t="s">
        <v>516</v>
      </c>
      <c r="D158" s="307">
        <v>7</v>
      </c>
      <c r="E158" s="30" t="s">
        <v>582</v>
      </c>
    </row>
    <row r="159" spans="2:5">
      <c r="B159" s="305" t="s">
        <v>581</v>
      </c>
      <c r="C159" s="206" t="s">
        <v>1137</v>
      </c>
      <c r="D159" s="308">
        <f>D155*D158</f>
        <v>17141.054942615701</v>
      </c>
      <c r="E159" s="30"/>
    </row>
    <row r="160" spans="2:5">
      <c r="B160" s="305" t="s">
        <v>580</v>
      </c>
      <c r="C160" s="12" t="s">
        <v>539</v>
      </c>
      <c r="D160" s="307">
        <f>Assumptions!L9</f>
        <v>6</v>
      </c>
      <c r="E160" s="30"/>
    </row>
    <row r="161" spans="2:5">
      <c r="B161" s="305" t="s">
        <v>579</v>
      </c>
      <c r="C161" s="206" t="s">
        <v>227</v>
      </c>
      <c r="D161" s="306">
        <f>SUM(health!Q76:Q91)</f>
        <v>0.66310984693905184</v>
      </c>
      <c r="E161" s="30"/>
    </row>
    <row r="162" spans="2:5">
      <c r="B162" s="305" t="s">
        <v>578</v>
      </c>
      <c r="C162" s="206" t="s">
        <v>227</v>
      </c>
      <c r="D162" s="16">
        <v>0.80100000000000005</v>
      </c>
      <c r="E162" s="1" t="s">
        <v>1256</v>
      </c>
    </row>
    <row r="163" spans="2:5">
      <c r="B163" s="305" t="s">
        <v>577</v>
      </c>
      <c r="C163" s="206" t="s">
        <v>227</v>
      </c>
      <c r="D163" s="16">
        <v>0.7</v>
      </c>
      <c r="E163" s="1" t="s">
        <v>1257</v>
      </c>
    </row>
    <row r="164" spans="2:5">
      <c r="B164" s="305" t="s">
        <v>576</v>
      </c>
      <c r="C164" s="12" t="s">
        <v>539</v>
      </c>
      <c r="D164" s="304">
        <f>PRODUCT(D160:D163)</f>
        <v>2.2308341470723581</v>
      </c>
      <c r="E164" s="30"/>
    </row>
    <row r="165" spans="2:5">
      <c r="B165" s="205"/>
      <c r="C165" s="12"/>
      <c r="D165" s="304"/>
      <c r="E165" s="30"/>
    </row>
    <row r="166" spans="2:5">
      <c r="B166" s="262" t="s">
        <v>575</v>
      </c>
      <c r="C166" s="12"/>
      <c r="D166" s="12"/>
    </row>
    <row r="167" spans="2:5">
      <c r="B167" s="197" t="s">
        <v>574</v>
      </c>
      <c r="C167" s="12" t="s">
        <v>573</v>
      </c>
      <c r="D167" s="12">
        <v>6</v>
      </c>
      <c r="E167" s="1" t="s">
        <v>547</v>
      </c>
    </row>
    <row r="168" spans="2:5">
      <c r="B168" s="197" t="s">
        <v>572</v>
      </c>
      <c r="C168" s="12" t="s">
        <v>227</v>
      </c>
      <c r="D168" s="13">
        <v>0.2</v>
      </c>
      <c r="E168" s="1" t="s">
        <v>571</v>
      </c>
    </row>
    <row r="169" spans="2:5">
      <c r="B169" s="303"/>
      <c r="C169" s="12"/>
      <c r="D169" s="12"/>
    </row>
    <row r="170" spans="2:5">
      <c r="B170" s="262" t="s">
        <v>570</v>
      </c>
      <c r="C170" s="12"/>
      <c r="D170" s="12"/>
    </row>
    <row r="171" spans="2:5" ht="15" customHeight="1">
      <c r="B171" s="298" t="s">
        <v>569</v>
      </c>
      <c r="C171" s="282"/>
      <c r="D171" s="109"/>
    </row>
    <row r="172" spans="2:5">
      <c r="B172" s="302" t="s">
        <v>568</v>
      </c>
      <c r="C172" s="282" t="s">
        <v>227</v>
      </c>
      <c r="D172" s="109">
        <v>0.35</v>
      </c>
      <c r="E172" s="289" t="s">
        <v>547</v>
      </c>
    </row>
    <row r="173" spans="2:5">
      <c r="B173" s="302" t="s">
        <v>567</v>
      </c>
      <c r="C173" s="282" t="s">
        <v>227</v>
      </c>
      <c r="D173" s="109">
        <v>0.9</v>
      </c>
      <c r="E173" s="289" t="s">
        <v>547</v>
      </c>
    </row>
    <row r="174" spans="2:5">
      <c r="B174" s="298" t="s">
        <v>566</v>
      </c>
      <c r="C174" s="282"/>
      <c r="D174" s="109"/>
      <c r="E174" s="289"/>
    </row>
    <row r="175" spans="2:5" ht="30">
      <c r="B175" s="301" t="s">
        <v>565</v>
      </c>
      <c r="C175" s="282" t="s">
        <v>227</v>
      </c>
      <c r="D175" s="300">
        <v>0.15</v>
      </c>
      <c r="E175" s="289" t="s">
        <v>547</v>
      </c>
    </row>
    <row r="176" spans="2:5" ht="30">
      <c r="B176" s="301" t="s">
        <v>564</v>
      </c>
      <c r="C176" s="282" t="s">
        <v>227</v>
      </c>
      <c r="D176" s="300">
        <v>0.5</v>
      </c>
      <c r="E176" s="289" t="s">
        <v>547</v>
      </c>
    </row>
    <row r="177" spans="2:7" ht="30">
      <c r="B177" s="301" t="s">
        <v>563</v>
      </c>
      <c r="C177" s="282" t="s">
        <v>227</v>
      </c>
      <c r="D177" s="296">
        <v>0</v>
      </c>
      <c r="E177" s="289" t="s">
        <v>547</v>
      </c>
    </row>
    <row r="178" spans="2:7" ht="30">
      <c r="B178" s="301" t="s">
        <v>562</v>
      </c>
      <c r="C178" s="282" t="s">
        <v>227</v>
      </c>
      <c r="D178" s="300">
        <v>0.25</v>
      </c>
      <c r="E178" s="289" t="s">
        <v>547</v>
      </c>
    </row>
    <row r="179" spans="2:7">
      <c r="B179" s="288" t="s">
        <v>561</v>
      </c>
      <c r="E179" s="289" t="s">
        <v>560</v>
      </c>
    </row>
    <row r="180" spans="2:7">
      <c r="B180" s="74" t="s">
        <v>528</v>
      </c>
      <c r="C180" s="282" t="s">
        <v>227</v>
      </c>
      <c r="D180" s="296">
        <v>0.3</v>
      </c>
      <c r="E180" s="289"/>
    </row>
    <row r="181" spans="2:7">
      <c r="B181" s="74" t="s">
        <v>520</v>
      </c>
      <c r="C181" s="282" t="s">
        <v>227</v>
      </c>
      <c r="D181" s="296">
        <v>0.75</v>
      </c>
      <c r="E181" s="289"/>
    </row>
    <row r="182" spans="2:7">
      <c r="B182" s="299"/>
      <c r="C182" s="282"/>
      <c r="D182" s="12"/>
    </row>
    <row r="183" spans="2:7">
      <c r="B183" s="275" t="s">
        <v>559</v>
      </c>
      <c r="D183" s="12"/>
    </row>
    <row r="184" spans="2:7" ht="30">
      <c r="B184" s="298" t="s">
        <v>558</v>
      </c>
      <c r="C184" s="914" t="s">
        <v>1258</v>
      </c>
      <c r="D184" s="12"/>
    </row>
    <row r="185" spans="2:7">
      <c r="B185" s="74" t="s">
        <v>528</v>
      </c>
      <c r="C185" s="282" t="s">
        <v>227</v>
      </c>
      <c r="D185" s="296">
        <v>0.2</v>
      </c>
      <c r="E185" s="289" t="s">
        <v>547</v>
      </c>
    </row>
    <row r="186" spans="2:7">
      <c r="B186" s="74" t="s">
        <v>520</v>
      </c>
      <c r="C186" s="282" t="s">
        <v>227</v>
      </c>
      <c r="D186" s="296">
        <v>0.3</v>
      </c>
      <c r="E186" s="289" t="s">
        <v>557</v>
      </c>
    </row>
    <row r="187" spans="2:7" ht="17.25">
      <c r="B187" s="136" t="s">
        <v>556</v>
      </c>
      <c r="C187" s="12" t="s">
        <v>555</v>
      </c>
      <c r="D187" s="297">
        <v>417024350.53619993</v>
      </c>
      <c r="E187" s="289"/>
    </row>
    <row r="188" spans="2:7">
      <c r="B188" s="270" t="s">
        <v>554</v>
      </c>
      <c r="C188" s="282"/>
      <c r="D188" s="296"/>
      <c r="E188" s="289"/>
    </row>
    <row r="189" spans="2:7">
      <c r="B189" s="74" t="s">
        <v>528</v>
      </c>
      <c r="C189" s="282"/>
      <c r="D189" s="295">
        <f>D59/D187</f>
        <v>3.1031761055105706E-2</v>
      </c>
      <c r="E189" s="289"/>
    </row>
    <row r="190" spans="2:7">
      <c r="B190" s="74" t="s">
        <v>520</v>
      </c>
      <c r="C190" s="282"/>
      <c r="D190" s="294">
        <f>I59/D187</f>
        <v>1.2357791561508945E-2</v>
      </c>
      <c r="E190" s="289"/>
    </row>
    <row r="191" spans="2:7">
      <c r="B191" s="136" t="s">
        <v>552</v>
      </c>
      <c r="C191" s="206" t="s">
        <v>553</v>
      </c>
      <c r="D191" s="293">
        <v>4442540000000</v>
      </c>
      <c r="E191" s="156" t="s">
        <v>1612</v>
      </c>
      <c r="G191" s="292"/>
    </row>
    <row r="192" spans="2:7">
      <c r="B192" s="136" t="s">
        <v>552</v>
      </c>
      <c r="C192" s="206" t="s">
        <v>1137</v>
      </c>
      <c r="D192" s="284">
        <f>D191*(Assumptions!R49/Assumptions!R44)*(Assumptions!O49/Assumptions!O44)/Assumptions!E43</f>
        <v>1737242612.8241823</v>
      </c>
      <c r="G192" s="292"/>
    </row>
    <row r="193" spans="2:24">
      <c r="B193" s="270" t="s">
        <v>551</v>
      </c>
      <c r="C193" s="309" t="s">
        <v>1259</v>
      </c>
      <c r="G193" s="292"/>
    </row>
    <row r="194" spans="2:24">
      <c r="B194" s="74" t="s">
        <v>528</v>
      </c>
      <c r="C194" s="12" t="s">
        <v>548</v>
      </c>
      <c r="D194" s="12">
        <v>0.25</v>
      </c>
      <c r="E194" s="289" t="s">
        <v>547</v>
      </c>
      <c r="G194" s="292"/>
    </row>
    <row r="195" spans="2:24">
      <c r="B195" s="291" t="s">
        <v>520</v>
      </c>
      <c r="C195" s="12" t="s">
        <v>548</v>
      </c>
      <c r="D195" s="146">
        <f>(D196*O59+D197*J59)/I59</f>
        <v>0.83826525662171336</v>
      </c>
      <c r="E195" s="1" t="s">
        <v>550</v>
      </c>
      <c r="J195" s="1">
        <f>1000000000</f>
        <v>1000000000</v>
      </c>
      <c r="K195" s="1">
        <v>5000</v>
      </c>
      <c r="L195" s="2">
        <f>J195/K195</f>
        <v>200000</v>
      </c>
    </row>
    <row r="196" spans="2:24">
      <c r="B196" s="290" t="s">
        <v>84</v>
      </c>
      <c r="C196" s="12" t="s">
        <v>548</v>
      </c>
      <c r="D196" s="9">
        <f>D194</f>
        <v>0.25</v>
      </c>
      <c r="E196" s="289" t="s">
        <v>547</v>
      </c>
      <c r="L196" s="2"/>
    </row>
    <row r="197" spans="2:24">
      <c r="B197" s="290" t="s">
        <v>549</v>
      </c>
      <c r="C197" s="12" t="s">
        <v>548</v>
      </c>
      <c r="D197" s="9">
        <v>20</v>
      </c>
      <c r="E197" s="289" t="s">
        <v>547</v>
      </c>
      <c r="J197" s="287">
        <v>6000000000</v>
      </c>
      <c r="K197" s="1">
        <f>K195</f>
        <v>5000</v>
      </c>
      <c r="L197" s="2">
        <f>J197/K197</f>
        <v>1200000</v>
      </c>
    </row>
    <row r="198" spans="2:24" ht="30">
      <c r="B198" s="288" t="s">
        <v>546</v>
      </c>
      <c r="C198" s="12"/>
      <c r="D198" s="9"/>
    </row>
    <row r="199" spans="2:24">
      <c r="B199" s="74" t="s">
        <v>528</v>
      </c>
      <c r="C199" s="206" t="s">
        <v>1137</v>
      </c>
      <c r="D199" s="284">
        <f>$L$27*D185*D189*$D$192*D194</f>
        <v>207344.99098425978</v>
      </c>
      <c r="F199" s="287"/>
    </row>
    <row r="200" spans="2:24">
      <c r="B200" s="74" t="s">
        <v>520</v>
      </c>
      <c r="C200" s="206" t="s">
        <v>1137</v>
      </c>
      <c r="D200" s="286">
        <f>$L$43*D186*D190*$D$192*D195</f>
        <v>415298.83056270872</v>
      </c>
    </row>
    <row r="201" spans="2:24">
      <c r="B201" s="270" t="s">
        <v>1260</v>
      </c>
    </row>
    <row r="202" spans="2:24">
      <c r="B202" s="74">
        <v>2012</v>
      </c>
      <c r="C202" s="206" t="s">
        <v>227</v>
      </c>
      <c r="D202" s="285">
        <f>Assumptions!T50</f>
        <v>6.2E-2</v>
      </c>
    </row>
    <row r="203" spans="2:24">
      <c r="B203" s="74" t="s">
        <v>545</v>
      </c>
      <c r="C203" s="206" t="s">
        <v>227</v>
      </c>
      <c r="D203" s="285">
        <f>Assumptions!T51</f>
        <v>5.3743252425943799E-2</v>
      </c>
    </row>
    <row r="204" spans="2:24">
      <c r="B204" s="74"/>
      <c r="C204" s="206"/>
      <c r="D204" s="284"/>
    </row>
    <row r="205" spans="2:24">
      <c r="B205" s="283"/>
      <c r="C205" s="282" t="s">
        <v>80</v>
      </c>
      <c r="D205" s="109"/>
    </row>
    <row r="206" spans="2:24" ht="15.75">
      <c r="B206" s="263" t="s">
        <v>544</v>
      </c>
      <c r="C206" s="204" t="s">
        <v>80</v>
      </c>
      <c r="D206" s="204"/>
      <c r="E206" s="221"/>
      <c r="F206" s="221"/>
      <c r="G206" s="221" t="s">
        <v>420</v>
      </c>
      <c r="H206" s="219"/>
      <c r="I206" s="219"/>
      <c r="J206" s="218"/>
      <c r="K206" s="218"/>
      <c r="L206" s="218"/>
      <c r="M206" s="218"/>
      <c r="N206" s="218"/>
      <c r="O206" s="218"/>
      <c r="P206" s="218"/>
      <c r="Q206" s="218"/>
      <c r="R206" s="218"/>
      <c r="S206" s="218"/>
      <c r="T206" s="218"/>
      <c r="U206" s="218"/>
      <c r="V206" s="218"/>
      <c r="W206" s="218"/>
      <c r="X206" s="218"/>
    </row>
    <row r="207" spans="2:24">
      <c r="B207" s="254"/>
      <c r="D207" s="215">
        <f>2012</f>
        <v>2012</v>
      </c>
      <c r="E207" s="215">
        <f t="shared" ref="E207:X207" si="15">D207+1</f>
        <v>2013</v>
      </c>
      <c r="F207" s="215">
        <f t="shared" si="15"/>
        <v>2014</v>
      </c>
      <c r="G207" s="215">
        <f t="shared" si="15"/>
        <v>2015</v>
      </c>
      <c r="H207" s="215">
        <f t="shared" si="15"/>
        <v>2016</v>
      </c>
      <c r="I207" s="215">
        <f t="shared" si="15"/>
        <v>2017</v>
      </c>
      <c r="J207" s="215">
        <f t="shared" si="15"/>
        <v>2018</v>
      </c>
      <c r="K207" s="215">
        <f t="shared" si="15"/>
        <v>2019</v>
      </c>
      <c r="L207" s="215">
        <f t="shared" si="15"/>
        <v>2020</v>
      </c>
      <c r="M207" s="215">
        <f t="shared" si="15"/>
        <v>2021</v>
      </c>
      <c r="N207" s="215">
        <f t="shared" si="15"/>
        <v>2022</v>
      </c>
      <c r="O207" s="215">
        <f t="shared" si="15"/>
        <v>2023</v>
      </c>
      <c r="P207" s="215">
        <f t="shared" si="15"/>
        <v>2024</v>
      </c>
      <c r="Q207" s="215">
        <f t="shared" si="15"/>
        <v>2025</v>
      </c>
      <c r="R207" s="215">
        <f t="shared" si="15"/>
        <v>2026</v>
      </c>
      <c r="S207" s="215">
        <f t="shared" si="15"/>
        <v>2027</v>
      </c>
      <c r="T207" s="215">
        <f t="shared" si="15"/>
        <v>2028</v>
      </c>
      <c r="U207" s="215">
        <f t="shared" si="15"/>
        <v>2029</v>
      </c>
      <c r="V207" s="215">
        <f t="shared" si="15"/>
        <v>2030</v>
      </c>
      <c r="W207" s="215">
        <f t="shared" si="15"/>
        <v>2031</v>
      </c>
      <c r="X207" s="215">
        <f t="shared" si="15"/>
        <v>2032</v>
      </c>
    </row>
    <row r="208" spans="2:24">
      <c r="B208" s="254"/>
      <c r="D208" s="214">
        <v>0</v>
      </c>
      <c r="E208" s="214">
        <f t="shared" ref="E208:X208" si="16">D208+1</f>
        <v>1</v>
      </c>
      <c r="F208" s="214">
        <f t="shared" si="16"/>
        <v>2</v>
      </c>
      <c r="G208" s="214">
        <f t="shared" si="16"/>
        <v>3</v>
      </c>
      <c r="H208" s="214">
        <f t="shared" si="16"/>
        <v>4</v>
      </c>
      <c r="I208" s="214">
        <f t="shared" si="16"/>
        <v>5</v>
      </c>
      <c r="J208" s="214">
        <f t="shared" si="16"/>
        <v>6</v>
      </c>
      <c r="K208" s="214">
        <f t="shared" si="16"/>
        <v>7</v>
      </c>
      <c r="L208" s="214">
        <f t="shared" si="16"/>
        <v>8</v>
      </c>
      <c r="M208" s="214">
        <f t="shared" si="16"/>
        <v>9</v>
      </c>
      <c r="N208" s="214">
        <f t="shared" si="16"/>
        <v>10</v>
      </c>
      <c r="O208" s="214">
        <f t="shared" si="16"/>
        <v>11</v>
      </c>
      <c r="P208" s="214">
        <f t="shared" si="16"/>
        <v>12</v>
      </c>
      <c r="Q208" s="214">
        <f t="shared" si="16"/>
        <v>13</v>
      </c>
      <c r="R208" s="214">
        <f t="shared" si="16"/>
        <v>14</v>
      </c>
      <c r="S208" s="214">
        <f t="shared" si="16"/>
        <v>15</v>
      </c>
      <c r="T208" s="214">
        <f t="shared" si="16"/>
        <v>16</v>
      </c>
      <c r="U208" s="214">
        <f t="shared" si="16"/>
        <v>17</v>
      </c>
      <c r="V208" s="214">
        <f t="shared" si="16"/>
        <v>18</v>
      </c>
      <c r="W208" s="214">
        <f t="shared" si="16"/>
        <v>19</v>
      </c>
      <c r="X208" s="214">
        <f t="shared" si="16"/>
        <v>20</v>
      </c>
    </row>
    <row r="209" spans="2:27">
      <c r="B209" s="208" t="s">
        <v>411</v>
      </c>
      <c r="C209" s="206" t="s">
        <v>1137</v>
      </c>
      <c r="D209" s="2">
        <f>D155*(1+Assumptions!$Q$48)</f>
        <v>2515.5781186004715</v>
      </c>
      <c r="E209" s="2">
        <f>D209*(1+Assumptions!$Q$48)</f>
        <v>2584.2594311590701</v>
      </c>
      <c r="F209" s="2">
        <f>E209*(1+Assumptions!$Q$48)</f>
        <v>2654.8159081818103</v>
      </c>
      <c r="G209" s="2">
        <f>F209*(1+Assumptions!$Q$48)</f>
        <v>2727.2987461533921</v>
      </c>
      <c r="H209" s="2">
        <f>G209*(1+Assumptions!$Q$48)</f>
        <v>2801.7605393452673</v>
      </c>
      <c r="I209" s="2">
        <f>H209*(1+Assumptions!$Q$48)</f>
        <v>2878.2553179785687</v>
      </c>
      <c r="J209" s="2">
        <f>I209*(1+Assumptions!$Q$48)</f>
        <v>2956.8385874289779</v>
      </c>
      <c r="K209" s="2">
        <f>J209*(1+Assumptions!$Q$48)</f>
        <v>3037.567368501981</v>
      </c>
      <c r="L209" s="2">
        <f>K209*(1+Assumptions!$Q$48)</f>
        <v>3120.5002388077341</v>
      </c>
      <c r="M209" s="2">
        <f>L209*(1+Assumptions!$Q$48)</f>
        <v>3205.697375265564</v>
      </c>
      <c r="N209" s="2">
        <f>M209*(1+Assumptions!$Q$48)</f>
        <v>3293.22059776894</v>
      </c>
      <c r="O209" s="2">
        <f>N209*(1+Assumptions!$Q$48)</f>
        <v>3383.1334140426079</v>
      </c>
      <c r="P209" s="2">
        <f>O209*(1+Assumptions!$Q$48)</f>
        <v>3475.5010657244288</v>
      </c>
      <c r="Q209" s="2">
        <f>P209*(1+Assumptions!$Q$48)</f>
        <v>3570.390575705364</v>
      </c>
      <c r="R209" s="2">
        <f>Q209*(1+Assumptions!$Q$48)</f>
        <v>3667.8707967619539</v>
      </c>
      <c r="S209" s="2">
        <f>R209*(1+Assumptions!$Q$48)</f>
        <v>3768.0124615165805</v>
      </c>
      <c r="T209" s="2">
        <f>S209*(1+Assumptions!$Q$48)</f>
        <v>3870.8882337617661</v>
      </c>
      <c r="U209" s="2">
        <f>T209*(1+Assumptions!$Q$48)</f>
        <v>3976.5727611857451</v>
      </c>
      <c r="V209" s="2">
        <f>U209*(1+Assumptions!$Q$48)</f>
        <v>4085.1427295375743</v>
      </c>
      <c r="W209" s="2">
        <f>V209*(1+Assumptions!$Q$48)</f>
        <v>4196.6769182710777</v>
      </c>
      <c r="X209" s="2">
        <f>W209*(1+Assumptions!$Q$48)</f>
        <v>4311.2562577080053</v>
      </c>
    </row>
    <row r="210" spans="2:27">
      <c r="B210" s="208"/>
      <c r="C210" s="206"/>
      <c r="D210" s="2"/>
      <c r="E210" s="2"/>
      <c r="F210" s="2"/>
      <c r="G210" s="2"/>
      <c r="H210" s="2"/>
      <c r="I210" s="2"/>
      <c r="J210" s="2"/>
      <c r="K210" s="2"/>
      <c r="L210" s="2"/>
      <c r="M210" s="2"/>
      <c r="N210" s="2"/>
      <c r="O210" s="2"/>
      <c r="P210" s="2"/>
      <c r="Q210" s="2"/>
      <c r="R210" s="2"/>
      <c r="S210" s="2"/>
      <c r="T210" s="2"/>
      <c r="U210" s="2"/>
      <c r="V210" s="2"/>
      <c r="W210" s="2"/>
      <c r="X210" s="2"/>
    </row>
    <row r="211" spans="2:27">
      <c r="B211" s="281" t="s">
        <v>543</v>
      </c>
      <c r="C211" s="309" t="s">
        <v>1261</v>
      </c>
      <c r="D211" s="2"/>
      <c r="E211" s="2"/>
      <c r="F211" s="2"/>
      <c r="G211" s="2"/>
      <c r="H211" s="2"/>
      <c r="I211" s="2"/>
      <c r="J211" s="2"/>
      <c r="K211" s="2"/>
      <c r="L211" s="2"/>
      <c r="M211" s="2"/>
      <c r="N211" s="2"/>
      <c r="O211" s="2"/>
      <c r="P211" s="2"/>
      <c r="Q211" s="2"/>
      <c r="R211" s="2"/>
      <c r="S211" s="2"/>
      <c r="T211" s="2"/>
      <c r="U211" s="2"/>
      <c r="V211" s="2"/>
      <c r="W211" s="2"/>
      <c r="X211" s="2"/>
    </row>
    <row r="212" spans="2:27" s="177" customFormat="1">
      <c r="B212" s="270" t="s">
        <v>537</v>
      </c>
      <c r="C212" s="269"/>
      <c r="D212" s="279">
        <f t="shared" ref="D212:X212" si="17">SUM(D213:D216)</f>
        <v>22189.591675014075</v>
      </c>
      <c r="E212" s="279">
        <f t="shared" si="17"/>
        <v>22643.113515117446</v>
      </c>
      <c r="F212" s="279">
        <f t="shared" si="17"/>
        <v>23108.338616756897</v>
      </c>
      <c r="G212" s="279">
        <f t="shared" si="17"/>
        <v>23585.648726429717</v>
      </c>
      <c r="H212" s="279">
        <f t="shared" si="17"/>
        <v>24075.440112304306</v>
      </c>
      <c r="I212" s="279">
        <f t="shared" si="17"/>
        <v>24578.124159125589</v>
      </c>
      <c r="J212" s="279">
        <f t="shared" si="17"/>
        <v>25094.127988240314</v>
      </c>
      <c r="K212" s="279">
        <f t="shared" si="17"/>
        <v>25623.895103815026</v>
      </c>
      <c r="L212" s="279">
        <f t="shared" si="17"/>
        <v>26167.886066365812</v>
      </c>
      <c r="M212" s="279">
        <f t="shared" si="17"/>
        <v>26726.579194766622</v>
      </c>
      <c r="N212" s="279">
        <f t="shared" si="17"/>
        <v>27300.471297953274</v>
      </c>
      <c r="O212" s="279">
        <f t="shared" si="17"/>
        <v>27890.07843759231</v>
      </c>
      <c r="P212" s="279">
        <f t="shared" si="17"/>
        <v>28495.936723038372</v>
      </c>
      <c r="Q212" s="279">
        <f t="shared" si="17"/>
        <v>29118.603139960585</v>
      </c>
      <c r="R212" s="279">
        <f t="shared" si="17"/>
        <v>29758.656414077621</v>
      </c>
      <c r="S212" s="279">
        <f t="shared" si="17"/>
        <v>30416.697911502932</v>
      </c>
      <c r="T212" s="279">
        <f t="shared" si="17"/>
        <v>31093.35257726608</v>
      </c>
      <c r="U212" s="279">
        <f t="shared" si="17"/>
        <v>31789.269913643217</v>
      </c>
      <c r="V212" s="279">
        <f t="shared" si="17"/>
        <v>32505.124999999993</v>
      </c>
      <c r="W212" s="279">
        <f t="shared" si="17"/>
        <v>33241.619555923127</v>
      </c>
      <c r="X212" s="279">
        <f t="shared" si="17"/>
        <v>33999.483049493239</v>
      </c>
    </row>
    <row r="213" spans="2:27">
      <c r="B213" s="271" t="s">
        <v>524</v>
      </c>
      <c r="C213" s="12" t="s">
        <v>542</v>
      </c>
      <c r="D213" s="2">
        <f>E68*(1+$E$72)^2</f>
        <v>2787.112728581686</v>
      </c>
      <c r="E213" s="2">
        <f t="shared" ref="E213:X213" si="18">D213*(1+$E$72)</f>
        <v>2831.7174688218479</v>
      </c>
      <c r="F213" s="2">
        <f t="shared" si="18"/>
        <v>2877.0360599340929</v>
      </c>
      <c r="G213" s="2">
        <f t="shared" si="18"/>
        <v>2923.0799263335134</v>
      </c>
      <c r="H213" s="2">
        <f t="shared" si="18"/>
        <v>2969.8606752706719</v>
      </c>
      <c r="I213" s="2">
        <f t="shared" si="18"/>
        <v>3017.3900997576866</v>
      </c>
      <c r="J213" s="2">
        <f t="shared" si="18"/>
        <v>3065.680181541145</v>
      </c>
      <c r="K213" s="2">
        <f t="shared" si="18"/>
        <v>3114.7430941225971</v>
      </c>
      <c r="L213" s="2">
        <f t="shared" si="18"/>
        <v>3164.5912058273852</v>
      </c>
      <c r="M213" s="2">
        <f t="shared" si="18"/>
        <v>3215.2370829225911</v>
      </c>
      <c r="N213" s="2">
        <f t="shared" si="18"/>
        <v>3266.6934927848788</v>
      </c>
      <c r="O213" s="2">
        <f t="shared" si="18"/>
        <v>3318.9734071190387</v>
      </c>
      <c r="P213" s="2">
        <f t="shared" si="18"/>
        <v>3372.0900052280381</v>
      </c>
      <c r="Q213" s="2">
        <f t="shared" si="18"/>
        <v>3426.0566773354071</v>
      </c>
      <c r="R213" s="2">
        <f t="shared" si="18"/>
        <v>3480.8870279607959</v>
      </c>
      <c r="S213" s="2">
        <f t="shared" si="18"/>
        <v>3536.5948793495527</v>
      </c>
      <c r="T213" s="2">
        <f t="shared" si="18"/>
        <v>3593.194274957189</v>
      </c>
      <c r="U213" s="2">
        <f t="shared" si="18"/>
        <v>3650.6994829896116</v>
      </c>
      <c r="V213" s="2">
        <f t="shared" si="18"/>
        <v>3709.1250000000091</v>
      </c>
      <c r="W213" s="2">
        <f t="shared" si="18"/>
        <v>3768.4855545433061</v>
      </c>
      <c r="X213" s="2">
        <f t="shared" si="18"/>
        <v>3828.7961108891004</v>
      </c>
    </row>
    <row r="214" spans="2:27">
      <c r="B214" s="271" t="s">
        <v>51</v>
      </c>
      <c r="C214" s="12" t="s">
        <v>542</v>
      </c>
      <c r="D214" s="2">
        <f>F68*(1+$F$72)^2</f>
        <v>15468.618765370666</v>
      </c>
      <c r="E214" s="2">
        <f t="shared" ref="E214:X214" si="19">D214*(1+$F$72)</f>
        <v>15708.389980293918</v>
      </c>
      <c r="F214" s="2">
        <f t="shared" si="19"/>
        <v>15951.877767225169</v>
      </c>
      <c r="G214" s="2">
        <f t="shared" si="19"/>
        <v>16199.139734862338</v>
      </c>
      <c r="H214" s="2">
        <f t="shared" si="19"/>
        <v>16450.234384866559</v>
      </c>
      <c r="I214" s="2">
        <f t="shared" si="19"/>
        <v>16705.221125703545</v>
      </c>
      <c r="J214" s="2">
        <f t="shared" si="19"/>
        <v>16964.160286699509</v>
      </c>
      <c r="K214" s="2">
        <f t="shared" si="19"/>
        <v>17227.113132314957</v>
      </c>
      <c r="L214" s="2">
        <f t="shared" si="19"/>
        <v>17494.141876639726</v>
      </c>
      <c r="M214" s="2">
        <f t="shared" si="19"/>
        <v>17765.309698112709</v>
      </c>
      <c r="N214" s="2">
        <f t="shared" si="19"/>
        <v>18040.68075446974</v>
      </c>
      <c r="O214" s="2">
        <f t="shared" si="19"/>
        <v>18320.320197923185</v>
      </c>
      <c r="P214" s="2">
        <f t="shared" si="19"/>
        <v>18604.294190576806</v>
      </c>
      <c r="Q214" s="2">
        <f t="shared" si="19"/>
        <v>18892.669920079588</v>
      </c>
      <c r="R214" s="2">
        <f t="shared" si="19"/>
        <v>19185.515615522192</v>
      </c>
      <c r="S214" s="2">
        <f t="shared" si="19"/>
        <v>19482.900563579806</v>
      </c>
      <c r="T214" s="2">
        <f t="shared" si="19"/>
        <v>19784.895124905237</v>
      </c>
      <c r="U214" s="2">
        <f t="shared" si="19"/>
        <v>20091.570750776089</v>
      </c>
      <c r="V214" s="2">
        <f t="shared" si="19"/>
        <v>20402.999999999985</v>
      </c>
      <c r="W214" s="2">
        <f t="shared" si="19"/>
        <v>20719.256556081829</v>
      </c>
      <c r="X214" s="2">
        <f t="shared" si="19"/>
        <v>21040.415244657168</v>
      </c>
    </row>
    <row r="215" spans="2:27">
      <c r="B215" s="266" t="s">
        <v>536</v>
      </c>
      <c r="C215" s="12" t="s">
        <v>542</v>
      </c>
      <c r="D215" s="2">
        <f>G68*(1+$G$72)^2</f>
        <v>1208.8662607538718</v>
      </c>
      <c r="E215" s="2">
        <f t="shared" ref="E215:X215" si="20">D215*(1+$G$72)</f>
        <v>1260.8444120089753</v>
      </c>
      <c r="F215" s="2">
        <f t="shared" si="20"/>
        <v>1315.0574905638227</v>
      </c>
      <c r="G215" s="2">
        <f t="shared" si="20"/>
        <v>1371.601592564863</v>
      </c>
      <c r="H215" s="2">
        <f t="shared" si="20"/>
        <v>1430.5769460465767</v>
      </c>
      <c r="I215" s="2">
        <f t="shared" si="20"/>
        <v>1492.0880885920733</v>
      </c>
      <c r="J215" s="2">
        <f t="shared" si="20"/>
        <v>1556.2440526326377</v>
      </c>
      <c r="K215" s="2">
        <f t="shared" si="20"/>
        <v>1623.1585587146831</v>
      </c>
      <c r="L215" s="2">
        <f t="shared" si="20"/>
        <v>1692.9502170766871</v>
      </c>
      <c r="M215" s="2">
        <f t="shared" si="20"/>
        <v>1765.7427378934199</v>
      </c>
      <c r="N215" s="2">
        <f t="shared" si="20"/>
        <v>1841.6651505601353</v>
      </c>
      <c r="O215" s="2">
        <f t="shared" si="20"/>
        <v>1920.8520324054195</v>
      </c>
      <c r="P215" s="2">
        <f t="shared" si="20"/>
        <v>2003.4437472381076</v>
      </c>
      <c r="Q215" s="2">
        <f t="shared" si="20"/>
        <v>2089.586694151104</v>
      </c>
      <c r="R215" s="2">
        <f t="shared" si="20"/>
        <v>2179.4335670231326</v>
      </c>
      <c r="S215" s="2">
        <f t="shared" si="20"/>
        <v>2273.1436251783934</v>
      </c>
      <c r="T215" s="2">
        <f t="shared" si="20"/>
        <v>2370.8829756838941</v>
      </c>
      <c r="U215" s="2">
        <f t="shared" si="20"/>
        <v>2472.8248677848414</v>
      </c>
      <c r="V215" s="2">
        <f t="shared" si="20"/>
        <v>2579.1500000000015</v>
      </c>
      <c r="W215" s="2">
        <f t="shared" si="20"/>
        <v>2690.0468404213711</v>
      </c>
      <c r="X215" s="2">
        <f t="shared" si="20"/>
        <v>2805.7119607859172</v>
      </c>
    </row>
    <row r="216" spans="2:27">
      <c r="B216" s="266" t="s">
        <v>535</v>
      </c>
      <c r="C216" s="12" t="s">
        <v>542</v>
      </c>
      <c r="D216" s="2">
        <f>H68*(1+$H$72)^2</f>
        <v>2724.9939203078502</v>
      </c>
      <c r="E216" s="2">
        <f t="shared" ref="E216:X216" si="21">D216*(1+$H$72)</f>
        <v>2842.1616539927036</v>
      </c>
      <c r="F216" s="2">
        <f t="shared" si="21"/>
        <v>2964.3672990338118</v>
      </c>
      <c r="G216" s="2">
        <f t="shared" si="21"/>
        <v>3091.8274726690042</v>
      </c>
      <c r="H216" s="2">
        <f t="shared" si="21"/>
        <v>3224.768106120498</v>
      </c>
      <c r="I216" s="2">
        <f t="shared" si="21"/>
        <v>3363.4248450722862</v>
      </c>
      <c r="J216" s="2">
        <f t="shared" si="21"/>
        <v>3508.0434673670206</v>
      </c>
      <c r="K216" s="2">
        <f t="shared" si="21"/>
        <v>3658.8803186627893</v>
      </c>
      <c r="L216" s="2">
        <f t="shared" si="21"/>
        <v>3816.2027668220135</v>
      </c>
      <c r="M216" s="2">
        <f t="shared" si="21"/>
        <v>3980.2896758379015</v>
      </c>
      <c r="N216" s="2">
        <f t="shared" si="21"/>
        <v>4151.4319001385193</v>
      </c>
      <c r="O216" s="2">
        <f t="shared" si="21"/>
        <v>4329.9328001446684</v>
      </c>
      <c r="P216" s="2">
        <f t="shared" si="21"/>
        <v>4516.1087799954221</v>
      </c>
      <c r="Q216" s="2">
        <f t="shared" si="21"/>
        <v>4710.2898483944855</v>
      </c>
      <c r="R216" s="2">
        <f t="shared" si="21"/>
        <v>4912.8202035714994</v>
      </c>
      <c r="S216" s="2">
        <f t="shared" si="21"/>
        <v>5124.0588433951816</v>
      </c>
      <c r="T216" s="2">
        <f t="shared" si="21"/>
        <v>5344.3802017197604</v>
      </c>
      <c r="U216" s="2">
        <f t="shared" si="21"/>
        <v>5574.174812092675</v>
      </c>
      <c r="V216" s="2">
        <f t="shared" si="21"/>
        <v>5813.8499999999967</v>
      </c>
      <c r="W216" s="2">
        <f t="shared" si="21"/>
        <v>6063.8306048766226</v>
      </c>
      <c r="X216" s="2">
        <f t="shared" si="21"/>
        <v>6324.5597331610561</v>
      </c>
    </row>
    <row r="217" spans="2:27" s="177" customFormat="1">
      <c r="B217" s="270" t="s">
        <v>534</v>
      </c>
      <c r="C217" s="280"/>
      <c r="D217" s="279">
        <f t="shared" ref="D217:X217" si="22">SUM(D218:D222)</f>
        <v>22703.666636209073</v>
      </c>
      <c r="E217" s="279">
        <f t="shared" si="22"/>
        <v>23244.265475912216</v>
      </c>
      <c r="F217" s="279">
        <f t="shared" si="22"/>
        <v>23797.774523411321</v>
      </c>
      <c r="G217" s="279">
        <f t="shared" si="22"/>
        <v>24364.502663540225</v>
      </c>
      <c r="H217" s="279">
        <f t="shared" si="22"/>
        <v>24944.766179994807</v>
      </c>
      <c r="I217" s="279">
        <f t="shared" si="22"/>
        <v>25538.888932690348</v>
      </c>
      <c r="J217" s="279">
        <f t="shared" si="22"/>
        <v>26147.20253937224</v>
      </c>
      <c r="K217" s="279">
        <f t="shared" si="22"/>
        <v>26770.046561582061</v>
      </c>
      <c r="L217" s="279">
        <f t="shared" si="22"/>
        <v>27407.768695083523</v>
      </c>
      <c r="M217" s="279">
        <f t="shared" si="22"/>
        <v>28060.724964855275</v>
      </c>
      <c r="N217" s="279">
        <f t="shared" si="22"/>
        <v>28729.279924760078</v>
      </c>
      <c r="O217" s="279">
        <f t="shared" si="22"/>
        <v>29413.806862002573</v>
      </c>
      <c r="P217" s="279">
        <f t="shared" si="22"/>
        <v>30114.688006490531</v>
      </c>
      <c r="Q217" s="279">
        <f t="shared" si="22"/>
        <v>30832.314745217132</v>
      </c>
      <c r="R217" s="279">
        <f t="shared" si="22"/>
        <v>31567.087841784836</v>
      </c>
      <c r="S217" s="279">
        <f t="shared" si="22"/>
        <v>32319.417661194107</v>
      </c>
      <c r="T217" s="279">
        <f t="shared" si="22"/>
        <v>33089.724400023311</v>
      </c>
      <c r="U217" s="279">
        <f t="shared" si="22"/>
        <v>33878.438322129157</v>
      </c>
      <c r="V217" s="279">
        <f t="shared" si="22"/>
        <v>34686.000000000044</v>
      </c>
      <c r="W217" s="279">
        <f t="shared" si="22"/>
        <v>35512.860561898</v>
      </c>
      <c r="X217" s="279">
        <f t="shared" si="22"/>
        <v>36359.481944928062</v>
      </c>
    </row>
    <row r="218" spans="2:27">
      <c r="B218" s="266" t="s">
        <v>533</v>
      </c>
      <c r="C218" s="12" t="s">
        <v>542</v>
      </c>
      <c r="D218" s="2">
        <f>K68*(1+$K$72)^2</f>
        <v>120.4917302388978</v>
      </c>
      <c r="E218" s="2">
        <f>D218*(1+$K$72)</f>
        <v>122.27648063142703</v>
      </c>
      <c r="F218" s="2">
        <f t="shared" ref="F218:X218" si="23">E218*(1+$K$72)</f>
        <v>124.08766714498563</v>
      </c>
      <c r="G218" s="2">
        <f t="shared" si="23"/>
        <v>125.92568135729674</v>
      </c>
      <c r="H218" s="2">
        <f t="shared" si="23"/>
        <v>127.7909206462201</v>
      </c>
      <c r="I218" s="2">
        <f t="shared" si="23"/>
        <v>129.68378827566497</v>
      </c>
      <c r="J218" s="2">
        <f t="shared" si="23"/>
        <v>131.60469348277562</v>
      </c>
      <c r="K218" s="2">
        <f t="shared" si="23"/>
        <v>133.55405156640822</v>
      </c>
      <c r="L218" s="2">
        <f t="shared" si="23"/>
        <v>135.53228397691822</v>
      </c>
      <c r="M218" s="2">
        <f t="shared" si="23"/>
        <v>137.53981840727783</v>
      </c>
      <c r="N218" s="2">
        <f t="shared" si="23"/>
        <v>139.57708888554293</v>
      </c>
      <c r="O218" s="2">
        <f t="shared" si="23"/>
        <v>141.64453586868984</v>
      </c>
      <c r="P218" s="2">
        <f t="shared" si="23"/>
        <v>143.74260633784189</v>
      </c>
      <c r="Q218" s="2">
        <f t="shared" si="23"/>
        <v>145.8717538949065</v>
      </c>
      <c r="R218" s="2">
        <f t="shared" si="23"/>
        <v>148.03243886064382</v>
      </c>
      <c r="S218" s="2">
        <f t="shared" si="23"/>
        <v>150.22512837418773</v>
      </c>
      <c r="T218" s="2">
        <f t="shared" si="23"/>
        <v>152.45029649404125</v>
      </c>
      <c r="U218" s="2">
        <f t="shared" si="23"/>
        <v>154.70842430056769</v>
      </c>
      <c r="V218" s="2">
        <f t="shared" si="23"/>
        <v>157.00000000000006</v>
      </c>
      <c r="W218" s="2">
        <f t="shared" si="23"/>
        <v>159.32551902999097</v>
      </c>
      <c r="X218" s="2">
        <f t="shared" si="23"/>
        <v>161.68548416672616</v>
      </c>
    </row>
    <row r="219" spans="2:27">
      <c r="B219" s="266" t="s">
        <v>532</v>
      </c>
      <c r="C219" s="12" t="s">
        <v>542</v>
      </c>
      <c r="D219" s="2">
        <f>L68*(1+$L$72)^2</f>
        <v>118.48441432231486</v>
      </c>
      <c r="E219" s="2">
        <f t="shared" ref="E219:X219" si="24">D219*(1+$L$72)</f>
        <v>120.26601447749023</v>
      </c>
      <c r="F219" s="2">
        <f t="shared" si="24"/>
        <v>122.07440380262584</v>
      </c>
      <c r="G219" s="2">
        <f t="shared" si="24"/>
        <v>123.90998511516931</v>
      </c>
      <c r="H219" s="2">
        <f t="shared" si="24"/>
        <v>125.77316728956426</v>
      </c>
      <c r="I219" s="2">
        <f t="shared" si="24"/>
        <v>127.66436534832685</v>
      </c>
      <c r="J219" s="2">
        <f t="shared" si="24"/>
        <v>129.58400055449175</v>
      </c>
      <c r="K219" s="2">
        <f t="shared" si="24"/>
        <v>131.53250050544813</v>
      </c>
      <c r="L219" s="2">
        <f t="shared" si="24"/>
        <v>133.51029922818677</v>
      </c>
      <c r="M219" s="2">
        <f t="shared" si="24"/>
        <v>135.51783727597916</v>
      </c>
      <c r="N219" s="2">
        <f t="shared" si="24"/>
        <v>137.55556182651054</v>
      </c>
      <c r="O219" s="2">
        <f t="shared" si="24"/>
        <v>139.62392678148834</v>
      </c>
      <c r="P219" s="2">
        <f t="shared" si="24"/>
        <v>141.72339286774846</v>
      </c>
      <c r="Q219" s="2">
        <f t="shared" si="24"/>
        <v>143.85442773988188</v>
      </c>
      <c r="R219" s="2">
        <f t="shared" si="24"/>
        <v>146.01750608440443</v>
      </c>
      <c r="S219" s="2">
        <f t="shared" si="24"/>
        <v>148.21310972549279</v>
      </c>
      <c r="T219" s="2">
        <f t="shared" si="24"/>
        <v>150.44172773231048</v>
      </c>
      <c r="U219" s="2">
        <f t="shared" si="24"/>
        <v>152.70385652794783</v>
      </c>
      <c r="V219" s="2">
        <f t="shared" si="24"/>
        <v>154.99999999999966</v>
      </c>
      <c r="W219" s="2">
        <f t="shared" si="24"/>
        <v>157.33066961280605</v>
      </c>
      <c r="X219" s="2">
        <f t="shared" si="24"/>
        <v>159.69638452138057</v>
      </c>
    </row>
    <row r="220" spans="2:27">
      <c r="B220" s="266" t="s">
        <v>82</v>
      </c>
      <c r="C220" s="12" t="s">
        <v>542</v>
      </c>
      <c r="D220" s="2">
        <f>M68*(1+$M$72)^2</f>
        <v>64.915497094305806</v>
      </c>
      <c r="E220" s="2">
        <f t="shared" ref="E220:X220" si="25">D220*(1+$M$72)</f>
        <v>65.894976265316998</v>
      </c>
      <c r="F220" s="2">
        <f t="shared" si="25"/>
        <v>66.889234333346437</v>
      </c>
      <c r="G220" s="2">
        <f t="shared" si="25"/>
        <v>67.898494290167235</v>
      </c>
      <c r="H220" s="2">
        <f t="shared" si="25"/>
        <v>68.922982492169695</v>
      </c>
      <c r="I220" s="2">
        <f t="shared" si="25"/>
        <v>69.962928711128427</v>
      </c>
      <c r="J220" s="2">
        <f t="shared" si="25"/>
        <v>71.018566185735438</v>
      </c>
      <c r="K220" s="2">
        <f t="shared" si="25"/>
        <v>72.090131673910832</v>
      </c>
      <c r="L220" s="2">
        <f t="shared" si="25"/>
        <v>73.177865505902759</v>
      </c>
      <c r="M220" s="2">
        <f t="shared" si="25"/>
        <v>74.282011638188607</v>
      </c>
      <c r="N220" s="2">
        <f t="shared" si="25"/>
        <v>75.402817708189403</v>
      </c>
      <c r="O220" s="2">
        <f t="shared" si="25"/>
        <v>76.540535089809893</v>
      </c>
      <c r="P220" s="2">
        <f t="shared" si="25"/>
        <v>77.695418949816514</v>
      </c>
      <c r="Q220" s="2">
        <f t="shared" si="25"/>
        <v>78.867728305066137</v>
      </c>
      <c r="R220" s="2">
        <f t="shared" si="25"/>
        <v>80.057726080598215</v>
      </c>
      <c r="S220" s="2">
        <f t="shared" si="25"/>
        <v>81.265679168603512</v>
      </c>
      <c r="T220" s="2">
        <f t="shared" si="25"/>
        <v>82.491858488282602</v>
      </c>
      <c r="U220" s="2">
        <f t="shared" si="25"/>
        <v>83.736539046607462</v>
      </c>
      <c r="V220" s="2">
        <f t="shared" si="25"/>
        <v>84.999999999999929</v>
      </c>
      <c r="W220" s="2">
        <f t="shared" si="25"/>
        <v>86.282524716940827</v>
      </c>
      <c r="X220" s="2">
        <f t="shared" si="25"/>
        <v>87.584400841523646</v>
      </c>
    </row>
    <row r="221" spans="2:27">
      <c r="B221" s="266" t="s">
        <v>531</v>
      </c>
      <c r="C221" s="12" t="s">
        <v>542</v>
      </c>
      <c r="D221" s="2">
        <f>N68*(1+$N$72)^2</f>
        <v>169.96944144694689</v>
      </c>
      <c r="E221" s="2">
        <f t="shared" ref="E221:X221" si="26">D221*(1+$N$72)</f>
        <v>172.51000936568593</v>
      </c>
      <c r="F221" s="2">
        <f t="shared" si="26"/>
        <v>175.08855167143702</v>
      </c>
      <c r="G221" s="2">
        <f t="shared" si="26"/>
        <v>177.7056359751104</v>
      </c>
      <c r="H221" s="2">
        <f t="shared" si="26"/>
        <v>180.36183837181241</v>
      </c>
      <c r="I221" s="2">
        <f t="shared" si="26"/>
        <v>183.05774356766051</v>
      </c>
      <c r="J221" s="2">
        <f t="shared" si="26"/>
        <v>185.79394500849375</v>
      </c>
      <c r="K221" s="2">
        <f t="shared" si="26"/>
        <v>188.57104501050722</v>
      </c>
      <c r="L221" s="2">
        <f t="shared" si="26"/>
        <v>191.38965489283908</v>
      </c>
      <c r="M221" s="2">
        <f t="shared" si="26"/>
        <v>194.25039511213936</v>
      </c>
      <c r="N221" s="2">
        <f t="shared" si="26"/>
        <v>197.1538953991502</v>
      </c>
      <c r="O221" s="2">
        <f t="shared" si="26"/>
        <v>200.10079489732769</v>
      </c>
      <c r="P221" s="2">
        <f t="shared" si="26"/>
        <v>203.09174230353548</v>
      </c>
      <c r="Q221" s="2">
        <f t="shared" si="26"/>
        <v>206.12739601084164</v>
      </c>
      <c r="R221" s="2">
        <f t="shared" si="26"/>
        <v>209.20842425344969</v>
      </c>
      <c r="S221" s="2">
        <f t="shared" si="26"/>
        <v>212.33550525379624</v>
      </c>
      <c r="T221" s="2">
        <f t="shared" si="26"/>
        <v>215.50932737184692</v>
      </c>
      <c r="U221" s="2">
        <f t="shared" si="26"/>
        <v>218.73058925662426</v>
      </c>
      <c r="V221" s="2">
        <f t="shared" si="26"/>
        <v>222.00000000000026</v>
      </c>
      <c r="W221" s="2">
        <f t="shared" si="26"/>
        <v>225.31827929278779</v>
      </c>
      <c r="X221" s="2">
        <f t="shared" si="26"/>
        <v>228.68615758316517</v>
      </c>
    </row>
    <row r="222" spans="2:27">
      <c r="B222" s="265" t="s">
        <v>84</v>
      </c>
      <c r="C222" s="12" t="s">
        <v>542</v>
      </c>
      <c r="D222" s="2">
        <f>O68*(1+$O$72)^2</f>
        <v>22229.805553106606</v>
      </c>
      <c r="E222" s="2">
        <f t="shared" ref="E222:X222" si="27">D222*(1+$O$72)</f>
        <v>22763.317995172296</v>
      </c>
      <c r="F222" s="2">
        <f t="shared" si="27"/>
        <v>23309.634666458925</v>
      </c>
      <c r="G222" s="2">
        <f t="shared" si="27"/>
        <v>23869.06286680248</v>
      </c>
      <c r="H222" s="2">
        <f t="shared" si="27"/>
        <v>24441.917271195041</v>
      </c>
      <c r="I222" s="2">
        <f t="shared" si="27"/>
        <v>25028.520106787568</v>
      </c>
      <c r="J222" s="2">
        <f t="shared" si="27"/>
        <v>25629.201334140744</v>
      </c>
      <c r="K222" s="2">
        <f t="shared" si="27"/>
        <v>26244.298832825785</v>
      </c>
      <c r="L222" s="2">
        <f t="shared" si="27"/>
        <v>26874.158591479678</v>
      </c>
      <c r="M222" s="2">
        <f t="shared" si="27"/>
        <v>27519.134902421691</v>
      </c>
      <c r="N222" s="2">
        <f t="shared" si="27"/>
        <v>28179.590560940684</v>
      </c>
      <c r="O222" s="2">
        <f t="shared" si="27"/>
        <v>28855.897069365259</v>
      </c>
      <c r="P222" s="2">
        <f t="shared" si="27"/>
        <v>29548.434846031589</v>
      </c>
      <c r="Q222" s="2">
        <f t="shared" si="27"/>
        <v>30257.593439266435</v>
      </c>
      <c r="R222" s="2">
        <f t="shared" si="27"/>
        <v>30983.771746505739</v>
      </c>
      <c r="S222" s="2">
        <f t="shared" si="27"/>
        <v>31727.378238672027</v>
      </c>
      <c r="T222" s="2">
        <f t="shared" si="27"/>
        <v>32488.831189936831</v>
      </c>
      <c r="U222" s="2">
        <f t="shared" si="27"/>
        <v>33268.558912997411</v>
      </c>
      <c r="V222" s="2">
        <f t="shared" si="27"/>
        <v>34067.000000000044</v>
      </c>
      <c r="W222" s="2">
        <f t="shared" si="27"/>
        <v>34884.603569245475</v>
      </c>
      <c r="X222" s="2">
        <f t="shared" si="27"/>
        <v>35721.829517815269</v>
      </c>
    </row>
    <row r="223" spans="2:27">
      <c r="B223" s="265"/>
      <c r="C223" s="12"/>
      <c r="D223" s="2"/>
      <c r="E223" s="2"/>
      <c r="F223" s="2"/>
      <c r="G223" s="2"/>
      <c r="H223" s="2"/>
      <c r="I223" s="2"/>
      <c r="J223" s="2"/>
      <c r="K223" s="2"/>
      <c r="L223" s="2"/>
      <c r="M223" s="2"/>
      <c r="N223" s="2"/>
      <c r="O223" s="2"/>
      <c r="P223" s="2"/>
      <c r="Q223" s="2"/>
      <c r="R223" s="2"/>
      <c r="S223" s="2"/>
      <c r="T223" s="2"/>
      <c r="U223" s="2"/>
      <c r="V223" s="2"/>
      <c r="W223" s="2"/>
      <c r="X223" s="2"/>
    </row>
    <row r="224" spans="2:27" s="177" customFormat="1">
      <c r="B224" s="270" t="s">
        <v>537</v>
      </c>
      <c r="C224" s="280"/>
      <c r="D224" s="279">
        <f t="shared" ref="D224:X224" si="28">SUM(D225:D228)</f>
        <v>133137.55005008445</v>
      </c>
      <c r="E224" s="279">
        <f t="shared" si="28"/>
        <v>135858.68109070466</v>
      </c>
      <c r="F224" s="279">
        <f t="shared" si="28"/>
        <v>138650.03170054138</v>
      </c>
      <c r="G224" s="279">
        <f t="shared" si="28"/>
        <v>141513.8923585783</v>
      </c>
      <c r="H224" s="279">
        <f t="shared" si="28"/>
        <v>144452.64067382584</v>
      </c>
      <c r="I224" s="279">
        <f t="shared" si="28"/>
        <v>147468.74495475352</v>
      </c>
      <c r="J224" s="279">
        <f t="shared" si="28"/>
        <v>150564.76792944185</v>
      </c>
      <c r="K224" s="279">
        <f t="shared" si="28"/>
        <v>153743.37062289016</v>
      </c>
      <c r="L224" s="279">
        <f t="shared" si="28"/>
        <v>157007.31639819485</v>
      </c>
      <c r="M224" s="279">
        <f t="shared" si="28"/>
        <v>160359.47516859969</v>
      </c>
      <c r="N224" s="279">
        <f t="shared" si="28"/>
        <v>163802.82778771961</v>
      </c>
      <c r="O224" s="279">
        <f t="shared" si="28"/>
        <v>167340.47062555383</v>
      </c>
      <c r="P224" s="279">
        <f t="shared" si="28"/>
        <v>170975.62033823019</v>
      </c>
      <c r="Q224" s="279">
        <f t="shared" si="28"/>
        <v>174711.61883976348</v>
      </c>
      <c r="R224" s="279">
        <f t="shared" si="28"/>
        <v>178551.93848446567</v>
      </c>
      <c r="S224" s="279">
        <f t="shared" si="28"/>
        <v>182500.18746901755</v>
      </c>
      <c r="T224" s="279">
        <f t="shared" si="28"/>
        <v>186560.11546359642</v>
      </c>
      <c r="U224" s="279">
        <f t="shared" si="28"/>
        <v>190735.61948185926</v>
      </c>
      <c r="V224" s="279">
        <f t="shared" si="28"/>
        <v>195030.74999999988</v>
      </c>
      <c r="W224" s="279">
        <f t="shared" si="28"/>
        <v>199449.71733553871</v>
      </c>
      <c r="X224" s="279">
        <f t="shared" si="28"/>
        <v>203996.89829695938</v>
      </c>
      <c r="Z224" s="278" t="s">
        <v>541</v>
      </c>
      <c r="AA224" s="277">
        <f>(X224/D224)^(1/($X$207-$D$207))-1</f>
        <v>2.156534126945564E-2</v>
      </c>
    </row>
    <row r="225" spans="1:80">
      <c r="B225" s="271" t="s">
        <v>524</v>
      </c>
      <c r="C225" s="12" t="s">
        <v>539</v>
      </c>
      <c r="D225" s="2">
        <f>D213*$D$142</f>
        <v>16722.676371490117</v>
      </c>
      <c r="E225" s="2">
        <f t="shared" ref="E225:X225" si="29">D225*(1+$E$72)</f>
        <v>16990.304812931088</v>
      </c>
      <c r="F225" s="2">
        <f t="shared" si="29"/>
        <v>17262.216359604558</v>
      </c>
      <c r="G225" s="2">
        <f t="shared" si="29"/>
        <v>17538.47955800108</v>
      </c>
      <c r="H225" s="2">
        <f t="shared" si="29"/>
        <v>17819.16405162403</v>
      </c>
      <c r="I225" s="2">
        <f t="shared" si="29"/>
        <v>18104.340598546118</v>
      </c>
      <c r="J225" s="2">
        <f t="shared" si="29"/>
        <v>18394.081089246869</v>
      </c>
      <c r="K225" s="2">
        <f t="shared" si="29"/>
        <v>18688.458564735582</v>
      </c>
      <c r="L225" s="2">
        <f t="shared" si="29"/>
        <v>18987.54723496431</v>
      </c>
      <c r="M225" s="2">
        <f t="shared" si="29"/>
        <v>19291.422497535543</v>
      </c>
      <c r="N225" s="2">
        <f t="shared" si="29"/>
        <v>19600.160956709267</v>
      </c>
      <c r="O225" s="2">
        <f t="shared" si="29"/>
        <v>19913.840442714227</v>
      </c>
      <c r="P225" s="2">
        <f t="shared" si="29"/>
        <v>20232.540031368222</v>
      </c>
      <c r="Q225" s="2">
        <f t="shared" si="29"/>
        <v>20556.340064012438</v>
      </c>
      <c r="R225" s="2">
        <f t="shared" si="29"/>
        <v>20885.322167764771</v>
      </c>
      <c r="S225" s="2">
        <f t="shared" si="29"/>
        <v>21219.569276097311</v>
      </c>
      <c r="T225" s="2">
        <f t="shared" si="29"/>
        <v>21559.165649743129</v>
      </c>
      <c r="U225" s="2">
        <f t="shared" si="29"/>
        <v>21904.196897937662</v>
      </c>
      <c r="V225" s="2">
        <f t="shared" si="29"/>
        <v>22254.750000000047</v>
      </c>
      <c r="W225" s="2">
        <f t="shared" si="29"/>
        <v>22610.91332725983</v>
      </c>
      <c r="X225" s="2">
        <f t="shared" si="29"/>
        <v>22972.776665334597</v>
      </c>
    </row>
    <row r="226" spans="1:80">
      <c r="B226" s="271" t="s">
        <v>51</v>
      </c>
      <c r="C226" s="12" t="s">
        <v>539</v>
      </c>
      <c r="D226" s="2">
        <f>D214*$D$142</f>
        <v>92811.712592223994</v>
      </c>
      <c r="E226" s="2">
        <f t="shared" ref="E226:X226" si="30">D226*(1+$F$72)</f>
        <v>94250.339881763502</v>
      </c>
      <c r="F226" s="2">
        <f t="shared" si="30"/>
        <v>95711.266603351003</v>
      </c>
      <c r="G226" s="2">
        <f t="shared" si="30"/>
        <v>97194.838409174015</v>
      </c>
      <c r="H226" s="2">
        <f t="shared" si="30"/>
        <v>98701.406309199345</v>
      </c>
      <c r="I226" s="2">
        <f t="shared" si="30"/>
        <v>100231.32675422126</v>
      </c>
      <c r="J226" s="2">
        <f t="shared" si="30"/>
        <v>101784.96172019704</v>
      </c>
      <c r="K226" s="2">
        <f t="shared" si="30"/>
        <v>103362.67879388972</v>
      </c>
      <c r="L226" s="2">
        <f t="shared" si="30"/>
        <v>104964.85125983832</v>
      </c>
      <c r="M226" s="2">
        <f t="shared" si="30"/>
        <v>106591.85818867621</v>
      </c>
      <c r="N226" s="2">
        <f t="shared" si="30"/>
        <v>108244.08452681841</v>
      </c>
      <c r="O226" s="2">
        <f t="shared" si="30"/>
        <v>109921.92118753906</v>
      </c>
      <c r="P226" s="2">
        <f t="shared" si="30"/>
        <v>111625.76514346078</v>
      </c>
      <c r="Q226" s="2">
        <f t="shared" si="30"/>
        <v>113356.01952047748</v>
      </c>
      <c r="R226" s="2">
        <f t="shared" si="30"/>
        <v>115113.09369313309</v>
      </c>
      <c r="S226" s="2">
        <f t="shared" si="30"/>
        <v>116897.40338147877</v>
      </c>
      <c r="T226" s="2">
        <f t="shared" si="30"/>
        <v>118709.37074943136</v>
      </c>
      <c r="U226" s="2">
        <f t="shared" si="30"/>
        <v>120549.42450465648</v>
      </c>
      <c r="V226" s="2">
        <f t="shared" si="30"/>
        <v>122417.99999999985</v>
      </c>
      <c r="W226" s="2">
        <f t="shared" si="30"/>
        <v>124315.53933649091</v>
      </c>
      <c r="X226" s="2">
        <f t="shared" si="30"/>
        <v>126242.49146794293</v>
      </c>
    </row>
    <row r="227" spans="1:80">
      <c r="B227" s="266" t="s">
        <v>536</v>
      </c>
      <c r="C227" s="12" t="s">
        <v>539</v>
      </c>
      <c r="D227" s="2">
        <f>D215*$D$142</f>
        <v>7253.1975645232305</v>
      </c>
      <c r="E227" s="2">
        <f t="shared" ref="E227:X227" si="31">D227*(1+$G$72)</f>
        <v>7565.0664720538507</v>
      </c>
      <c r="F227" s="2">
        <f t="shared" si="31"/>
        <v>7890.3449433829355</v>
      </c>
      <c r="G227" s="2">
        <f t="shared" si="31"/>
        <v>8229.6095553891773</v>
      </c>
      <c r="H227" s="2">
        <f t="shared" si="31"/>
        <v>8583.4616762794594</v>
      </c>
      <c r="I227" s="2">
        <f t="shared" si="31"/>
        <v>8952.5285315524397</v>
      </c>
      <c r="J227" s="2">
        <f t="shared" si="31"/>
        <v>9337.4643157958253</v>
      </c>
      <c r="K227" s="2">
        <f t="shared" si="31"/>
        <v>9738.951352288097</v>
      </c>
      <c r="L227" s="2">
        <f t="shared" si="31"/>
        <v>10157.70130246012</v>
      </c>
      <c r="M227" s="2">
        <f t="shared" si="31"/>
        <v>10594.456427360517</v>
      </c>
      <c r="N227" s="2">
        <f t="shared" si="31"/>
        <v>11049.990903360809</v>
      </c>
      <c r="O227" s="2">
        <f t="shared" si="31"/>
        <v>11525.112194432515</v>
      </c>
      <c r="P227" s="2">
        <f t="shared" si="31"/>
        <v>12020.662483428643</v>
      </c>
      <c r="Q227" s="2">
        <f t="shared" si="31"/>
        <v>12537.520164906622</v>
      </c>
      <c r="R227" s="2">
        <f t="shared" si="31"/>
        <v>13076.601402138793</v>
      </c>
      <c r="S227" s="2">
        <f t="shared" si="31"/>
        <v>13638.861751070357</v>
      </c>
      <c r="T227" s="2">
        <f t="shared" si="31"/>
        <v>14225.297854103361</v>
      </c>
      <c r="U227" s="2">
        <f t="shared" si="31"/>
        <v>14836.949206709045</v>
      </c>
      <c r="V227" s="2">
        <f t="shared" si="31"/>
        <v>15474.900000000005</v>
      </c>
      <c r="W227" s="2">
        <f t="shared" si="31"/>
        <v>16140.281042528222</v>
      </c>
      <c r="X227" s="2">
        <f t="shared" si="31"/>
        <v>16834.271764715497</v>
      </c>
    </row>
    <row r="228" spans="1:80">
      <c r="B228" s="266" t="s">
        <v>535</v>
      </c>
      <c r="C228" s="12" t="s">
        <v>539</v>
      </c>
      <c r="D228" s="2">
        <f>D216*$D$142</f>
        <v>16349.963521847101</v>
      </c>
      <c r="E228" s="2">
        <f t="shared" ref="E228:X228" si="32">D228*(1+$H$72)</f>
        <v>17052.969923956221</v>
      </c>
      <c r="F228" s="2">
        <f t="shared" si="32"/>
        <v>17786.203794202873</v>
      </c>
      <c r="G228" s="2">
        <f t="shared" si="32"/>
        <v>18550.964836014027</v>
      </c>
      <c r="H228" s="2">
        <f t="shared" si="32"/>
        <v>19348.608636722991</v>
      </c>
      <c r="I228" s="2">
        <f t="shared" si="32"/>
        <v>20180.549070433721</v>
      </c>
      <c r="J228" s="2">
        <f t="shared" si="32"/>
        <v>21048.260804202127</v>
      </c>
      <c r="K228" s="2">
        <f t="shared" si="32"/>
        <v>21953.281911976741</v>
      </c>
      <c r="L228" s="2">
        <f t="shared" si="32"/>
        <v>22897.216600932086</v>
      </c>
      <c r="M228" s="2">
        <f t="shared" si="32"/>
        <v>23881.738055027414</v>
      </c>
      <c r="N228" s="2">
        <f t="shared" si="32"/>
        <v>24908.591400831123</v>
      </c>
      <c r="O228" s="2">
        <f t="shared" si="32"/>
        <v>25979.596800868017</v>
      </c>
      <c r="P228" s="2">
        <f t="shared" si="32"/>
        <v>27096.652679972543</v>
      </c>
      <c r="Q228" s="2">
        <f t="shared" si="32"/>
        <v>28261.739090366926</v>
      </c>
      <c r="R228" s="2">
        <f t="shared" si="32"/>
        <v>29476.921221429013</v>
      </c>
      <c r="S228" s="2">
        <f t="shared" si="32"/>
        <v>30744.353060371104</v>
      </c>
      <c r="T228" s="2">
        <f t="shared" si="32"/>
        <v>32066.281210318579</v>
      </c>
      <c r="U228" s="2">
        <f t="shared" si="32"/>
        <v>33445.048872556064</v>
      </c>
      <c r="V228" s="2">
        <f t="shared" si="32"/>
        <v>34883.099999999991</v>
      </c>
      <c r="W228" s="2">
        <f t="shared" si="32"/>
        <v>36382.983629259747</v>
      </c>
      <c r="X228" s="2">
        <f t="shared" si="32"/>
        <v>37947.358398966353</v>
      </c>
      <c r="Y228" s="278"/>
    </row>
    <row r="229" spans="1:80" s="177" customFormat="1">
      <c r="B229" s="270" t="s">
        <v>534</v>
      </c>
      <c r="C229" s="280"/>
      <c r="D229" s="279">
        <f t="shared" ref="D229:X229" si="33">SUM(D230:D234)</f>
        <v>136221.99981725443</v>
      </c>
      <c r="E229" s="279">
        <f t="shared" si="33"/>
        <v>139465.59285547328</v>
      </c>
      <c r="F229" s="279">
        <f t="shared" si="33"/>
        <v>142786.64714046792</v>
      </c>
      <c r="G229" s="279">
        <f t="shared" si="33"/>
        <v>146187.01598124136</v>
      </c>
      <c r="H229" s="279">
        <f t="shared" si="33"/>
        <v>149668.59707996887</v>
      </c>
      <c r="I229" s="279">
        <f t="shared" si="33"/>
        <v>153233.3335961421</v>
      </c>
      <c r="J229" s="279">
        <f t="shared" si="33"/>
        <v>156883.21523623343</v>
      </c>
      <c r="K229" s="279">
        <f t="shared" si="33"/>
        <v>160620.27936949235</v>
      </c>
      <c r="L229" s="279">
        <f t="shared" si="33"/>
        <v>164446.61217050112</v>
      </c>
      <c r="M229" s="279">
        <f t="shared" si="33"/>
        <v>168364.34978913164</v>
      </c>
      <c r="N229" s="279">
        <f t="shared" si="33"/>
        <v>172375.67954856041</v>
      </c>
      <c r="O229" s="279">
        <f t="shared" si="33"/>
        <v>176482.84117201541</v>
      </c>
      <c r="P229" s="279">
        <f t="shared" si="33"/>
        <v>180688.12803894313</v>
      </c>
      <c r="Q229" s="279">
        <f t="shared" si="33"/>
        <v>184993.88847130275</v>
      </c>
      <c r="R229" s="279">
        <f t="shared" si="33"/>
        <v>189402.527050709</v>
      </c>
      <c r="S229" s="279">
        <f t="shared" si="33"/>
        <v>193916.50596716462</v>
      </c>
      <c r="T229" s="279">
        <f t="shared" si="33"/>
        <v>198538.34640013985</v>
      </c>
      <c r="U229" s="279">
        <f t="shared" si="33"/>
        <v>203270.62993277493</v>
      </c>
      <c r="V229" s="279">
        <f t="shared" si="33"/>
        <v>208116.00000000023</v>
      </c>
      <c r="W229" s="279">
        <f t="shared" si="33"/>
        <v>213077.16337138799</v>
      </c>
      <c r="X229" s="279">
        <f t="shared" si="33"/>
        <v>218156.89166956834</v>
      </c>
      <c r="Z229" s="278" t="s">
        <v>540</v>
      </c>
      <c r="AA229" s="277">
        <f>(X229/D229)^(1/($X$207-$D$207))-1</f>
        <v>2.3825835057635247E-2</v>
      </c>
    </row>
    <row r="230" spans="1:80">
      <c r="B230" s="266" t="s">
        <v>533</v>
      </c>
      <c r="C230" s="12" t="s">
        <v>539</v>
      </c>
      <c r="D230" s="2">
        <f>D218*$D$142</f>
        <v>722.95038143338684</v>
      </c>
      <c r="E230" s="2">
        <f t="shared" ref="E230:X230" si="34">D230*(1+$K$72)</f>
        <v>733.65888378856221</v>
      </c>
      <c r="F230" s="2">
        <f t="shared" si="34"/>
        <v>744.52600286991378</v>
      </c>
      <c r="G230" s="2">
        <f t="shared" si="34"/>
        <v>755.5540881437804</v>
      </c>
      <c r="H230" s="2">
        <f t="shared" si="34"/>
        <v>766.74552387732058</v>
      </c>
      <c r="I230" s="2">
        <f t="shared" si="34"/>
        <v>778.10272965398985</v>
      </c>
      <c r="J230" s="2">
        <f t="shared" si="34"/>
        <v>789.62816089665375</v>
      </c>
      <c r="K230" s="2">
        <f t="shared" si="34"/>
        <v>801.32430939844937</v>
      </c>
      <c r="L230" s="2">
        <f t="shared" si="34"/>
        <v>813.19370386150945</v>
      </c>
      <c r="M230" s="2">
        <f t="shared" si="34"/>
        <v>825.23891044366701</v>
      </c>
      <c r="N230" s="2">
        <f t="shared" si="34"/>
        <v>837.46253331325761</v>
      </c>
      <c r="O230" s="2">
        <f t="shared" si="34"/>
        <v>849.86721521213906</v>
      </c>
      <c r="P230" s="2">
        <f t="shared" si="34"/>
        <v>862.45563802705135</v>
      </c>
      <c r="Q230" s="2">
        <f t="shared" si="34"/>
        <v>875.23052336943908</v>
      </c>
      <c r="R230" s="2">
        <f t="shared" si="34"/>
        <v>888.19463316386293</v>
      </c>
      <c r="S230" s="2">
        <f t="shared" si="34"/>
        <v>901.35077024512645</v>
      </c>
      <c r="T230" s="2">
        <f t="shared" si="34"/>
        <v>914.70177896424764</v>
      </c>
      <c r="U230" s="2">
        <f t="shared" si="34"/>
        <v>928.25054580340634</v>
      </c>
      <c r="V230" s="2">
        <f t="shared" si="34"/>
        <v>942.00000000000045</v>
      </c>
      <c r="W230" s="2">
        <f t="shared" si="34"/>
        <v>955.95311417994606</v>
      </c>
      <c r="X230" s="2">
        <f t="shared" si="34"/>
        <v>970.11290500035727</v>
      </c>
    </row>
    <row r="231" spans="1:80">
      <c r="B231" s="266" t="s">
        <v>532</v>
      </c>
      <c r="C231" s="12" t="s">
        <v>539</v>
      </c>
      <c r="D231" s="2">
        <f>D219*$D$142</f>
        <v>710.90648593388914</v>
      </c>
      <c r="E231" s="2">
        <f t="shared" ref="E231:X231" si="35">D231*(1+$L$72)</f>
        <v>721.5960868649413</v>
      </c>
      <c r="F231" s="2">
        <f t="shared" si="35"/>
        <v>732.446422815755</v>
      </c>
      <c r="G231" s="2">
        <f t="shared" si="35"/>
        <v>743.45991069101581</v>
      </c>
      <c r="H231" s="2">
        <f t="shared" si="35"/>
        <v>754.63900373738545</v>
      </c>
      <c r="I231" s="2">
        <f t="shared" si="35"/>
        <v>765.98619208996104</v>
      </c>
      <c r="J231" s="2">
        <f t="shared" si="35"/>
        <v>777.5040033269504</v>
      </c>
      <c r="K231" s="2">
        <f t="shared" si="35"/>
        <v>789.19500303268876</v>
      </c>
      <c r="L231" s="2">
        <f t="shared" si="35"/>
        <v>801.06179536912055</v>
      </c>
      <c r="M231" s="2">
        <f t="shared" si="35"/>
        <v>813.10702365587497</v>
      </c>
      <c r="N231" s="2">
        <f t="shared" si="35"/>
        <v>825.33337095906336</v>
      </c>
      <c r="O231" s="2">
        <f t="shared" si="35"/>
        <v>837.74356068893019</v>
      </c>
      <c r="P231" s="2">
        <f t="shared" si="35"/>
        <v>850.34035720649092</v>
      </c>
      <c r="Q231" s="2">
        <f t="shared" si="35"/>
        <v>863.12656643929154</v>
      </c>
      <c r="R231" s="2">
        <f t="shared" si="35"/>
        <v>876.10503650642681</v>
      </c>
      <c r="S231" s="2">
        <f t="shared" si="35"/>
        <v>889.27865835295688</v>
      </c>
      <c r="T231" s="2">
        <f t="shared" si="35"/>
        <v>902.65036639386312</v>
      </c>
      <c r="U231" s="2">
        <f t="shared" si="35"/>
        <v>916.22313916768724</v>
      </c>
      <c r="V231" s="2">
        <f t="shared" si="35"/>
        <v>929.99999999999829</v>
      </c>
      <c r="W231" s="2">
        <f t="shared" si="35"/>
        <v>943.98401767683663</v>
      </c>
      <c r="X231" s="2">
        <f t="shared" si="35"/>
        <v>958.17830712828368</v>
      </c>
    </row>
    <row r="232" spans="1:80">
      <c r="B232" s="266" t="s">
        <v>82</v>
      </c>
      <c r="C232" s="12" t="s">
        <v>539</v>
      </c>
      <c r="D232" s="2">
        <f>D220*$D$142</f>
        <v>389.49298256583484</v>
      </c>
      <c r="E232" s="2">
        <f t="shared" ref="E232:X232" si="36">D232*(1+$M$72)</f>
        <v>395.36985759190202</v>
      </c>
      <c r="F232" s="2">
        <f t="shared" si="36"/>
        <v>401.33540600007865</v>
      </c>
      <c r="G232" s="2">
        <f t="shared" si="36"/>
        <v>407.39096574100347</v>
      </c>
      <c r="H232" s="2">
        <f t="shared" si="36"/>
        <v>413.53789495301828</v>
      </c>
      <c r="I232" s="2">
        <f t="shared" si="36"/>
        <v>419.77757226677068</v>
      </c>
      <c r="J232" s="2">
        <f t="shared" si="36"/>
        <v>426.11139711441274</v>
      </c>
      <c r="K232" s="2">
        <f t="shared" si="36"/>
        <v>432.54079004346511</v>
      </c>
      <c r="L232" s="2">
        <f t="shared" si="36"/>
        <v>439.06719303541672</v>
      </c>
      <c r="M232" s="2">
        <f t="shared" si="36"/>
        <v>445.69206982913175</v>
      </c>
      <c r="N232" s="2">
        <f t="shared" si="36"/>
        <v>452.41690624913656</v>
      </c>
      <c r="O232" s="2">
        <f t="shared" si="36"/>
        <v>459.2432105388595</v>
      </c>
      <c r="P232" s="2">
        <f t="shared" si="36"/>
        <v>466.17251369889925</v>
      </c>
      <c r="Q232" s="2">
        <f t="shared" si="36"/>
        <v>473.20636983039697</v>
      </c>
      <c r="R232" s="2">
        <f t="shared" si="36"/>
        <v>480.34635648358943</v>
      </c>
      <c r="S232" s="2">
        <f t="shared" si="36"/>
        <v>487.59407501162127</v>
      </c>
      <c r="T232" s="2">
        <f t="shared" si="36"/>
        <v>494.95115092969581</v>
      </c>
      <c r="U232" s="2">
        <f t="shared" si="36"/>
        <v>502.41923427964497</v>
      </c>
      <c r="V232" s="2">
        <f t="shared" si="36"/>
        <v>509.99999999999983</v>
      </c>
      <c r="W232" s="2">
        <f t="shared" si="36"/>
        <v>517.69514830164519</v>
      </c>
      <c r="X232" s="2">
        <f t="shared" si="36"/>
        <v>525.50640504914213</v>
      </c>
    </row>
    <row r="233" spans="1:80">
      <c r="B233" s="266" t="s">
        <v>531</v>
      </c>
      <c r="C233" s="12" t="s">
        <v>539</v>
      </c>
      <c r="D233" s="2">
        <f>D221*$D$142</f>
        <v>1019.8166486816813</v>
      </c>
      <c r="E233" s="2">
        <f t="shared" ref="E233:X233" si="37">D233*(1+$N$72)</f>
        <v>1035.0600561941155</v>
      </c>
      <c r="F233" s="2">
        <f t="shared" si="37"/>
        <v>1050.5313100286221</v>
      </c>
      <c r="G233" s="2">
        <f t="shared" si="37"/>
        <v>1066.2338158506623</v>
      </c>
      <c r="H233" s="2">
        <f t="shared" si="37"/>
        <v>1082.1710302308743</v>
      </c>
      <c r="I233" s="2">
        <f t="shared" si="37"/>
        <v>1098.3464614059628</v>
      </c>
      <c r="J233" s="2">
        <f t="shared" si="37"/>
        <v>1114.7636700509622</v>
      </c>
      <c r="K233" s="2">
        <f t="shared" si="37"/>
        <v>1131.4262700630431</v>
      </c>
      <c r="L233" s="2">
        <f t="shared" si="37"/>
        <v>1148.3379293570342</v>
      </c>
      <c r="M233" s="2">
        <f t="shared" si="37"/>
        <v>1165.5023706728359</v>
      </c>
      <c r="N233" s="2">
        <f t="shared" si="37"/>
        <v>1182.923372394901</v>
      </c>
      <c r="O233" s="2">
        <f t="shared" si="37"/>
        <v>1200.6047693839657</v>
      </c>
      <c r="P233" s="2">
        <f t="shared" si="37"/>
        <v>1218.5504538212124</v>
      </c>
      <c r="Q233" s="2">
        <f t="shared" si="37"/>
        <v>1236.7643760650492</v>
      </c>
      <c r="R233" s="2">
        <f t="shared" si="37"/>
        <v>1255.2505455206976</v>
      </c>
      <c r="S233" s="2">
        <f t="shared" si="37"/>
        <v>1274.0130315227768</v>
      </c>
      <c r="T233" s="2">
        <f t="shared" si="37"/>
        <v>1293.0559642310809</v>
      </c>
      <c r="U233" s="2">
        <f t="shared" si="37"/>
        <v>1312.383535539745</v>
      </c>
      <c r="V233" s="2">
        <f t="shared" si="37"/>
        <v>1332.0000000000009</v>
      </c>
      <c r="W233" s="2">
        <f t="shared" si="37"/>
        <v>1351.9096757567261</v>
      </c>
      <c r="X233" s="2">
        <f t="shared" si="37"/>
        <v>1372.1169454989902</v>
      </c>
    </row>
    <row r="234" spans="1:80">
      <c r="B234" s="265" t="s">
        <v>84</v>
      </c>
      <c r="C234" s="12" t="s">
        <v>539</v>
      </c>
      <c r="D234" s="2">
        <f>D222*$D$142</f>
        <v>133378.83331863963</v>
      </c>
      <c r="E234" s="2">
        <f t="shared" ref="E234:X234" si="38">D234*(1+$O$72)</f>
        <v>136579.90797103377</v>
      </c>
      <c r="F234" s="2">
        <f t="shared" si="38"/>
        <v>139857.80799875356</v>
      </c>
      <c r="G234" s="2">
        <f t="shared" si="38"/>
        <v>143214.3772008149</v>
      </c>
      <c r="H234" s="2">
        <f t="shared" si="38"/>
        <v>146651.50362717026</v>
      </c>
      <c r="I234" s="2">
        <f t="shared" si="38"/>
        <v>150171.12064072542</v>
      </c>
      <c r="J234" s="2">
        <f t="shared" si="38"/>
        <v>153775.20800484446</v>
      </c>
      <c r="K234" s="2">
        <f t="shared" si="38"/>
        <v>157465.7929969547</v>
      </c>
      <c r="L234" s="2">
        <f t="shared" si="38"/>
        <v>161244.95154887805</v>
      </c>
      <c r="M234" s="2">
        <f t="shared" si="38"/>
        <v>165114.80941453011</v>
      </c>
      <c r="N234" s="2">
        <f t="shared" si="38"/>
        <v>169077.54336564406</v>
      </c>
      <c r="O234" s="2">
        <f t="shared" si="38"/>
        <v>173135.38241619151</v>
      </c>
      <c r="P234" s="2">
        <f t="shared" si="38"/>
        <v>177290.60907618949</v>
      </c>
      <c r="Q234" s="2">
        <f t="shared" si="38"/>
        <v>181545.56063559858</v>
      </c>
      <c r="R234" s="2">
        <f t="shared" si="38"/>
        <v>185902.63047903441</v>
      </c>
      <c r="S234" s="2">
        <f t="shared" si="38"/>
        <v>190364.26943203213</v>
      </c>
      <c r="T234" s="2">
        <f t="shared" si="38"/>
        <v>194932.98713962096</v>
      </c>
      <c r="U234" s="2">
        <f t="shared" si="38"/>
        <v>199611.35347798443</v>
      </c>
      <c r="V234" s="2">
        <f t="shared" si="38"/>
        <v>204402.00000000023</v>
      </c>
      <c r="W234" s="2">
        <f t="shared" si="38"/>
        <v>209307.62141547282</v>
      </c>
      <c r="X234" s="2">
        <f t="shared" si="38"/>
        <v>214330.97710689157</v>
      </c>
    </row>
    <row r="235" spans="1:80">
      <c r="B235" s="265"/>
      <c r="C235" s="12"/>
      <c r="D235" s="2"/>
      <c r="E235" s="2"/>
      <c r="F235" s="2"/>
      <c r="G235" s="2"/>
      <c r="H235" s="2"/>
      <c r="I235" s="2"/>
      <c r="J235" s="2"/>
      <c r="K235" s="2"/>
      <c r="L235" s="2"/>
      <c r="M235" s="2"/>
      <c r="N235" s="2"/>
      <c r="O235" s="2"/>
      <c r="P235" s="2"/>
      <c r="Q235" s="2"/>
      <c r="R235" s="2"/>
      <c r="S235" s="2"/>
      <c r="T235" s="2"/>
      <c r="U235" s="2"/>
      <c r="V235" s="2"/>
      <c r="W235" s="2"/>
      <c r="X235" s="2"/>
    </row>
    <row r="236" spans="1:80" s="72" customFormat="1" ht="15.75">
      <c r="A236" s="276"/>
      <c r="B236" s="275" t="s">
        <v>538</v>
      </c>
      <c r="C236" s="191"/>
    </row>
    <row r="237" spans="1:80" s="261" customFormat="1" ht="15.75">
      <c r="A237" s="274"/>
      <c r="B237" s="270" t="s">
        <v>537</v>
      </c>
      <c r="C237" s="273"/>
      <c r="D237" s="268">
        <f t="shared" ref="D237:X237" si="39">SUM(D238:D241)</f>
        <v>1601475.4824395126</v>
      </c>
      <c r="E237" s="268">
        <f t="shared" si="39"/>
        <v>1626663.2664673077</v>
      </c>
      <c r="F237" s="268">
        <f t="shared" si="39"/>
        <v>1652253.8256509874</v>
      </c>
      <c r="G237" s="268">
        <f t="shared" si="39"/>
        <v>1678253.8814296932</v>
      </c>
      <c r="H237" s="268">
        <f t="shared" si="39"/>
        <v>1704670.2791443353</v>
      </c>
      <c r="I237" s="268">
        <f t="shared" si="39"/>
        <v>1731509.9907923345</v>
      </c>
      <c r="J237" s="268">
        <f t="shared" si="39"/>
        <v>1758780.1178607072</v>
      </c>
      <c r="K237" s="268">
        <f t="shared" si="39"/>
        <v>1786487.8942402529</v>
      </c>
      <c r="L237" s="268">
        <f t="shared" si="39"/>
        <v>1814640.6892236851</v>
      </c>
      <c r="M237" s="268">
        <f t="shared" si="39"/>
        <v>1843246.0105906765</v>
      </c>
      <c r="N237" s="268">
        <f t="shared" si="39"/>
        <v>1872311.5077828981</v>
      </c>
      <c r="O237" s="268">
        <f t="shared" si="39"/>
        <v>1901844.9751722608</v>
      </c>
      <c r="P237" s="268">
        <f t="shared" si="39"/>
        <v>1931854.3554256812</v>
      </c>
      <c r="Q237" s="268">
        <f t="shared" si="39"/>
        <v>1962347.7429698552</v>
      </c>
      <c r="R237" s="268">
        <f t="shared" si="39"/>
        <v>1993333.3875596218</v>
      </c>
      <c r="S237" s="268">
        <f t="shared" si="39"/>
        <v>2024819.6979536759</v>
      </c>
      <c r="T237" s="268">
        <f t="shared" si="39"/>
        <v>2056815.2457015307</v>
      </c>
      <c r="U237" s="268">
        <f t="shared" si="39"/>
        <v>2089328.7690457704</v>
      </c>
      <c r="V237" s="268">
        <f t="shared" si="39"/>
        <v>2122369.1769438237</v>
      </c>
      <c r="W237" s="268">
        <f t="shared" si="39"/>
        <v>2155945.5532136336</v>
      </c>
      <c r="X237" s="268">
        <f t="shared" si="39"/>
        <v>2190067.1608077944</v>
      </c>
      <c r="Y237" s="272"/>
      <c r="Z237" s="272"/>
      <c r="AA237" s="272"/>
      <c r="AB237" s="272"/>
      <c r="AC237" s="272"/>
      <c r="AD237" s="272"/>
      <c r="AE237" s="272"/>
      <c r="AF237" s="272"/>
      <c r="AG237" s="272"/>
      <c r="AH237" s="272"/>
      <c r="AI237" s="272"/>
      <c r="AJ237" s="272"/>
      <c r="AK237" s="272"/>
      <c r="AL237" s="272"/>
      <c r="AM237" s="272"/>
      <c r="AN237" s="272"/>
      <c r="AO237" s="272"/>
      <c r="AP237" s="272"/>
      <c r="AQ237" s="272"/>
      <c r="AR237" s="272"/>
      <c r="AS237" s="272"/>
      <c r="AT237" s="272"/>
      <c r="AU237" s="272"/>
      <c r="AV237" s="272"/>
      <c r="AW237" s="272"/>
      <c r="AX237" s="272"/>
      <c r="AY237" s="272"/>
      <c r="AZ237" s="272"/>
      <c r="BA237" s="272"/>
      <c r="BB237" s="272"/>
      <c r="BC237" s="272"/>
      <c r="BD237" s="272"/>
      <c r="BE237" s="272"/>
      <c r="BF237" s="272"/>
      <c r="BG237" s="272"/>
      <c r="BH237" s="272"/>
      <c r="BI237" s="272"/>
      <c r="BJ237" s="272"/>
      <c r="BK237" s="272"/>
      <c r="BL237" s="272"/>
      <c r="BM237" s="272"/>
      <c r="BN237" s="272"/>
      <c r="BO237" s="272"/>
      <c r="BP237" s="272"/>
      <c r="BQ237" s="272"/>
      <c r="BR237" s="272"/>
      <c r="BS237" s="272"/>
      <c r="BT237" s="272"/>
      <c r="BU237" s="272"/>
      <c r="BV237" s="272"/>
      <c r="BW237" s="272"/>
      <c r="BX237" s="272"/>
      <c r="BY237" s="272"/>
      <c r="BZ237" s="272"/>
      <c r="CA237" s="272"/>
      <c r="CB237" s="272"/>
    </row>
    <row r="238" spans="1:80" s="72" customFormat="1">
      <c r="B238" s="271" t="s">
        <v>524</v>
      </c>
      <c r="C238" s="206" t="s">
        <v>1137</v>
      </c>
      <c r="D238" s="116">
        <f t="shared" ref="D238:X238" si="40">D213*$L33*$E$121*$D$180</f>
        <v>243156.10321072509</v>
      </c>
      <c r="E238" s="116">
        <f t="shared" si="40"/>
        <v>247047.55500250237</v>
      </c>
      <c r="F238" s="116">
        <f t="shared" si="40"/>
        <v>251001.28529293856</v>
      </c>
      <c r="G238" s="116">
        <f t="shared" si="40"/>
        <v>255018.29078239205</v>
      </c>
      <c r="H238" s="116">
        <f t="shared" si="40"/>
        <v>259099.5841223379</v>
      </c>
      <c r="I238" s="116">
        <f t="shared" si="40"/>
        <v>263246.19417064841</v>
      </c>
      <c r="J238" s="116">
        <f t="shared" si="40"/>
        <v>267459.16625095898</v>
      </c>
      <c r="K238" s="116">
        <f t="shared" si="40"/>
        <v>271739.56241618522</v>
      </c>
      <c r="L238" s="116">
        <f t="shared" si="40"/>
        <v>276088.46171625669</v>
      </c>
      <c r="M238" s="116">
        <f t="shared" si="40"/>
        <v>280506.96047013614</v>
      </c>
      <c r="N238" s="116">
        <f t="shared" si="40"/>
        <v>284996.1725421914</v>
      </c>
      <c r="O238" s="116">
        <f t="shared" si="40"/>
        <v>289557.22962299123</v>
      </c>
      <c r="P238" s="116">
        <f t="shared" si="40"/>
        <v>294191.2815145941</v>
      </c>
      <c r="Q238" s="116">
        <f t="shared" si="40"/>
        <v>298899.4964204033</v>
      </c>
      <c r="R238" s="116">
        <f t="shared" si="40"/>
        <v>303683.06123966048</v>
      </c>
      <c r="S238" s="116">
        <f t="shared" si="40"/>
        <v>308543.18186665262</v>
      </c>
      <c r="T238" s="116">
        <f t="shared" si="40"/>
        <v>313481.08349470724</v>
      </c>
      <c r="U238" s="116">
        <f t="shared" si="40"/>
        <v>318498.01092505251</v>
      </c>
      <c r="V238" s="116">
        <f t="shared" si="40"/>
        <v>323595.22888062103</v>
      </c>
      <c r="W238" s="116">
        <f t="shared" si="40"/>
        <v>328774.02232487511</v>
      </c>
      <c r="X238" s="116">
        <f t="shared" si="40"/>
        <v>334035.69678573444</v>
      </c>
      <c r="Y238" s="264"/>
      <c r="Z238" s="264"/>
      <c r="AA238" s="264"/>
      <c r="AB238" s="264"/>
      <c r="AC238" s="264"/>
      <c r="AD238" s="264"/>
      <c r="AE238" s="264"/>
      <c r="AF238" s="264"/>
      <c r="AG238" s="264"/>
      <c r="AH238" s="264"/>
      <c r="AI238" s="264"/>
      <c r="AJ238" s="264"/>
      <c r="AK238" s="264"/>
      <c r="AL238" s="264"/>
      <c r="AM238" s="264"/>
      <c r="AN238" s="264"/>
      <c r="AO238" s="264"/>
      <c r="AP238" s="264"/>
      <c r="AQ238" s="264"/>
      <c r="AR238" s="264"/>
      <c r="AS238" s="264"/>
      <c r="AT238" s="264"/>
      <c r="AU238" s="264"/>
      <c r="AV238" s="264"/>
      <c r="AW238" s="264"/>
      <c r="AX238" s="264"/>
      <c r="AY238" s="264"/>
      <c r="AZ238" s="264"/>
      <c r="BA238" s="264"/>
      <c r="BB238" s="264"/>
      <c r="BC238" s="264"/>
      <c r="BD238" s="264"/>
      <c r="BE238" s="264"/>
      <c r="BF238" s="264"/>
      <c r="BG238" s="264"/>
      <c r="BH238" s="264"/>
      <c r="BI238" s="264"/>
      <c r="BJ238" s="264"/>
      <c r="BK238" s="264"/>
      <c r="BL238" s="264"/>
      <c r="BM238" s="264"/>
      <c r="BN238" s="264"/>
      <c r="BO238" s="264"/>
      <c r="BP238" s="264"/>
      <c r="BQ238" s="264"/>
      <c r="BR238" s="264"/>
      <c r="BS238" s="264"/>
      <c r="BT238" s="264"/>
      <c r="BU238" s="264"/>
      <c r="BV238" s="264"/>
      <c r="BW238" s="264"/>
      <c r="BX238" s="264"/>
      <c r="BY238" s="264"/>
      <c r="BZ238" s="264"/>
      <c r="CA238" s="264"/>
      <c r="CB238" s="264"/>
    </row>
    <row r="239" spans="1:80" s="72" customFormat="1">
      <c r="B239" s="271" t="s">
        <v>51</v>
      </c>
      <c r="C239" s="206" t="s">
        <v>1137</v>
      </c>
      <c r="D239" s="116">
        <f t="shared" ref="D239:X239" si="41">D214*$L34*$F$121*$D$180</f>
        <v>1349528.8591910971</v>
      </c>
      <c r="E239" s="116">
        <f t="shared" si="41"/>
        <v>1370447.221654501</v>
      </c>
      <c r="F239" s="116">
        <f t="shared" si="41"/>
        <v>1391689.8290461781</v>
      </c>
      <c r="G239" s="116">
        <f t="shared" si="41"/>
        <v>1413261.7073223277</v>
      </c>
      <c r="H239" s="116">
        <f t="shared" si="41"/>
        <v>1435167.9603439472</v>
      </c>
      <c r="I239" s="116">
        <f t="shared" si="41"/>
        <v>1457413.7710843962</v>
      </c>
      <c r="J239" s="116">
        <f t="shared" si="41"/>
        <v>1480004.402855675</v>
      </c>
      <c r="K239" s="116">
        <f t="shared" si="41"/>
        <v>1502945.2005537148</v>
      </c>
      <c r="L239" s="116">
        <f t="shared" si="41"/>
        <v>1526241.5919229672</v>
      </c>
      <c r="M239" s="116">
        <f t="shared" si="41"/>
        <v>1549899.0888405985</v>
      </c>
      <c r="N239" s="116">
        <f t="shared" si="41"/>
        <v>1573923.2886205874</v>
      </c>
      <c r="O239" s="116">
        <f t="shared" si="41"/>
        <v>1598319.8753380389</v>
      </c>
      <c r="P239" s="116">
        <f t="shared" si="41"/>
        <v>1623094.6211740223</v>
      </c>
      <c r="Q239" s="116">
        <f t="shared" si="41"/>
        <v>1648253.3877812594</v>
      </c>
      <c r="R239" s="116">
        <f t="shared" si="41"/>
        <v>1673802.1276709784</v>
      </c>
      <c r="S239" s="116">
        <f t="shared" si="41"/>
        <v>1699746.8856212643</v>
      </c>
      <c r="T239" s="116">
        <f t="shared" si="41"/>
        <v>1726093.800107243</v>
      </c>
      <c r="U239" s="116">
        <f t="shared" si="41"/>
        <v>1752849.1047534293</v>
      </c>
      <c r="V239" s="116">
        <f t="shared" si="41"/>
        <v>1780019.129808591</v>
      </c>
      <c r="W239" s="116">
        <f t="shared" si="41"/>
        <v>1807610.3036434713</v>
      </c>
      <c r="X239" s="116">
        <f t="shared" si="41"/>
        <v>1835629.1542717293</v>
      </c>
      <c r="Y239" s="264"/>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264"/>
      <c r="BP239" s="264"/>
      <c r="BQ239" s="264"/>
      <c r="BR239" s="264"/>
      <c r="BS239" s="264"/>
      <c r="BT239" s="264"/>
      <c r="BU239" s="264"/>
      <c r="BV239" s="264"/>
      <c r="BW239" s="264"/>
      <c r="BX239" s="264"/>
      <c r="BY239" s="264"/>
      <c r="BZ239" s="264"/>
      <c r="CA239" s="264"/>
      <c r="CB239" s="264"/>
    </row>
    <row r="240" spans="1:80" s="72" customFormat="1">
      <c r="B240" s="266" t="s">
        <v>536</v>
      </c>
      <c r="C240" s="206" t="s">
        <v>1137</v>
      </c>
      <c r="D240" s="116">
        <f t="shared" ref="D240:X240" si="42">D215*$L35*$G$121*$D$180</f>
        <v>1006.8882664090913</v>
      </c>
      <c r="E240" s="116">
        <f t="shared" si="42"/>
        <v>1050.1818815156646</v>
      </c>
      <c r="F240" s="116">
        <f t="shared" si="42"/>
        <v>1095.3370111234256</v>
      </c>
      <c r="G240" s="116">
        <f t="shared" si="42"/>
        <v>1142.4336955854285</v>
      </c>
      <c r="H240" s="116">
        <f t="shared" si="42"/>
        <v>1191.5554167847897</v>
      </c>
      <c r="I240" s="116">
        <f t="shared" si="42"/>
        <v>1242.7892461116614</v>
      </c>
      <c r="J240" s="116">
        <f t="shared" si="42"/>
        <v>1296.2259988028343</v>
      </c>
      <c r="K240" s="116">
        <f t="shared" si="42"/>
        <v>1351.9603949175503</v>
      </c>
      <c r="L240" s="116">
        <f t="shared" si="42"/>
        <v>1410.0912272348573</v>
      </c>
      <c r="M240" s="116">
        <f t="shared" si="42"/>
        <v>1470.7215363701298</v>
      </c>
      <c r="N240" s="116">
        <f t="shared" si="42"/>
        <v>1533.9587934211388</v>
      </c>
      <c r="O240" s="116">
        <f t="shared" si="42"/>
        <v>1599.915090467445</v>
      </c>
      <c r="P240" s="116">
        <f t="shared" si="42"/>
        <v>1668.707339260772</v>
      </c>
      <c r="Q240" s="116">
        <f t="shared" si="42"/>
        <v>1740.4574784585582</v>
      </c>
      <c r="R240" s="116">
        <f t="shared" si="42"/>
        <v>1815.2926897680197</v>
      </c>
      <c r="S240" s="116">
        <f t="shared" si="42"/>
        <v>1893.3456233838556</v>
      </c>
      <c r="T240" s="116">
        <f t="shared" si="42"/>
        <v>1974.7546331191938</v>
      </c>
      <c r="U240" s="116">
        <f t="shared" si="42"/>
        <v>2059.6640216465689</v>
      </c>
      <c r="V240" s="116">
        <f t="shared" si="42"/>
        <v>2148.2242962836299</v>
      </c>
      <c r="W240" s="116">
        <f t="shared" si="42"/>
        <v>2240.5924357769804</v>
      </c>
      <c r="X240" s="116">
        <f t="shared" si="42"/>
        <v>2336.9321685570394</v>
      </c>
      <c r="Y240" s="264"/>
      <c r="Z240" s="264"/>
      <c r="AA240" s="264"/>
      <c r="AB240" s="264"/>
      <c r="AC240" s="264"/>
      <c r="AD240" s="264"/>
      <c r="AE240" s="264"/>
      <c r="AF240" s="264"/>
      <c r="AG240" s="264"/>
      <c r="AH240" s="264"/>
      <c r="AI240" s="264"/>
      <c r="AJ240" s="264"/>
      <c r="AK240" s="264"/>
      <c r="AL240" s="264"/>
      <c r="AM240" s="264"/>
      <c r="AN240" s="264"/>
      <c r="AO240" s="264"/>
      <c r="AP240" s="264"/>
      <c r="AQ240" s="264"/>
      <c r="AR240" s="264"/>
      <c r="AS240" s="264"/>
      <c r="AT240" s="264"/>
      <c r="AU240" s="264"/>
      <c r="AV240" s="264"/>
      <c r="AW240" s="264"/>
      <c r="AX240" s="264"/>
      <c r="AY240" s="264"/>
      <c r="AZ240" s="264"/>
      <c r="BA240" s="264"/>
      <c r="BB240" s="264"/>
      <c r="BC240" s="264"/>
      <c r="BD240" s="264"/>
      <c r="BE240" s="264"/>
      <c r="BF240" s="264"/>
      <c r="BG240" s="264"/>
      <c r="BH240" s="264"/>
      <c r="BI240" s="264"/>
      <c r="BJ240" s="264"/>
      <c r="BK240" s="264"/>
      <c r="BL240" s="264"/>
      <c r="BM240" s="264"/>
      <c r="BN240" s="264"/>
      <c r="BO240" s="264"/>
      <c r="BP240" s="264"/>
      <c r="BQ240" s="264"/>
      <c r="BR240" s="264"/>
      <c r="BS240" s="264"/>
      <c r="BT240" s="264"/>
      <c r="BU240" s="264"/>
      <c r="BV240" s="264"/>
      <c r="BW240" s="264"/>
      <c r="BX240" s="264"/>
      <c r="BY240" s="264"/>
      <c r="BZ240" s="264"/>
      <c r="CA240" s="264"/>
      <c r="CB240" s="264"/>
    </row>
    <row r="241" spans="2:80" s="72" customFormat="1">
      <c r="B241" s="266" t="s">
        <v>535</v>
      </c>
      <c r="C241" s="206" t="s">
        <v>1137</v>
      </c>
      <c r="D241" s="116">
        <f t="shared" ref="D241:X241" si="43">D216*$L36*$H$121*$D$180</f>
        <v>7783.6317712814171</v>
      </c>
      <c r="E241" s="116">
        <f t="shared" si="43"/>
        <v>8118.3079287883811</v>
      </c>
      <c r="F241" s="116">
        <f t="shared" si="43"/>
        <v>8467.3743007472767</v>
      </c>
      <c r="G241" s="116">
        <f t="shared" si="43"/>
        <v>8831.4496293879529</v>
      </c>
      <c r="H241" s="116">
        <f t="shared" si="43"/>
        <v>9211.1792612655991</v>
      </c>
      <c r="I241" s="116">
        <f t="shared" si="43"/>
        <v>9607.2362911783439</v>
      </c>
      <c r="J241" s="116">
        <f t="shared" si="43"/>
        <v>10020.32275527037</v>
      </c>
      <c r="K241" s="116">
        <f t="shared" si="43"/>
        <v>10451.170875435411</v>
      </c>
      <c r="L241" s="116">
        <f t="shared" si="43"/>
        <v>10900.544357226359</v>
      </c>
      <c r="M241" s="116">
        <f t="shared" si="43"/>
        <v>11369.239743571716</v>
      </c>
      <c r="N241" s="116">
        <f t="shared" si="43"/>
        <v>11858.087826698289</v>
      </c>
      <c r="O241" s="116">
        <f t="shared" si="43"/>
        <v>12367.955120763012</v>
      </c>
      <c r="P241" s="116">
        <f t="shared" si="43"/>
        <v>12899.745397804096</v>
      </c>
      <c r="Q241" s="116">
        <f t="shared" si="43"/>
        <v>13454.401289734147</v>
      </c>
      <c r="R241" s="116">
        <f t="shared" si="43"/>
        <v>14032.905959214888</v>
      </c>
      <c r="S241" s="116">
        <f t="shared" si="43"/>
        <v>14636.284842375158</v>
      </c>
      <c r="T241" s="116">
        <f t="shared" si="43"/>
        <v>15265.607466461355</v>
      </c>
      <c r="U241" s="116">
        <f t="shared" si="43"/>
        <v>15921.989345642131</v>
      </c>
      <c r="V241" s="116">
        <f t="shared" si="43"/>
        <v>16606.593958327838</v>
      </c>
      <c r="W241" s="116">
        <f t="shared" si="43"/>
        <v>17320.634809509644</v>
      </c>
      <c r="X241" s="116">
        <f t="shared" si="43"/>
        <v>18065.377581773868</v>
      </c>
      <c r="Y241" s="264"/>
      <c r="Z241" s="264"/>
      <c r="AA241" s="264"/>
      <c r="AB241" s="264"/>
      <c r="AC241" s="264"/>
      <c r="AD241" s="264"/>
      <c r="AE241" s="264"/>
      <c r="AF241" s="264"/>
      <c r="AG241" s="264"/>
      <c r="AH241" s="264"/>
      <c r="AI241" s="264"/>
      <c r="AJ241" s="264"/>
      <c r="AK241" s="264"/>
      <c r="AL241" s="264"/>
      <c r="AM241" s="264"/>
      <c r="AN241" s="264"/>
      <c r="AO241" s="264"/>
      <c r="AP241" s="264"/>
      <c r="AQ241" s="264"/>
      <c r="AR241" s="264"/>
      <c r="AS241" s="264"/>
      <c r="AT241" s="264"/>
      <c r="AU241" s="264"/>
      <c r="AV241" s="264"/>
      <c r="AW241" s="264"/>
      <c r="AX241" s="264"/>
      <c r="AY241" s="264"/>
      <c r="AZ241" s="264"/>
      <c r="BA241" s="264"/>
      <c r="BB241" s="264"/>
      <c r="BC241" s="264"/>
      <c r="BD241" s="264"/>
      <c r="BE241" s="264"/>
      <c r="BF241" s="264"/>
      <c r="BG241" s="264"/>
      <c r="BH241" s="264"/>
      <c r="BI241" s="264"/>
      <c r="BJ241" s="264"/>
      <c r="BK241" s="264"/>
      <c r="BL241" s="264"/>
      <c r="BM241" s="264"/>
      <c r="BN241" s="264"/>
      <c r="BO241" s="264"/>
      <c r="BP241" s="264"/>
      <c r="BQ241" s="264"/>
      <c r="BR241" s="264"/>
      <c r="BS241" s="264"/>
      <c r="BT241" s="264"/>
      <c r="BU241" s="264"/>
      <c r="BV241" s="264"/>
      <c r="BW241" s="264"/>
      <c r="BX241" s="264"/>
      <c r="BY241" s="264"/>
      <c r="BZ241" s="264"/>
      <c r="CA241" s="264"/>
      <c r="CB241" s="264"/>
    </row>
    <row r="242" spans="2:80" s="261" customFormat="1">
      <c r="B242" s="270" t="s">
        <v>534</v>
      </c>
      <c r="C242" s="269"/>
      <c r="D242" s="268">
        <f t="shared" ref="D242:X242" si="44">SUM(D243:D247)</f>
        <v>214037.13604591659</v>
      </c>
      <c r="E242" s="268">
        <f t="shared" si="44"/>
        <v>217244.83484702223</v>
      </c>
      <c r="F242" s="268">
        <f t="shared" si="44"/>
        <v>220500.60850977106</v>
      </c>
      <c r="G242" s="268">
        <f t="shared" si="44"/>
        <v>223805.17758135078</v>
      </c>
      <c r="H242" s="268">
        <f t="shared" si="44"/>
        <v>227159.27340902097</v>
      </c>
      <c r="I242" s="268">
        <f t="shared" si="44"/>
        <v>230563.63830199957</v>
      </c>
      <c r="J242" s="268">
        <f t="shared" si="44"/>
        <v>234019.0256957761</v>
      </c>
      <c r="K242" s="268">
        <f t="shared" si="44"/>
        <v>237526.20031888789</v>
      </c>
      <c r="L242" s="268">
        <f t="shared" si="44"/>
        <v>241085.93836219644</v>
      </c>
      <c r="M242" s="268">
        <f t="shared" si="44"/>
        <v>244699.02765070091</v>
      </c>
      <c r="N242" s="268">
        <f t="shared" si="44"/>
        <v>248366.26781792738</v>
      </c>
      <c r="O242" s="268">
        <f t="shared" si="44"/>
        <v>252088.47048293246</v>
      </c>
      <c r="P242" s="268">
        <f t="shared" si="44"/>
        <v>255866.45942995959</v>
      </c>
      <c r="Q242" s="268">
        <f t="shared" si="44"/>
        <v>259701.07079078874</v>
      </c>
      <c r="R242" s="268">
        <f t="shared" si="44"/>
        <v>263593.15322981984</v>
      </c>
      <c r="S242" s="268">
        <f t="shared" si="44"/>
        <v>267543.56813193019</v>
      </c>
      <c r="T242" s="268">
        <f t="shared" si="44"/>
        <v>271553.18979314808</v>
      </c>
      <c r="U242" s="268">
        <f t="shared" si="44"/>
        <v>275622.90561418462</v>
      </c>
      <c r="V242" s="268">
        <f t="shared" si="44"/>
        <v>279753.61629686656</v>
      </c>
      <c r="W242" s="268">
        <f t="shared" si="44"/>
        <v>283946.2360435141</v>
      </c>
      <c r="X242" s="268">
        <f t="shared" si="44"/>
        <v>288201.69275930664</v>
      </c>
      <c r="Y242" s="267"/>
      <c r="Z242" s="267"/>
      <c r="AA242" s="267"/>
      <c r="AB242" s="267"/>
      <c r="AC242" s="267"/>
      <c r="AD242" s="267"/>
      <c r="AE242" s="267"/>
      <c r="AF242" s="267"/>
      <c r="AG242" s="267"/>
      <c r="AH242" s="267"/>
      <c r="AI242" s="267"/>
      <c r="AJ242" s="267"/>
      <c r="AK242" s="267"/>
      <c r="AL242" s="267"/>
      <c r="AM242" s="267"/>
      <c r="AN242" s="267"/>
      <c r="AO242" s="267"/>
      <c r="AP242" s="267"/>
      <c r="AQ242" s="267"/>
      <c r="AR242" s="267"/>
      <c r="AS242" s="267"/>
      <c r="AT242" s="267"/>
      <c r="AU242" s="267"/>
      <c r="AV242" s="267"/>
      <c r="AW242" s="267"/>
      <c r="AX242" s="267"/>
      <c r="AY242" s="267"/>
      <c r="AZ242" s="267"/>
      <c r="BA242" s="267"/>
      <c r="BB242" s="267"/>
      <c r="BC242" s="267"/>
      <c r="BD242" s="267"/>
      <c r="BE242" s="267"/>
      <c r="BF242" s="267"/>
      <c r="BG242" s="267"/>
      <c r="BH242" s="267"/>
      <c r="BI242" s="267"/>
      <c r="BJ242" s="267"/>
      <c r="BK242" s="267"/>
      <c r="BL242" s="267"/>
      <c r="BM242" s="267"/>
      <c r="BN242" s="267"/>
      <c r="BO242" s="267"/>
      <c r="BP242" s="267"/>
      <c r="BQ242" s="267"/>
      <c r="BR242" s="267"/>
      <c r="BS242" s="267"/>
      <c r="BT242" s="267"/>
      <c r="BU242" s="267"/>
      <c r="BV242" s="267"/>
      <c r="BW242" s="267"/>
      <c r="BX242" s="267"/>
      <c r="BY242" s="267"/>
      <c r="BZ242" s="267"/>
      <c r="CA242" s="267"/>
      <c r="CB242" s="267"/>
    </row>
    <row r="243" spans="2:80" s="72" customFormat="1">
      <c r="B243" s="266" t="s">
        <v>533</v>
      </c>
      <c r="C243" s="206" t="s">
        <v>1137</v>
      </c>
      <c r="D243" s="116">
        <f>D218*$L48*$K$121*$D$181</f>
        <v>41398.330591957776</v>
      </c>
      <c r="E243" s="116">
        <f t="shared" ref="E243:X243" si="45">E218*$L48*$K$121*$D$181</f>
        <v>42011.531901521172</v>
      </c>
      <c r="F243" s="116">
        <f>F218*$L48*$K$121*$D$181</f>
        <v>42633.81608569988</v>
      </c>
      <c r="G243" s="116">
        <f>G218*$L48*$K$121*$D$181</f>
        <v>43265.3176820593</v>
      </c>
      <c r="H243" s="116">
        <f t="shared" si="45"/>
        <v>43906.17322096524</v>
      </c>
      <c r="I243" s="116">
        <f t="shared" si="45"/>
        <v>44556.521255101747</v>
      </c>
      <c r="J243" s="116">
        <f t="shared" si="45"/>
        <v>45216.502389426169</v>
      </c>
      <c r="K243" s="116">
        <f t="shared" si="45"/>
        <v>45886.259311567832</v>
      </c>
      <c r="L243" s="116">
        <f t="shared" si="45"/>
        <v>46565.93682267706</v>
      </c>
      <c r="M243" s="116">
        <f t="shared" si="45"/>
        <v>47255.681868731146</v>
      </c>
      <c r="N243" s="116">
        <f t="shared" si="45"/>
        <v>47955.643572303954</v>
      </c>
      <c r="O243" s="116">
        <f t="shared" si="45"/>
        <v>48665.97326480622</v>
      </c>
      <c r="P243" s="116">
        <f t="shared" si="45"/>
        <v>49386.824519203263</v>
      </c>
      <c r="Q243" s="116">
        <f t="shared" si="45"/>
        <v>50118.353183217463</v>
      </c>
      <c r="R243" s="116">
        <f t="shared" si="45"/>
        <v>50860.71741302243</v>
      </c>
      <c r="S243" s="116">
        <f t="shared" si="45"/>
        <v>51614.07770743627</v>
      </c>
      <c r="T243" s="116">
        <f t="shared" si="45"/>
        <v>52378.596942621451</v>
      </c>
      <c r="U243" s="116">
        <f t="shared" si="45"/>
        <v>53154.440407298462</v>
      </c>
      <c r="V243" s="116">
        <f t="shared" si="45"/>
        <v>53941.775838481204</v>
      </c>
      <c r="W243" s="116">
        <f t="shared" si="45"/>
        <v>54740.77345774167</v>
      </c>
      <c r="X243" s="116">
        <f t="shared" si="45"/>
        <v>55551.606008011731</v>
      </c>
      <c r="Y243" s="264"/>
      <c r="Z243" s="264"/>
      <c r="AA243" s="264"/>
      <c r="AB243" s="264"/>
      <c r="AC243" s="264"/>
      <c r="AD243" s="264"/>
      <c r="AE243" s="264"/>
      <c r="AF243" s="264"/>
      <c r="AG243" s="264"/>
      <c r="AH243" s="264"/>
      <c r="AI243" s="264"/>
      <c r="AJ243" s="264"/>
      <c r="AK243" s="264"/>
      <c r="AL243" s="264"/>
      <c r="AM243" s="264"/>
      <c r="AN243" s="264"/>
      <c r="AO243" s="264"/>
      <c r="AP243" s="264"/>
      <c r="AQ243" s="264"/>
      <c r="AR243" s="264"/>
      <c r="AS243" s="264"/>
      <c r="AT243" s="264"/>
      <c r="AU243" s="264"/>
      <c r="AV243" s="264"/>
      <c r="AW243" s="264"/>
      <c r="AX243" s="264"/>
      <c r="AY243" s="264"/>
      <c r="AZ243" s="264"/>
      <c r="BA243" s="264"/>
      <c r="BB243" s="264"/>
      <c r="BC243" s="264"/>
      <c r="BD243" s="264"/>
      <c r="BE243" s="264"/>
      <c r="BF243" s="264"/>
      <c r="BG243" s="264"/>
      <c r="BH243" s="264"/>
      <c r="BI243" s="264"/>
      <c r="BJ243" s="264"/>
      <c r="BK243" s="264"/>
      <c r="BL243" s="264"/>
      <c r="BM243" s="264"/>
      <c r="BN243" s="264"/>
      <c r="BO243" s="264"/>
      <c r="BP243" s="264"/>
      <c r="BQ243" s="264"/>
      <c r="BR243" s="264"/>
      <c r="BS243" s="264"/>
      <c r="BT243" s="264"/>
      <c r="BU243" s="264"/>
      <c r="BV243" s="264"/>
      <c r="BW243" s="264"/>
      <c r="BX243" s="264"/>
      <c r="BY243" s="264"/>
      <c r="BZ243" s="264"/>
      <c r="CA243" s="264"/>
      <c r="CB243" s="264"/>
    </row>
    <row r="244" spans="2:80" s="72" customFormat="1">
      <c r="B244" s="266" t="s">
        <v>532</v>
      </c>
      <c r="C244" s="206" t="s">
        <v>1137</v>
      </c>
      <c r="D244" s="116">
        <f t="shared" ref="D244:X244" si="46">D219*$L49*$K$121*$D$181</f>
        <v>40708.66062247158</v>
      </c>
      <c r="E244" s="116">
        <f t="shared" si="46"/>
        <v>41320.779579186696</v>
      </c>
      <c r="F244" s="116">
        <f t="shared" si="46"/>
        <v>41942.102710429797</v>
      </c>
      <c r="G244" s="116">
        <f t="shared" si="46"/>
        <v>42572.768415490464</v>
      </c>
      <c r="H244" s="116">
        <f t="shared" si="46"/>
        <v>43212.917174709997</v>
      </c>
      <c r="I244" s="116">
        <f t="shared" si="46"/>
        <v>43862.691580773324</v>
      </c>
      <c r="J244" s="116">
        <f t="shared" si="46"/>
        <v>44522.236370471437</v>
      </c>
      <c r="K244" s="116">
        <f t="shared" si="46"/>
        <v>45191.698456941376</v>
      </c>
      <c r="L244" s="116">
        <f t="shared" si="46"/>
        <v>45871.226962391069</v>
      </c>
      <c r="M244" s="116">
        <f t="shared" si="46"/>
        <v>46560.973251316165</v>
      </c>
      <c r="N244" s="116">
        <f t="shared" si="46"/>
        <v>47261.090964216375</v>
      </c>
      <c r="O244" s="116">
        <f t="shared" si="46"/>
        <v>47971.736051818822</v>
      </c>
      <c r="P244" s="116">
        <f t="shared" si="46"/>
        <v>48693.066809815871</v>
      </c>
      <c r="Q244" s="116">
        <f t="shared" si="46"/>
        <v>49425.243914125473</v>
      </c>
      <c r="R244" s="116">
        <f t="shared" si="46"/>
        <v>50168.43045668157</v>
      </c>
      <c r="S244" s="116">
        <f t="shared" si="46"/>
        <v>50922.791981762726</v>
      </c>
      <c r="T244" s="116">
        <f t="shared" si="46"/>
        <v>51688.496522866946</v>
      </c>
      <c r="U244" s="116">
        <f t="shared" si="46"/>
        <v>52465.714640141116</v>
      </c>
      <c r="V244" s="116">
        <f t="shared" si="46"/>
        <v>53254.619458373032</v>
      </c>
      <c r="W244" s="116">
        <f t="shared" si="46"/>
        <v>54055.386705554949</v>
      </c>
      <c r="X244" s="116">
        <f t="shared" si="46"/>
        <v>54868.1947520268</v>
      </c>
      <c r="Y244" s="264"/>
      <c r="Z244" s="264"/>
      <c r="AA244" s="264"/>
      <c r="AB244" s="264"/>
      <c r="AC244" s="264"/>
      <c r="AD244" s="264"/>
      <c r="AE244" s="264"/>
      <c r="AF244" s="264"/>
      <c r="AG244" s="264"/>
      <c r="AH244" s="264"/>
      <c r="AI244" s="264"/>
      <c r="AJ244" s="264"/>
      <c r="AK244" s="264"/>
      <c r="AL244" s="264"/>
      <c r="AM244" s="264"/>
      <c r="AN244" s="264"/>
      <c r="AO244" s="264"/>
      <c r="AP244" s="264"/>
      <c r="AQ244" s="264"/>
      <c r="AR244" s="264"/>
      <c r="AS244" s="264"/>
      <c r="AT244" s="264"/>
      <c r="AU244" s="264"/>
      <c r="AV244" s="264"/>
      <c r="AW244" s="264"/>
      <c r="AX244" s="264"/>
      <c r="AY244" s="264"/>
      <c r="AZ244" s="264"/>
      <c r="BA244" s="264"/>
      <c r="BB244" s="264"/>
      <c r="BC244" s="264"/>
      <c r="BD244" s="264"/>
      <c r="BE244" s="264"/>
      <c r="BF244" s="264"/>
      <c r="BG244" s="264"/>
      <c r="BH244" s="264"/>
      <c r="BI244" s="264"/>
      <c r="BJ244" s="264"/>
      <c r="BK244" s="264"/>
      <c r="BL244" s="264"/>
      <c r="BM244" s="264"/>
      <c r="BN244" s="264"/>
      <c r="BO244" s="264"/>
      <c r="BP244" s="264"/>
      <c r="BQ244" s="264"/>
      <c r="BR244" s="264"/>
      <c r="BS244" s="264"/>
      <c r="BT244" s="264"/>
      <c r="BU244" s="264"/>
      <c r="BV244" s="264"/>
      <c r="BW244" s="264"/>
      <c r="BX244" s="264"/>
      <c r="BY244" s="264"/>
      <c r="BZ244" s="264"/>
      <c r="CA244" s="264"/>
      <c r="CB244" s="264"/>
    </row>
    <row r="245" spans="2:80" s="72" customFormat="1">
      <c r="B245" s="266" t="s">
        <v>82</v>
      </c>
      <c r="C245" s="206" t="s">
        <v>1137</v>
      </c>
      <c r="D245" s="116">
        <f t="shared" ref="D245:X245" si="47">D220*$L50*$K$121*$D$181</f>
        <v>73532.35177465243</v>
      </c>
      <c r="E245" s="116">
        <f t="shared" si="47"/>
        <v>74641.846582249884</v>
      </c>
      <c r="F245" s="116">
        <f t="shared" si="47"/>
        <v>75768.082031189246</v>
      </c>
      <c r="G245" s="116">
        <f t="shared" si="47"/>
        <v>76911.31071307401</v>
      </c>
      <c r="H245" s="116">
        <f t="shared" si="47"/>
        <v>78071.789030742686</v>
      </c>
      <c r="I245" s="116">
        <f t="shared" si="47"/>
        <v>79249.777255774708</v>
      </c>
      <c r="J245" s="116">
        <f t="shared" si="47"/>
        <v>80445.539586864033</v>
      </c>
      <c r="K245" s="116">
        <f t="shared" si="47"/>
        <v>81659.344209073432</v>
      </c>
      <c r="L245" s="116">
        <f t="shared" si="47"/>
        <v>82891.463353983083</v>
      </c>
      <c r="M245" s="116">
        <f t="shared" si="47"/>
        <v>84142.173360746441</v>
      </c>
      <c r="N245" s="116">
        <f t="shared" si="47"/>
        <v>85411.754738067408</v>
      </c>
      <c r="O245" s="116">
        <f t="shared" si="47"/>
        <v>86700.492227112874</v>
      </c>
      <c r="P245" s="116">
        <f t="shared" si="47"/>
        <v>88008.674865374225</v>
      </c>
      <c r="Q245" s="116">
        <f t="shared" si="47"/>
        <v>89336.596051492554</v>
      </c>
      <c r="R245" s="116">
        <f t="shared" si="47"/>
        <v>90684.553611062001</v>
      </c>
      <c r="S245" s="116">
        <f t="shared" si="47"/>
        <v>92052.849863425974</v>
      </c>
      <c r="T245" s="116">
        <f t="shared" si="47"/>
        <v>93441.791689481179</v>
      </c>
      <c r="U245" s="116">
        <f t="shared" si="47"/>
        <v>94851.690600504749</v>
      </c>
      <c r="V245" s="116">
        <f t="shared" si="47"/>
        <v>96282.862808019767</v>
      </c>
      <c r="W245" s="116">
        <f t="shared" si="47"/>
        <v>97735.629294715225</v>
      </c>
      <c r="X245" s="116">
        <f t="shared" si="47"/>
        <v>99210.315886435754</v>
      </c>
      <c r="Y245" s="264"/>
      <c r="Z245" s="264"/>
      <c r="AA245" s="264"/>
      <c r="AB245" s="264"/>
      <c r="AC245" s="264"/>
      <c r="AD245" s="264"/>
      <c r="AE245" s="264"/>
      <c r="AF245" s="264"/>
      <c r="AG245" s="264"/>
      <c r="AH245" s="264"/>
      <c r="AI245" s="264"/>
      <c r="AJ245" s="264"/>
      <c r="AK245" s="264"/>
      <c r="AL245" s="264"/>
      <c r="AM245" s="264"/>
      <c r="AN245" s="264"/>
      <c r="AO245" s="264"/>
      <c r="AP245" s="264"/>
      <c r="AQ245" s="264"/>
      <c r="AR245" s="264"/>
      <c r="AS245" s="264"/>
      <c r="AT245" s="264"/>
      <c r="AU245" s="264"/>
      <c r="AV245" s="264"/>
      <c r="AW245" s="264"/>
      <c r="AX245" s="264"/>
      <c r="AY245" s="264"/>
      <c r="AZ245" s="264"/>
      <c r="BA245" s="264"/>
      <c r="BB245" s="264"/>
      <c r="BC245" s="264"/>
      <c r="BD245" s="264"/>
      <c r="BE245" s="264"/>
      <c r="BF245" s="264"/>
      <c r="BG245" s="264"/>
      <c r="BH245" s="264"/>
      <c r="BI245" s="264"/>
      <c r="BJ245" s="264"/>
      <c r="BK245" s="264"/>
      <c r="BL245" s="264"/>
      <c r="BM245" s="264"/>
      <c r="BN245" s="264"/>
      <c r="BO245" s="264"/>
      <c r="BP245" s="264"/>
      <c r="BQ245" s="264"/>
      <c r="BR245" s="264"/>
      <c r="BS245" s="264"/>
      <c r="BT245" s="264"/>
      <c r="BU245" s="264"/>
      <c r="BV245" s="264"/>
      <c r="BW245" s="264"/>
      <c r="BX245" s="264"/>
      <c r="BY245" s="264"/>
      <c r="BZ245" s="264"/>
      <c r="CA245" s="264"/>
      <c r="CB245" s="264"/>
    </row>
    <row r="246" spans="2:80" s="72" customFormat="1">
      <c r="B246" s="266" t="s">
        <v>531</v>
      </c>
      <c r="C246" s="206" t="s">
        <v>1137</v>
      </c>
      <c r="D246" s="116">
        <f t="shared" ref="D246:X246" si="48">D221*$L51*$K$121*$D$181</f>
        <v>58397.793056834795</v>
      </c>
      <c r="E246" s="116">
        <f t="shared" si="48"/>
        <v>59270.676784064475</v>
      </c>
      <c r="F246" s="116">
        <f t="shared" si="48"/>
        <v>60156.607682452137</v>
      </c>
      <c r="G246" s="116">
        <f t="shared" si="48"/>
        <v>61055.780770727026</v>
      </c>
      <c r="H246" s="116">
        <f t="shared" si="48"/>
        <v>61968.393982603055</v>
      </c>
      <c r="I246" s="116">
        <f t="shared" si="48"/>
        <v>62894.648210349784</v>
      </c>
      <c r="J246" s="116">
        <f t="shared" si="48"/>
        <v>63834.747349014462</v>
      </c>
      <c r="K246" s="116">
        <f t="shared" si="48"/>
        <v>64788.898341305263</v>
      </c>
      <c r="L246" s="116">
        <f t="shared" si="48"/>
        <v>65757.311223145225</v>
      </c>
      <c r="M246" s="116">
        <f t="shared" si="48"/>
        <v>66740.199169907166</v>
      </c>
      <c r="N246" s="116">
        <f t="shared" si="48"/>
        <v>67737.778543339664</v>
      </c>
      <c r="O246" s="116">
        <f t="shared" si="48"/>
        <v>68750.268939194575</v>
      </c>
      <c r="P246" s="116">
        <f t="shared" si="48"/>
        <v>69777.893235566225</v>
      </c>
      <c r="Q246" s="116">
        <f t="shared" si="48"/>
        <v>70820.877641953251</v>
      </c>
      <c r="R246" s="116">
        <f t="shared" si="48"/>
        <v>71879.451749053842</v>
      </c>
      <c r="S246" s="116">
        <f t="shared" si="48"/>
        <v>72953.848579305224</v>
      </c>
      <c r="T246" s="116">
        <f t="shared" si="48"/>
        <v>74044.304638178495</v>
      </c>
      <c r="U246" s="116">
        <f t="shared" si="48"/>
        <v>75151.059966240296</v>
      </c>
      <c r="V246" s="116">
        <f t="shared" si="48"/>
        <v>76274.358191992593</v>
      </c>
      <c r="W246" s="116">
        <f t="shared" si="48"/>
        <v>77414.446585502272</v>
      </c>
      <c r="X246" s="116">
        <f t="shared" si="48"/>
        <v>78571.576112832365</v>
      </c>
      <c r="Y246" s="264"/>
      <c r="Z246" s="264"/>
      <c r="AA246" s="264"/>
      <c r="AB246" s="264"/>
      <c r="AC246" s="264"/>
      <c r="AD246" s="264"/>
      <c r="AE246" s="264"/>
      <c r="AF246" s="264"/>
      <c r="AG246" s="264"/>
      <c r="AH246" s="264"/>
      <c r="AI246" s="264"/>
      <c r="AJ246" s="264"/>
      <c r="AK246" s="264"/>
      <c r="AL246" s="264"/>
      <c r="AM246" s="264"/>
      <c r="AN246" s="264"/>
      <c r="AO246" s="264"/>
      <c r="AP246" s="264"/>
      <c r="AQ246" s="264"/>
      <c r="AR246" s="264"/>
      <c r="AS246" s="264"/>
      <c r="AT246" s="264"/>
      <c r="AU246" s="264"/>
      <c r="AV246" s="264"/>
      <c r="AW246" s="264"/>
      <c r="AX246" s="264"/>
      <c r="AY246" s="264"/>
      <c r="AZ246" s="264"/>
      <c r="BA246" s="264"/>
      <c r="BB246" s="264"/>
      <c r="BC246" s="264"/>
      <c r="BD246" s="264"/>
      <c r="BE246" s="264"/>
      <c r="BF246" s="264"/>
      <c r="BG246" s="264"/>
      <c r="BH246" s="264"/>
      <c r="BI246" s="264"/>
      <c r="BJ246" s="264"/>
      <c r="BK246" s="264"/>
      <c r="BL246" s="264"/>
      <c r="BM246" s="264"/>
      <c r="BN246" s="264"/>
      <c r="BO246" s="264"/>
      <c r="BP246" s="264"/>
      <c r="BQ246" s="264"/>
      <c r="BR246" s="264"/>
      <c r="BS246" s="264"/>
      <c r="BT246" s="264"/>
      <c r="BU246" s="264"/>
      <c r="BV246" s="264"/>
      <c r="BW246" s="264"/>
      <c r="BX246" s="264"/>
      <c r="BY246" s="264"/>
      <c r="BZ246" s="264"/>
      <c r="CA246" s="264"/>
      <c r="CB246" s="264"/>
    </row>
    <row r="247" spans="2:80" s="72" customFormat="1">
      <c r="B247" s="265" t="s">
        <v>84</v>
      </c>
      <c r="C247" s="206" t="s">
        <v>1137</v>
      </c>
      <c r="D247" s="116">
        <f t="shared" ref="D247:X247" si="49">D222*$L52*$K$121*$D$181</f>
        <v>0</v>
      </c>
      <c r="E247" s="116">
        <f t="shared" si="49"/>
        <v>0</v>
      </c>
      <c r="F247" s="116">
        <f t="shared" si="49"/>
        <v>0</v>
      </c>
      <c r="G247" s="116">
        <f t="shared" si="49"/>
        <v>0</v>
      </c>
      <c r="H247" s="116">
        <f t="shared" si="49"/>
        <v>0</v>
      </c>
      <c r="I247" s="116">
        <f t="shared" si="49"/>
        <v>0</v>
      </c>
      <c r="J247" s="116">
        <f t="shared" si="49"/>
        <v>0</v>
      </c>
      <c r="K247" s="116">
        <f t="shared" si="49"/>
        <v>0</v>
      </c>
      <c r="L247" s="116">
        <f t="shared" si="49"/>
        <v>0</v>
      </c>
      <c r="M247" s="116">
        <f t="shared" si="49"/>
        <v>0</v>
      </c>
      <c r="N247" s="116">
        <f t="shared" si="49"/>
        <v>0</v>
      </c>
      <c r="O247" s="116">
        <f t="shared" si="49"/>
        <v>0</v>
      </c>
      <c r="P247" s="116">
        <f t="shared" si="49"/>
        <v>0</v>
      </c>
      <c r="Q247" s="116">
        <f t="shared" si="49"/>
        <v>0</v>
      </c>
      <c r="R247" s="116">
        <f t="shared" si="49"/>
        <v>0</v>
      </c>
      <c r="S247" s="116">
        <f t="shared" si="49"/>
        <v>0</v>
      </c>
      <c r="T247" s="116">
        <f t="shared" si="49"/>
        <v>0</v>
      </c>
      <c r="U247" s="116">
        <f t="shared" si="49"/>
        <v>0</v>
      </c>
      <c r="V247" s="116">
        <f t="shared" si="49"/>
        <v>0</v>
      </c>
      <c r="W247" s="116">
        <f t="shared" si="49"/>
        <v>0</v>
      </c>
      <c r="X247" s="116">
        <f t="shared" si="49"/>
        <v>0</v>
      </c>
      <c r="Y247" s="264"/>
      <c r="Z247" s="264"/>
      <c r="AA247" s="264"/>
      <c r="AB247" s="264"/>
      <c r="AC247" s="264"/>
      <c r="AD247" s="264"/>
      <c r="AE247" s="264"/>
      <c r="AF247" s="264"/>
      <c r="AG247" s="264"/>
      <c r="AH247" s="264"/>
      <c r="AI247" s="264"/>
      <c r="AJ247" s="264"/>
      <c r="AK247" s="264"/>
      <c r="AL247" s="264"/>
      <c r="AM247" s="264"/>
      <c r="AN247" s="264"/>
      <c r="AO247" s="264"/>
      <c r="AP247" s="264"/>
      <c r="AQ247" s="264"/>
      <c r="AR247" s="264"/>
      <c r="AS247" s="264"/>
      <c r="AT247" s="264"/>
      <c r="AU247" s="264"/>
      <c r="AV247" s="264"/>
      <c r="AW247" s="264"/>
      <c r="AX247" s="264"/>
      <c r="AY247" s="264"/>
      <c r="AZ247" s="264"/>
      <c r="BA247" s="264"/>
      <c r="BB247" s="264"/>
      <c r="BC247" s="264"/>
      <c r="BD247" s="264"/>
      <c r="BE247" s="264"/>
      <c r="BF247" s="264"/>
      <c r="BG247" s="264"/>
      <c r="BH247" s="264"/>
      <c r="BI247" s="264"/>
      <c r="BJ247" s="264"/>
      <c r="BK247" s="264"/>
      <c r="BL247" s="264"/>
      <c r="BM247" s="264"/>
      <c r="BN247" s="264"/>
      <c r="BO247" s="264"/>
      <c r="BP247" s="264"/>
      <c r="BQ247" s="264"/>
      <c r="BR247" s="264"/>
      <c r="BS247" s="264"/>
      <c r="BT247" s="264"/>
      <c r="BU247" s="264"/>
      <c r="BV247" s="264"/>
      <c r="BW247" s="264"/>
      <c r="BX247" s="264"/>
      <c r="BY247" s="264"/>
      <c r="BZ247" s="264"/>
      <c r="CA247" s="264"/>
      <c r="CB247" s="264"/>
    </row>
    <row r="248" spans="2:80" s="72" customFormat="1">
      <c r="C248" s="206"/>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c r="AA248" s="264"/>
      <c r="AB248" s="264"/>
      <c r="AC248" s="264"/>
      <c r="AD248" s="264"/>
      <c r="AE248" s="264"/>
      <c r="AF248" s="264"/>
      <c r="AG248" s="264"/>
      <c r="AH248" s="264"/>
      <c r="AI248" s="264"/>
      <c r="AJ248" s="264"/>
      <c r="AK248" s="264"/>
      <c r="AL248" s="264"/>
      <c r="AM248" s="264"/>
      <c r="AN248" s="264"/>
      <c r="AO248" s="264"/>
      <c r="AP248" s="264"/>
      <c r="AQ248" s="264"/>
      <c r="AR248" s="264"/>
      <c r="AS248" s="264"/>
      <c r="AT248" s="264"/>
      <c r="AU248" s="264"/>
      <c r="AV248" s="264"/>
      <c r="AW248" s="264"/>
      <c r="AX248" s="264"/>
      <c r="AY248" s="264"/>
      <c r="AZ248" s="264"/>
      <c r="BA248" s="264"/>
      <c r="BB248" s="264"/>
      <c r="BC248" s="264"/>
      <c r="BD248" s="264"/>
      <c r="BE248" s="264"/>
      <c r="BF248" s="264"/>
      <c r="BG248" s="264"/>
      <c r="BH248" s="264"/>
      <c r="BI248" s="264"/>
      <c r="BJ248" s="264"/>
      <c r="BK248" s="264"/>
      <c r="BL248" s="264"/>
      <c r="BM248" s="264"/>
      <c r="BN248" s="264"/>
      <c r="BO248" s="264"/>
      <c r="BP248" s="264"/>
      <c r="BQ248" s="264"/>
      <c r="BR248" s="264"/>
      <c r="BS248" s="264"/>
      <c r="BT248" s="264"/>
      <c r="BU248" s="264"/>
      <c r="BV248" s="264"/>
      <c r="BW248" s="264"/>
      <c r="BX248" s="264"/>
      <c r="BY248" s="264"/>
      <c r="BZ248" s="264"/>
      <c r="CA248" s="264"/>
      <c r="CB248" s="264"/>
    </row>
    <row r="249" spans="2:80" s="72" customFormat="1">
      <c r="B249" s="129" t="s">
        <v>530</v>
      </c>
      <c r="C249" s="206"/>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264"/>
      <c r="AY249" s="264"/>
      <c r="AZ249" s="264"/>
      <c r="BA249" s="264"/>
      <c r="BB249" s="264"/>
      <c r="BC249" s="264"/>
      <c r="BD249" s="264"/>
      <c r="BE249" s="264"/>
      <c r="BF249" s="264"/>
      <c r="BG249" s="264"/>
      <c r="BH249" s="264"/>
      <c r="BI249" s="264"/>
      <c r="BJ249" s="264"/>
      <c r="BK249" s="264"/>
      <c r="BL249" s="264"/>
      <c r="BM249" s="264"/>
      <c r="BN249" s="264"/>
      <c r="BO249" s="264"/>
      <c r="BP249" s="264"/>
      <c r="BQ249" s="264"/>
      <c r="BR249" s="264"/>
      <c r="BS249" s="264"/>
      <c r="BT249" s="264"/>
      <c r="BU249" s="264"/>
      <c r="BV249" s="264"/>
      <c r="BW249" s="264"/>
      <c r="BX249" s="264"/>
      <c r="BY249" s="264"/>
      <c r="BZ249" s="264"/>
      <c r="CA249" s="264"/>
      <c r="CB249" s="264"/>
    </row>
    <row r="250" spans="2:80" s="72" customFormat="1">
      <c r="B250" s="74" t="s">
        <v>528</v>
      </c>
      <c r="C250" s="206" t="s">
        <v>1137</v>
      </c>
      <c r="D250" s="30">
        <f>D199*(1+D202)</f>
        <v>220200.38042528389</v>
      </c>
      <c r="E250" s="264">
        <f t="shared" ref="E250:X250" si="50">D250*(1+$D$203)</f>
        <v>232034.66505476876</v>
      </c>
      <c r="F250" s="264">
        <f t="shared" si="50"/>
        <v>244504.96263037651</v>
      </c>
      <c r="G250" s="264">
        <f t="shared" si="50"/>
        <v>257645.45455641678</v>
      </c>
      <c r="H250" s="264">
        <f t="shared" si="50"/>
        <v>271492.15925703931</v>
      </c>
      <c r="I250" s="264">
        <f t="shared" si="50"/>
        <v>286083.03090365493</v>
      </c>
      <c r="J250" s="264">
        <f t="shared" si="50"/>
        <v>301458.06344828912</v>
      </c>
      <c r="K250" s="264">
        <f t="shared" si="50"/>
        <v>317659.40024802671</v>
      </c>
      <c r="L250" s="264">
        <f t="shared" si="50"/>
        <v>334731.44958103035</v>
      </c>
      <c r="M250" s="264">
        <f t="shared" si="50"/>
        <v>352721.00637076574</v>
      </c>
      <c r="N250" s="264">
        <f t="shared" si="50"/>
        <v>371677.38045208273</v>
      </c>
      <c r="O250" s="264">
        <f t="shared" si="50"/>
        <v>391652.53173073253</v>
      </c>
      <c r="P250" s="264">
        <f t="shared" si="50"/>
        <v>412701.21260679723</v>
      </c>
      <c r="Q250" s="264">
        <f t="shared" si="50"/>
        <v>434881.11805241741</v>
      </c>
      <c r="R250" s="264">
        <f t="shared" si="50"/>
        <v>458253.04375518515</v>
      </c>
      <c r="S250" s="264">
        <f t="shared" si="50"/>
        <v>482881.05276067712</v>
      </c>
      <c r="T250" s="264">
        <f t="shared" si="50"/>
        <v>508832.65107089968</v>
      </c>
      <c r="U250" s="264">
        <f t="shared" si="50"/>
        <v>536178.9726799652</v>
      </c>
      <c r="V250" s="264">
        <f t="shared" si="50"/>
        <v>564994.97455418773</v>
      </c>
      <c r="W250" s="264">
        <f t="shared" si="50"/>
        <v>595359.64209104318</v>
      </c>
      <c r="X250" s="264">
        <f t="shared" si="50"/>
        <v>627356.20562016172</v>
      </c>
      <c r="Y250" s="264"/>
      <c r="Z250" s="264"/>
      <c r="AA250" s="264"/>
      <c r="AB250" s="264"/>
      <c r="AC250" s="264"/>
      <c r="AD250" s="264"/>
      <c r="AE250" s="264"/>
      <c r="AF250" s="264"/>
      <c r="AG250" s="264"/>
      <c r="AH250" s="264"/>
      <c r="AI250" s="264"/>
      <c r="AJ250" s="264"/>
      <c r="AK250" s="264"/>
      <c r="AL250" s="264"/>
      <c r="AM250" s="264"/>
      <c r="AN250" s="264"/>
      <c r="AO250" s="264"/>
      <c r="AP250" s="264"/>
      <c r="AQ250" s="264"/>
      <c r="AR250" s="264"/>
      <c r="AS250" s="264"/>
      <c r="AT250" s="264"/>
      <c r="AU250" s="264"/>
      <c r="AV250" s="264"/>
      <c r="AW250" s="264"/>
      <c r="AX250" s="264"/>
      <c r="AY250" s="264"/>
      <c r="AZ250" s="264"/>
      <c r="BA250" s="264"/>
      <c r="BB250" s="264"/>
      <c r="BC250" s="264"/>
      <c r="BD250" s="264"/>
      <c r="BE250" s="264"/>
      <c r="BF250" s="264"/>
      <c r="BG250" s="264"/>
      <c r="BH250" s="264"/>
      <c r="BI250" s="264"/>
      <c r="BJ250" s="264"/>
      <c r="BK250" s="264"/>
      <c r="BL250" s="264"/>
      <c r="BM250" s="264"/>
      <c r="BN250" s="264"/>
      <c r="BO250" s="264"/>
      <c r="BP250" s="264"/>
      <c r="BQ250" s="264"/>
      <c r="BR250" s="264"/>
      <c r="BS250" s="264"/>
      <c r="BT250" s="264"/>
      <c r="BU250" s="264"/>
      <c r="BV250" s="264"/>
      <c r="BW250" s="264"/>
      <c r="BX250" s="264"/>
      <c r="BY250" s="264"/>
      <c r="BZ250" s="264"/>
      <c r="CA250" s="264"/>
      <c r="CB250" s="264"/>
    </row>
    <row r="251" spans="2:80" s="72" customFormat="1">
      <c r="B251" s="74" t="s">
        <v>520</v>
      </c>
      <c r="C251" s="206" t="s">
        <v>1137</v>
      </c>
      <c r="D251" s="30">
        <f>D200*(1+D203)</f>
        <v>437618.34044583963</v>
      </c>
      <c r="E251" s="264">
        <f t="shared" ref="E251:X251" si="51">D251*(1+$D$203)</f>
        <v>461137.37338264298</v>
      </c>
      <c r="F251" s="264">
        <f t="shared" si="51"/>
        <v>485920.39564338303</v>
      </c>
      <c r="G251" s="264">
        <f t="shared" si="51"/>
        <v>512035.33812535985</v>
      </c>
      <c r="H251" s="264">
        <f t="shared" si="51"/>
        <v>539553.7825532346</v>
      </c>
      <c r="I251" s="264">
        <f t="shared" si="51"/>
        <v>568551.15768636588</v>
      </c>
      <c r="J251" s="264">
        <f t="shared" si="51"/>
        <v>599106.94607096678</v>
      </c>
      <c r="K251" s="264">
        <f t="shared" si="51"/>
        <v>631304.90190379508</v>
      </c>
      <c r="L251" s="264">
        <f t="shared" si="51"/>
        <v>665233.28060454642</v>
      </c>
      <c r="M251" s="264">
        <f t="shared" si="51"/>
        <v>700985.08072621527</v>
      </c>
      <c r="N251" s="264">
        <f t="shared" si="51"/>
        <v>738658.2988665048</v>
      </c>
      <c r="O251" s="264">
        <f t="shared" si="51"/>
        <v>778356.19827900559</v>
      </c>
      <c r="P251" s="264">
        <f t="shared" si="51"/>
        <v>820187.59192041215</v>
      </c>
      <c r="Q251" s="264">
        <f t="shared" si="51"/>
        <v>864267.14070961787</v>
      </c>
      <c r="R251" s="264">
        <f t="shared" si="51"/>
        <v>910715.66781622358</v>
      </c>
      <c r="S251" s="264">
        <f t="shared" si="51"/>
        <v>959660.48983993288</v>
      </c>
      <c r="T251" s="264">
        <f t="shared" si="51"/>
        <v>1011235.7657886053</v>
      </c>
      <c r="U251" s="264">
        <f t="shared" si="51"/>
        <v>1065582.864811525</v>
      </c>
      <c r="V251" s="264">
        <f t="shared" si="51"/>
        <v>1122850.7536958512</v>
      </c>
      <c r="W251" s="264">
        <f t="shared" si="51"/>
        <v>1183196.4051883887</v>
      </c>
      <c r="X251" s="264">
        <f t="shared" si="51"/>
        <v>1246785.2282618976</v>
      </c>
      <c r="Y251" s="264"/>
      <c r="Z251" s="264"/>
      <c r="AA251" s="264"/>
      <c r="AB251" s="264"/>
      <c r="AC251" s="264"/>
      <c r="AD251" s="264"/>
      <c r="AE251" s="264"/>
      <c r="AF251" s="264"/>
      <c r="AG251" s="264"/>
      <c r="AH251" s="264"/>
      <c r="AI251" s="264"/>
      <c r="AJ251" s="264"/>
      <c r="AK251" s="264"/>
      <c r="AL251" s="264"/>
      <c r="AM251" s="264"/>
      <c r="AN251" s="264"/>
      <c r="AO251" s="264"/>
      <c r="AP251" s="264"/>
      <c r="AQ251" s="264"/>
      <c r="AR251" s="264"/>
      <c r="AS251" s="264"/>
      <c r="AT251" s="264"/>
      <c r="AU251" s="264"/>
      <c r="AV251" s="264"/>
      <c r="AW251" s="264"/>
      <c r="AX251" s="264"/>
      <c r="AY251" s="264"/>
      <c r="AZ251" s="264"/>
      <c r="BA251" s="264"/>
      <c r="BB251" s="264"/>
      <c r="BC251" s="264"/>
      <c r="BD251" s="264"/>
      <c r="BE251" s="264"/>
      <c r="BF251" s="264"/>
      <c r="BG251" s="264"/>
      <c r="BH251" s="264"/>
      <c r="BI251" s="264"/>
      <c r="BJ251" s="264"/>
      <c r="BK251" s="264"/>
      <c r="BL251" s="264"/>
      <c r="BM251" s="264"/>
      <c r="BN251" s="264"/>
      <c r="BO251" s="264"/>
      <c r="BP251" s="264"/>
      <c r="BQ251" s="264"/>
      <c r="BR251" s="264"/>
      <c r="BS251" s="264"/>
      <c r="BT251" s="264"/>
      <c r="BU251" s="264"/>
      <c r="BV251" s="264"/>
      <c r="BW251" s="264"/>
      <c r="BX251" s="264"/>
      <c r="BY251" s="264"/>
      <c r="BZ251" s="264"/>
      <c r="CA251" s="264"/>
      <c r="CB251" s="264"/>
    </row>
    <row r="252" spans="2:80" s="72" customFormat="1">
      <c r="C252" s="206"/>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c r="AA252" s="264"/>
      <c r="AB252" s="264"/>
      <c r="AC252" s="264"/>
      <c r="AD252" s="264"/>
      <c r="AE252" s="264"/>
      <c r="AF252" s="264"/>
      <c r="AG252" s="264"/>
      <c r="AH252" s="264"/>
      <c r="AI252" s="264"/>
      <c r="AJ252" s="264"/>
      <c r="AK252" s="264"/>
      <c r="AL252" s="264"/>
      <c r="AM252" s="264"/>
      <c r="AN252" s="264"/>
      <c r="AO252" s="264"/>
      <c r="AP252" s="264"/>
      <c r="AQ252" s="264"/>
      <c r="AR252" s="264"/>
      <c r="AS252" s="264"/>
      <c r="AT252" s="264"/>
      <c r="AU252" s="264"/>
      <c r="AV252" s="264"/>
      <c r="AW252" s="264"/>
      <c r="AX252" s="264"/>
      <c r="AY252" s="264"/>
      <c r="AZ252" s="264"/>
      <c r="BA252" s="264"/>
      <c r="BB252" s="264"/>
      <c r="BC252" s="264"/>
      <c r="BD252" s="264"/>
      <c r="BE252" s="264"/>
      <c r="BF252" s="264"/>
      <c r="BG252" s="264"/>
      <c r="BH252" s="264"/>
      <c r="BI252" s="264"/>
      <c r="BJ252" s="264"/>
      <c r="BK252" s="264"/>
      <c r="BL252" s="264"/>
      <c r="BM252" s="264"/>
      <c r="BN252" s="264"/>
      <c r="BO252" s="264"/>
      <c r="BP252" s="264"/>
      <c r="BQ252" s="264"/>
      <c r="BR252" s="264"/>
      <c r="BS252" s="264"/>
      <c r="BT252" s="264"/>
      <c r="BU252" s="264"/>
      <c r="BV252" s="264"/>
      <c r="BW252" s="264"/>
      <c r="BX252" s="264"/>
      <c r="BY252" s="264"/>
      <c r="BZ252" s="264"/>
      <c r="CA252" s="264"/>
      <c r="CB252" s="264"/>
    </row>
    <row r="253" spans="2:80" s="72" customFormat="1">
      <c r="C253" s="206"/>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c r="AA253" s="264"/>
      <c r="AB253" s="264"/>
      <c r="AC253" s="264"/>
      <c r="AD253" s="264"/>
      <c r="AE253" s="264"/>
      <c r="AF253" s="264"/>
      <c r="AG253" s="264"/>
      <c r="AH253" s="264"/>
      <c r="AI253" s="264"/>
      <c r="AJ253" s="264"/>
      <c r="AK253" s="264"/>
      <c r="AL253" s="264"/>
      <c r="AM253" s="264"/>
      <c r="AN253" s="264"/>
      <c r="AO253" s="264"/>
      <c r="AP253" s="264"/>
      <c r="AQ253" s="264"/>
      <c r="AR253" s="264"/>
      <c r="AS253" s="264"/>
      <c r="AT253" s="264"/>
      <c r="AU253" s="264"/>
      <c r="AV253" s="264"/>
      <c r="AW253" s="264"/>
      <c r="AX253" s="264"/>
      <c r="AY253" s="264"/>
      <c r="AZ253" s="264"/>
      <c r="BA253" s="264"/>
      <c r="BB253" s="264"/>
      <c r="BC253" s="264"/>
      <c r="BD253" s="264"/>
      <c r="BE253" s="264"/>
      <c r="BF253" s="264"/>
      <c r="BG253" s="264"/>
      <c r="BH253" s="264"/>
      <c r="BI253" s="264"/>
      <c r="BJ253" s="264"/>
      <c r="BK253" s="264"/>
      <c r="BL253" s="264"/>
      <c r="BM253" s="264"/>
      <c r="BN253" s="264"/>
      <c r="BO253" s="264"/>
      <c r="BP253" s="264"/>
      <c r="BQ253" s="264"/>
      <c r="BR253" s="264"/>
      <c r="BS253" s="264"/>
      <c r="BT253" s="264"/>
      <c r="BU253" s="264"/>
      <c r="BV253" s="264"/>
      <c r="BW253" s="264"/>
      <c r="BX253" s="264"/>
      <c r="BY253" s="264"/>
      <c r="BZ253" s="264"/>
      <c r="CA253" s="264"/>
      <c r="CB253" s="264"/>
    </row>
    <row r="254" spans="2:80" s="72" customFormat="1">
      <c r="C254" s="206"/>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c r="AA254" s="264"/>
      <c r="AB254" s="264"/>
      <c r="AC254" s="264"/>
      <c r="AD254" s="264"/>
      <c r="AE254" s="264"/>
      <c r="AF254" s="264"/>
      <c r="AG254" s="264"/>
      <c r="AH254" s="264"/>
      <c r="AI254" s="264"/>
      <c r="AJ254" s="264"/>
      <c r="AK254" s="264"/>
      <c r="AL254" s="264"/>
      <c r="AM254" s="264"/>
      <c r="AN254" s="264"/>
      <c r="AO254" s="264"/>
      <c r="AP254" s="264"/>
      <c r="AQ254" s="264"/>
      <c r="AR254" s="264"/>
      <c r="AS254" s="264"/>
      <c r="AT254" s="264"/>
      <c r="AU254" s="264"/>
      <c r="AV254" s="264"/>
      <c r="AW254" s="264"/>
      <c r="AX254" s="264"/>
      <c r="AY254" s="264"/>
      <c r="AZ254" s="264"/>
      <c r="BA254" s="264"/>
      <c r="BB254" s="264"/>
      <c r="BC254" s="264"/>
      <c r="BD254" s="264"/>
      <c r="BE254" s="264"/>
      <c r="BF254" s="264"/>
      <c r="BG254" s="264"/>
      <c r="BH254" s="264"/>
      <c r="BI254" s="264"/>
      <c r="BJ254" s="264"/>
      <c r="BK254" s="264"/>
      <c r="BL254" s="264"/>
      <c r="BM254" s="264"/>
      <c r="BN254" s="264"/>
      <c r="BO254" s="264"/>
      <c r="BP254" s="264"/>
      <c r="BQ254" s="264"/>
      <c r="BR254" s="264"/>
      <c r="BS254" s="264"/>
      <c r="BT254" s="264"/>
      <c r="BU254" s="264"/>
      <c r="BV254" s="264"/>
      <c r="BW254" s="264"/>
      <c r="BX254" s="264"/>
      <c r="BY254" s="264"/>
      <c r="BZ254" s="264"/>
      <c r="CA254" s="264"/>
      <c r="CB254" s="264"/>
    </row>
    <row r="255" spans="2:80" ht="15.75">
      <c r="B255" s="263" t="s">
        <v>529</v>
      </c>
    </row>
    <row r="256" spans="2:80">
      <c r="B256" s="262" t="s">
        <v>528</v>
      </c>
      <c r="C256" s="1303" t="s">
        <v>519</v>
      </c>
      <c r="D256" s="1303"/>
      <c r="E256" s="1303"/>
      <c r="G256" s="1303" t="s">
        <v>171</v>
      </c>
      <c r="H256" s="1303"/>
    </row>
    <row r="257" spans="2:8" ht="15" customHeight="1">
      <c r="B257" s="262"/>
      <c r="C257" s="261"/>
      <c r="D257" s="261"/>
      <c r="E257" s="1307" t="s">
        <v>518</v>
      </c>
      <c r="G257" s="261"/>
      <c r="H257" s="1307" t="s">
        <v>517</v>
      </c>
    </row>
    <row r="258" spans="2:8">
      <c r="B258" s="262"/>
      <c r="C258" s="260" t="s">
        <v>516</v>
      </c>
      <c r="D258" s="259" t="s">
        <v>515</v>
      </c>
      <c r="E258" s="1308"/>
      <c r="G258" s="259" t="s">
        <v>515</v>
      </c>
      <c r="H258" s="1308"/>
    </row>
    <row r="259" spans="2:8">
      <c r="B259" s="262"/>
      <c r="C259" s="12">
        <v>1</v>
      </c>
      <c r="D259" s="1" t="s">
        <v>170</v>
      </c>
      <c r="E259" s="4">
        <v>0.8</v>
      </c>
      <c r="G259" s="257" t="s">
        <v>527</v>
      </c>
      <c r="H259" s="4">
        <v>1</v>
      </c>
    </row>
    <row r="260" spans="2:8">
      <c r="B260" s="262"/>
      <c r="C260" s="12">
        <v>2</v>
      </c>
      <c r="D260" s="1" t="s">
        <v>92</v>
      </c>
      <c r="E260" s="4">
        <v>1</v>
      </c>
      <c r="G260" s="1" t="s">
        <v>526</v>
      </c>
      <c r="H260" s="4">
        <v>1</v>
      </c>
    </row>
    <row r="261" spans="2:8">
      <c r="B261" s="262"/>
      <c r="C261" s="12">
        <v>3</v>
      </c>
      <c r="D261" s="1" t="s">
        <v>525</v>
      </c>
      <c r="E261" s="4">
        <v>1</v>
      </c>
      <c r="G261" s="254" t="s">
        <v>508</v>
      </c>
      <c r="H261" s="4">
        <v>0.35</v>
      </c>
    </row>
    <row r="262" spans="2:8">
      <c r="B262" s="262"/>
      <c r="C262" s="12">
        <v>4</v>
      </c>
      <c r="D262" s="1" t="s">
        <v>90</v>
      </c>
      <c r="E262" s="4">
        <v>0.15</v>
      </c>
      <c r="G262" s="254" t="s">
        <v>507</v>
      </c>
      <c r="H262" s="4">
        <v>0.6</v>
      </c>
    </row>
    <row r="263" spans="2:8">
      <c r="B263" s="262"/>
      <c r="C263" s="12">
        <v>5</v>
      </c>
      <c r="D263" s="1" t="s">
        <v>87</v>
      </c>
      <c r="E263" s="4">
        <v>0.3</v>
      </c>
      <c r="G263" s="255" t="s">
        <v>504</v>
      </c>
      <c r="H263" s="4">
        <v>0.4</v>
      </c>
    </row>
    <row r="264" spans="2:8">
      <c r="B264" s="262"/>
      <c r="C264" s="12">
        <v>7</v>
      </c>
      <c r="D264" s="1" t="s">
        <v>169</v>
      </c>
      <c r="E264" s="4">
        <v>0.35</v>
      </c>
      <c r="G264" s="254" t="s">
        <v>503</v>
      </c>
      <c r="H264" s="4">
        <v>0.95</v>
      </c>
    </row>
    <row r="265" spans="2:8">
      <c r="B265" s="136"/>
      <c r="C265" s="12">
        <v>9</v>
      </c>
      <c r="D265" s="1" t="s">
        <v>168</v>
      </c>
      <c r="E265" s="4">
        <v>0.55000000000000004</v>
      </c>
      <c r="G265" s="254" t="s">
        <v>525</v>
      </c>
      <c r="H265" s="4">
        <v>1</v>
      </c>
    </row>
    <row r="266" spans="2:8">
      <c r="B266" s="136"/>
      <c r="C266" s="12">
        <v>10</v>
      </c>
      <c r="D266" s="1" t="s">
        <v>51</v>
      </c>
      <c r="E266" s="4">
        <v>0.4</v>
      </c>
      <c r="G266" s="257" t="s">
        <v>524</v>
      </c>
      <c r="H266" s="4">
        <v>1</v>
      </c>
    </row>
    <row r="267" spans="2:8">
      <c r="B267" s="136"/>
      <c r="C267" s="12">
        <v>11</v>
      </c>
      <c r="D267" s="1" t="s">
        <v>167</v>
      </c>
      <c r="E267" s="4">
        <v>0.55000000000000004</v>
      </c>
      <c r="G267" s="254" t="s">
        <v>501</v>
      </c>
      <c r="H267" s="4">
        <v>0.1</v>
      </c>
    </row>
    <row r="268" spans="2:8">
      <c r="B268" s="136"/>
      <c r="C268" s="12">
        <v>12</v>
      </c>
      <c r="D268" s="1" t="s">
        <v>166</v>
      </c>
      <c r="E268" s="4">
        <v>0.25</v>
      </c>
      <c r="G268" s="255" t="s">
        <v>51</v>
      </c>
      <c r="H268" s="4">
        <v>0.95</v>
      </c>
    </row>
    <row r="269" spans="2:8">
      <c r="B269" s="136"/>
      <c r="C269" s="12" t="s">
        <v>481</v>
      </c>
      <c r="D269" s="245" t="s">
        <v>522</v>
      </c>
      <c r="E269" s="137" t="s">
        <v>481</v>
      </c>
      <c r="G269" s="255" t="s">
        <v>498</v>
      </c>
      <c r="H269" s="4">
        <v>0.95</v>
      </c>
    </row>
    <row r="270" spans="2:8">
      <c r="B270" s="136"/>
      <c r="C270" s="12"/>
      <c r="D270" s="245"/>
      <c r="E270" s="137"/>
      <c r="G270" s="255" t="s">
        <v>523</v>
      </c>
      <c r="H270" s="4">
        <v>1</v>
      </c>
    </row>
    <row r="271" spans="2:8">
      <c r="B271" s="136"/>
      <c r="G271" s="245" t="s">
        <v>522</v>
      </c>
      <c r="H271" s="137" t="s">
        <v>481</v>
      </c>
    </row>
    <row r="272" spans="2:8">
      <c r="B272" s="136"/>
      <c r="C272" s="12"/>
      <c r="D272" s="245"/>
      <c r="E272" s="4"/>
      <c r="G272" s="254" t="s">
        <v>521</v>
      </c>
      <c r="H272" s="137" t="s">
        <v>481</v>
      </c>
    </row>
    <row r="273" spans="2:8" ht="15.75">
      <c r="B273" s="263"/>
    </row>
    <row r="274" spans="2:8">
      <c r="B274" s="262" t="s">
        <v>520</v>
      </c>
      <c r="C274" s="1303" t="s">
        <v>519</v>
      </c>
      <c r="D274" s="1303"/>
      <c r="E274" s="1303"/>
      <c r="G274" s="1303" t="s">
        <v>171</v>
      </c>
      <c r="H274" s="1303"/>
    </row>
    <row r="275" spans="2:8" ht="15" customHeight="1">
      <c r="C275" s="261"/>
      <c r="D275" s="261"/>
      <c r="E275" s="1307" t="s">
        <v>518</v>
      </c>
      <c r="G275" s="261"/>
      <c r="H275" s="1307" t="s">
        <v>517</v>
      </c>
    </row>
    <row r="276" spans="2:8">
      <c r="B276" s="136"/>
      <c r="C276" s="260" t="s">
        <v>516</v>
      </c>
      <c r="D276" s="259" t="s">
        <v>515</v>
      </c>
      <c r="E276" s="1308"/>
      <c r="G276" s="259" t="s">
        <v>515</v>
      </c>
      <c r="H276" s="1308"/>
    </row>
    <row r="277" spans="2:8">
      <c r="B277" s="136"/>
      <c r="C277" s="12">
        <v>1</v>
      </c>
      <c r="D277" s="1" t="s">
        <v>170</v>
      </c>
      <c r="E277" s="258">
        <v>0.2</v>
      </c>
      <c r="G277" s="257" t="s">
        <v>159</v>
      </c>
      <c r="H277" s="4">
        <v>1</v>
      </c>
    </row>
    <row r="278" spans="2:8">
      <c r="B278" s="136"/>
      <c r="C278" s="12">
        <v>5</v>
      </c>
      <c r="D278" s="1" t="s">
        <v>87</v>
      </c>
      <c r="E278" s="4">
        <v>0.7</v>
      </c>
      <c r="G278" s="1" t="s">
        <v>514</v>
      </c>
      <c r="H278" s="4">
        <v>0.8</v>
      </c>
    </row>
    <row r="279" spans="2:8">
      <c r="B279" s="136"/>
      <c r="C279" s="12">
        <v>6</v>
      </c>
      <c r="D279" s="1" t="s">
        <v>84</v>
      </c>
      <c r="E279" s="4">
        <v>1</v>
      </c>
      <c r="G279" s="256" t="s">
        <v>513</v>
      </c>
      <c r="H279" s="4">
        <v>0.2</v>
      </c>
    </row>
    <row r="280" spans="2:8">
      <c r="B280" s="136"/>
      <c r="C280" s="12">
        <v>7</v>
      </c>
      <c r="D280" s="1" t="s">
        <v>169</v>
      </c>
      <c r="E280" s="4">
        <v>0.65</v>
      </c>
      <c r="G280" s="1" t="s">
        <v>512</v>
      </c>
      <c r="H280" s="4">
        <v>1</v>
      </c>
    </row>
    <row r="281" spans="2:8">
      <c r="B281" s="136"/>
      <c r="C281" s="12">
        <v>8</v>
      </c>
      <c r="D281" s="1" t="s">
        <v>91</v>
      </c>
      <c r="E281" s="4">
        <v>1</v>
      </c>
      <c r="G281" s="1" t="s">
        <v>511</v>
      </c>
      <c r="H281" s="4">
        <v>1</v>
      </c>
    </row>
    <row r="282" spans="2:8">
      <c r="B282" s="136"/>
      <c r="C282" s="12">
        <v>9</v>
      </c>
      <c r="D282" s="1" t="s">
        <v>168</v>
      </c>
      <c r="E282" s="4">
        <v>0.05</v>
      </c>
      <c r="G282" s="254" t="s">
        <v>510</v>
      </c>
      <c r="H282" s="4">
        <v>1</v>
      </c>
    </row>
    <row r="283" spans="2:8">
      <c r="B283" s="136"/>
      <c r="C283" s="12">
        <v>11</v>
      </c>
      <c r="D283" s="1" t="s">
        <v>167</v>
      </c>
      <c r="E283" s="4">
        <v>0.2</v>
      </c>
      <c r="G283" s="254" t="s">
        <v>509</v>
      </c>
      <c r="H283" s="4">
        <v>1</v>
      </c>
    </row>
    <row r="284" spans="2:8">
      <c r="B284" s="136"/>
      <c r="C284" s="12">
        <v>13</v>
      </c>
      <c r="D284" s="1" t="s">
        <v>165</v>
      </c>
      <c r="E284" s="4">
        <v>0.6</v>
      </c>
      <c r="G284" s="254" t="s">
        <v>508</v>
      </c>
      <c r="H284" s="4">
        <v>0.65</v>
      </c>
    </row>
    <row r="285" spans="2:8">
      <c r="B285" s="136"/>
      <c r="C285" s="12">
        <v>14</v>
      </c>
      <c r="D285" s="1" t="s">
        <v>164</v>
      </c>
      <c r="E285" s="4">
        <v>0.75</v>
      </c>
      <c r="G285" s="254" t="s">
        <v>507</v>
      </c>
      <c r="H285" s="4">
        <v>0.4</v>
      </c>
    </row>
    <row r="286" spans="2:8">
      <c r="B286" s="136"/>
      <c r="C286" s="12">
        <v>15</v>
      </c>
      <c r="D286" s="1" t="s">
        <v>163</v>
      </c>
      <c r="E286" s="4">
        <v>0.55000000000000004</v>
      </c>
      <c r="G286" s="255" t="s">
        <v>506</v>
      </c>
      <c r="H286" s="4">
        <v>0.7</v>
      </c>
    </row>
    <row r="287" spans="2:8">
      <c r="B287" s="136"/>
      <c r="C287" s="12">
        <v>16</v>
      </c>
      <c r="D287" s="1" t="s">
        <v>162</v>
      </c>
      <c r="E287" s="4">
        <v>0.05</v>
      </c>
      <c r="G287" s="254" t="s">
        <v>505</v>
      </c>
      <c r="H287" s="4">
        <v>0.85</v>
      </c>
    </row>
    <row r="288" spans="2:8">
      <c r="B288" s="136"/>
      <c r="C288" s="12">
        <v>19</v>
      </c>
      <c r="D288" s="1" t="s">
        <v>160</v>
      </c>
      <c r="E288" s="4">
        <v>0.7</v>
      </c>
      <c r="G288" s="254" t="s">
        <v>504</v>
      </c>
      <c r="H288" s="4">
        <v>0.25</v>
      </c>
    </row>
    <row r="289" spans="2:8">
      <c r="B289" s="136"/>
      <c r="C289" s="12">
        <v>20</v>
      </c>
      <c r="D289" s="1" t="s">
        <v>159</v>
      </c>
      <c r="E289" s="4">
        <v>1</v>
      </c>
      <c r="G289" s="254" t="s">
        <v>503</v>
      </c>
      <c r="H289" s="4">
        <v>0.05</v>
      </c>
    </row>
    <row r="290" spans="2:8">
      <c r="B290" s="136"/>
      <c r="C290" s="12">
        <v>22</v>
      </c>
      <c r="D290" s="1" t="s">
        <v>158</v>
      </c>
      <c r="E290" s="4">
        <v>0.1</v>
      </c>
      <c r="G290" s="254" t="s">
        <v>502</v>
      </c>
      <c r="H290" s="4">
        <v>1</v>
      </c>
    </row>
    <row r="291" spans="2:8">
      <c r="B291" s="136"/>
      <c r="C291" s="12">
        <v>24</v>
      </c>
      <c r="D291" s="1" t="s">
        <v>157</v>
      </c>
      <c r="E291" s="4">
        <v>0.3</v>
      </c>
      <c r="G291" s="254" t="s">
        <v>51</v>
      </c>
      <c r="H291" s="4">
        <v>0.05</v>
      </c>
    </row>
    <row r="292" spans="2:8">
      <c r="B292" s="136"/>
      <c r="C292" s="12">
        <v>28</v>
      </c>
      <c r="D292" s="1" t="s">
        <v>156</v>
      </c>
      <c r="E292" s="4">
        <v>0.25</v>
      </c>
      <c r="G292" s="254" t="s">
        <v>169</v>
      </c>
      <c r="H292" s="4">
        <v>1</v>
      </c>
    </row>
    <row r="293" spans="2:8">
      <c r="B293" s="136"/>
      <c r="C293" s="12" t="s">
        <v>481</v>
      </c>
      <c r="D293" s="254" t="s">
        <v>482</v>
      </c>
      <c r="E293" s="137" t="s">
        <v>481</v>
      </c>
      <c r="G293" s="254" t="s">
        <v>501</v>
      </c>
      <c r="H293" s="4">
        <v>0.9</v>
      </c>
    </row>
    <row r="294" spans="2:8">
      <c r="B294" s="136"/>
      <c r="C294" s="12"/>
      <c r="D294" s="245"/>
      <c r="E294" s="4"/>
      <c r="G294" s="254" t="s">
        <v>500</v>
      </c>
      <c r="H294" s="4">
        <v>1</v>
      </c>
    </row>
    <row r="295" spans="2:8">
      <c r="B295" s="136"/>
      <c r="C295" s="12"/>
      <c r="D295" s="245"/>
      <c r="E295" s="4"/>
      <c r="G295" s="255" t="s">
        <v>499</v>
      </c>
      <c r="H295" s="4">
        <v>0.4</v>
      </c>
    </row>
    <row r="296" spans="2:8">
      <c r="B296" s="136"/>
      <c r="C296" s="12"/>
      <c r="D296" s="245"/>
      <c r="E296" s="4"/>
      <c r="G296" s="254" t="s">
        <v>156</v>
      </c>
      <c r="H296" s="4">
        <v>0.15</v>
      </c>
    </row>
    <row r="297" spans="2:8">
      <c r="B297" s="136"/>
      <c r="C297" s="12"/>
      <c r="D297" s="245"/>
      <c r="E297" s="4"/>
      <c r="G297" s="254" t="s">
        <v>498</v>
      </c>
      <c r="H297" s="4">
        <v>0.05</v>
      </c>
    </row>
    <row r="298" spans="2:8">
      <c r="B298" s="136"/>
      <c r="C298" s="12"/>
      <c r="D298" s="245"/>
      <c r="E298" s="4"/>
      <c r="G298" s="254" t="s">
        <v>497</v>
      </c>
      <c r="H298" s="4">
        <v>1</v>
      </c>
    </row>
    <row r="299" spans="2:8">
      <c r="B299" s="136"/>
      <c r="C299" s="12"/>
      <c r="D299" s="245"/>
      <c r="E299" s="4"/>
      <c r="G299" s="255" t="s">
        <v>496</v>
      </c>
      <c r="H299" s="4">
        <v>1</v>
      </c>
    </row>
    <row r="300" spans="2:8">
      <c r="B300" s="136"/>
      <c r="C300" s="12"/>
      <c r="D300" s="245"/>
      <c r="E300" s="4"/>
      <c r="G300" s="254" t="s">
        <v>495</v>
      </c>
      <c r="H300" s="4">
        <v>1</v>
      </c>
    </row>
    <row r="301" spans="2:8">
      <c r="B301" s="136"/>
      <c r="C301" s="12"/>
      <c r="D301" s="245"/>
      <c r="E301" s="4"/>
      <c r="G301" s="254" t="s">
        <v>494</v>
      </c>
      <c r="H301" s="4">
        <v>0.6</v>
      </c>
    </row>
    <row r="302" spans="2:8">
      <c r="B302" s="136"/>
      <c r="C302" s="12"/>
      <c r="D302" s="245"/>
      <c r="E302" s="4"/>
      <c r="G302" s="254" t="s">
        <v>493</v>
      </c>
      <c r="H302" s="4">
        <v>0.2</v>
      </c>
    </row>
    <row r="303" spans="2:8">
      <c r="B303" s="136"/>
      <c r="C303" s="12"/>
      <c r="D303" s="245"/>
      <c r="E303" s="4"/>
      <c r="G303" s="254" t="s">
        <v>492</v>
      </c>
      <c r="H303" s="4">
        <v>0.8</v>
      </c>
    </row>
    <row r="304" spans="2:8">
      <c r="B304" s="136"/>
      <c r="C304" s="12"/>
      <c r="D304" s="245"/>
      <c r="E304" s="4"/>
      <c r="G304" s="254" t="s">
        <v>491</v>
      </c>
      <c r="H304" s="4">
        <v>0.15</v>
      </c>
    </row>
    <row r="305" spans="2:8">
      <c r="B305" s="136"/>
      <c r="C305" s="12"/>
      <c r="D305" s="245"/>
      <c r="E305" s="4"/>
      <c r="G305" s="254" t="s">
        <v>161</v>
      </c>
      <c r="H305" s="4">
        <v>0.1</v>
      </c>
    </row>
    <row r="306" spans="2:8">
      <c r="B306" s="136"/>
      <c r="C306" s="12"/>
      <c r="D306" s="245"/>
      <c r="E306" s="4"/>
      <c r="G306" s="254" t="s">
        <v>490</v>
      </c>
      <c r="H306" s="4">
        <v>1</v>
      </c>
    </row>
    <row r="307" spans="2:8">
      <c r="B307" s="136"/>
      <c r="C307" s="12"/>
      <c r="D307" s="245"/>
      <c r="E307" s="4"/>
      <c r="G307" s="254" t="s">
        <v>489</v>
      </c>
      <c r="H307" s="4">
        <v>1</v>
      </c>
    </row>
    <row r="308" spans="2:8">
      <c r="B308" s="136"/>
      <c r="C308" s="12"/>
      <c r="D308" s="245"/>
      <c r="E308" s="4"/>
      <c r="G308" s="254" t="s">
        <v>488</v>
      </c>
      <c r="H308" s="4">
        <v>0.3</v>
      </c>
    </row>
    <row r="309" spans="2:8">
      <c r="B309" s="136"/>
      <c r="C309" s="12"/>
      <c r="D309" s="245"/>
      <c r="E309" s="4"/>
      <c r="G309" s="254" t="s">
        <v>487</v>
      </c>
      <c r="H309" s="4">
        <v>1</v>
      </c>
    </row>
    <row r="310" spans="2:8">
      <c r="B310" s="136"/>
      <c r="C310" s="12"/>
      <c r="D310" s="245"/>
      <c r="E310" s="4"/>
      <c r="G310" s="254" t="s">
        <v>486</v>
      </c>
      <c r="H310" s="4">
        <v>1</v>
      </c>
    </row>
    <row r="311" spans="2:8">
      <c r="B311" s="136"/>
      <c r="C311" s="12"/>
      <c r="D311" s="245"/>
      <c r="E311" s="4"/>
      <c r="G311" s="254" t="s">
        <v>485</v>
      </c>
      <c r="H311" s="4">
        <v>1</v>
      </c>
    </row>
    <row r="312" spans="2:8">
      <c r="B312" s="136"/>
      <c r="C312" s="12"/>
      <c r="D312" s="245"/>
      <c r="E312" s="4"/>
      <c r="G312" s="254" t="s">
        <v>484</v>
      </c>
      <c r="H312" s="4">
        <v>0.95</v>
      </c>
    </row>
    <row r="313" spans="2:8">
      <c r="B313" s="136"/>
      <c r="C313" s="12"/>
      <c r="D313" s="245"/>
      <c r="E313" s="4"/>
      <c r="G313" s="254" t="s">
        <v>483</v>
      </c>
      <c r="H313" s="4">
        <v>1</v>
      </c>
    </row>
    <row r="314" spans="2:8">
      <c r="B314" s="136"/>
      <c r="C314" s="12"/>
      <c r="D314" s="245"/>
      <c r="E314" s="4"/>
      <c r="G314" s="254" t="s">
        <v>482</v>
      </c>
      <c r="H314" s="137" t="s">
        <v>481</v>
      </c>
    </row>
  </sheetData>
  <mergeCells count="13">
    <mergeCell ref="G256:H256"/>
    <mergeCell ref="D139:D140"/>
    <mergeCell ref="D76:H76"/>
    <mergeCell ref="G6:K6"/>
    <mergeCell ref="E275:E276"/>
    <mergeCell ref="C274:E274"/>
    <mergeCell ref="H275:H276"/>
    <mergeCell ref="G274:H274"/>
    <mergeCell ref="E257:E258"/>
    <mergeCell ref="H257:H258"/>
    <mergeCell ref="I57:N57"/>
    <mergeCell ref="D57:H57"/>
    <mergeCell ref="C256:E256"/>
  </mergeCells>
  <pageMargins left="0.25" right="0.25" top="0.75" bottom="0.75" header="0.3" footer="0.3"/>
  <pageSetup scale="1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B1:AB244"/>
  <sheetViews>
    <sheetView zoomScale="90" zoomScaleNormal="90" workbookViewId="0">
      <selection activeCell="F156" sqref="F156"/>
    </sheetView>
  </sheetViews>
  <sheetFormatPr defaultRowHeight="15"/>
  <cols>
    <col min="1" max="1" width="2.7109375" style="72" bestFit="1" customWidth="1"/>
    <col min="2" max="2" width="46.85546875" style="72" customWidth="1"/>
    <col min="3" max="3" width="20.42578125" style="72" customWidth="1"/>
    <col min="4" max="7" width="12.7109375" style="72" customWidth="1"/>
    <col min="8" max="8" width="13.7109375" style="72" customWidth="1"/>
    <col min="9" max="9" width="12.7109375" style="72" customWidth="1"/>
    <col min="10" max="10" width="14.42578125" style="72" customWidth="1"/>
    <col min="11" max="11" width="13.7109375" style="72" customWidth="1"/>
    <col min="12" max="25" width="12.7109375" style="72" customWidth="1"/>
    <col min="26" max="16384" width="9.140625" style="72"/>
  </cols>
  <sheetData>
    <row r="1" spans="2:27" ht="15.75">
      <c r="B1" s="196" t="s">
        <v>879</v>
      </c>
      <c r="I1" s="1028" t="s">
        <v>1624</v>
      </c>
    </row>
    <row r="2" spans="2:27" s="1" customFormat="1" ht="15.75">
      <c r="B2" s="708" t="s">
        <v>878</v>
      </c>
      <c r="E2" s="254"/>
      <c r="F2" s="254"/>
      <c r="G2" s="254"/>
      <c r="H2" s="254"/>
    </row>
    <row r="3" spans="2:27" s="1" customFormat="1" ht="16.5" thickBot="1">
      <c r="B3" s="196" t="s">
        <v>470</v>
      </c>
      <c r="E3" s="254"/>
      <c r="F3" s="254"/>
      <c r="G3" s="254"/>
      <c r="H3" s="254"/>
    </row>
    <row r="4" spans="2:27" s="1" customFormat="1">
      <c r="B4" s="461"/>
      <c r="C4" s="460"/>
      <c r="D4" s="707"/>
      <c r="E4" s="1260" t="s">
        <v>420</v>
      </c>
      <c r="F4" s="1260"/>
      <c r="G4" s="1260"/>
      <c r="H4" s="1260"/>
      <c r="I4" s="1260"/>
      <c r="J4" s="458"/>
      <c r="K4" s="458"/>
      <c r="L4" s="458"/>
      <c r="M4" s="458"/>
      <c r="N4" s="458"/>
      <c r="O4" s="458"/>
      <c r="P4" s="458"/>
      <c r="Q4" s="458"/>
      <c r="R4" s="458"/>
      <c r="S4" s="458"/>
      <c r="T4" s="458"/>
      <c r="U4" s="458"/>
      <c r="V4" s="458"/>
      <c r="W4" s="458"/>
      <c r="X4" s="458"/>
      <c r="Y4" s="457"/>
    </row>
    <row r="5" spans="2:27" s="7" customFormat="1">
      <c r="B5" s="706"/>
      <c r="C5" s="607" t="s">
        <v>419</v>
      </c>
      <c r="D5" s="454">
        <v>2012</v>
      </c>
      <c r="E5" s="454">
        <f t="shared" ref="E5:Y5" si="0">D5+1</f>
        <v>2013</v>
      </c>
      <c r="F5" s="454">
        <f t="shared" si="0"/>
        <v>2014</v>
      </c>
      <c r="G5" s="454">
        <f t="shared" si="0"/>
        <v>2015</v>
      </c>
      <c r="H5" s="454">
        <f t="shared" si="0"/>
        <v>2016</v>
      </c>
      <c r="I5" s="454">
        <f t="shared" si="0"/>
        <v>2017</v>
      </c>
      <c r="J5" s="454">
        <f t="shared" si="0"/>
        <v>2018</v>
      </c>
      <c r="K5" s="454">
        <f t="shared" si="0"/>
        <v>2019</v>
      </c>
      <c r="L5" s="454">
        <f t="shared" si="0"/>
        <v>2020</v>
      </c>
      <c r="M5" s="454">
        <f t="shared" si="0"/>
        <v>2021</v>
      </c>
      <c r="N5" s="454">
        <f t="shared" si="0"/>
        <v>2022</v>
      </c>
      <c r="O5" s="454">
        <f t="shared" si="0"/>
        <v>2023</v>
      </c>
      <c r="P5" s="454">
        <f t="shared" si="0"/>
        <v>2024</v>
      </c>
      <c r="Q5" s="454">
        <f t="shared" si="0"/>
        <v>2025</v>
      </c>
      <c r="R5" s="454">
        <f t="shared" si="0"/>
        <v>2026</v>
      </c>
      <c r="S5" s="454">
        <f t="shared" si="0"/>
        <v>2027</v>
      </c>
      <c r="T5" s="454">
        <f t="shared" si="0"/>
        <v>2028</v>
      </c>
      <c r="U5" s="454">
        <f t="shared" si="0"/>
        <v>2029</v>
      </c>
      <c r="V5" s="454">
        <f t="shared" si="0"/>
        <v>2030</v>
      </c>
      <c r="W5" s="454">
        <f t="shared" si="0"/>
        <v>2031</v>
      </c>
      <c r="X5" s="454">
        <f t="shared" si="0"/>
        <v>2032</v>
      </c>
      <c r="Y5" s="1224">
        <f t="shared" si="0"/>
        <v>2033</v>
      </c>
    </row>
    <row r="6" spans="2:27" s="3" customFormat="1">
      <c r="B6" s="449"/>
      <c r="C6" s="607"/>
      <c r="D6" s="201">
        <v>0</v>
      </c>
      <c r="E6" s="201">
        <f t="shared" ref="E6:Y6" si="1">D6+1</f>
        <v>1</v>
      </c>
      <c r="F6" s="201">
        <f t="shared" si="1"/>
        <v>2</v>
      </c>
      <c r="G6" s="201">
        <f t="shared" si="1"/>
        <v>3</v>
      </c>
      <c r="H6" s="201">
        <f t="shared" si="1"/>
        <v>4</v>
      </c>
      <c r="I6" s="201">
        <f t="shared" si="1"/>
        <v>5</v>
      </c>
      <c r="J6" s="201">
        <f t="shared" si="1"/>
        <v>6</v>
      </c>
      <c r="K6" s="201">
        <f t="shared" si="1"/>
        <v>7</v>
      </c>
      <c r="L6" s="201">
        <f t="shared" si="1"/>
        <v>8</v>
      </c>
      <c r="M6" s="201">
        <f t="shared" si="1"/>
        <v>9</v>
      </c>
      <c r="N6" s="201">
        <f t="shared" si="1"/>
        <v>10</v>
      </c>
      <c r="O6" s="201">
        <f t="shared" si="1"/>
        <v>11</v>
      </c>
      <c r="P6" s="201">
        <f t="shared" si="1"/>
        <v>12</v>
      </c>
      <c r="Q6" s="201">
        <f t="shared" si="1"/>
        <v>13</v>
      </c>
      <c r="R6" s="201">
        <f t="shared" si="1"/>
        <v>14</v>
      </c>
      <c r="S6" s="201">
        <f t="shared" si="1"/>
        <v>15</v>
      </c>
      <c r="T6" s="201">
        <f t="shared" si="1"/>
        <v>16</v>
      </c>
      <c r="U6" s="201">
        <f t="shared" si="1"/>
        <v>17</v>
      </c>
      <c r="V6" s="201">
        <f t="shared" si="1"/>
        <v>18</v>
      </c>
      <c r="W6" s="201">
        <f t="shared" si="1"/>
        <v>19</v>
      </c>
      <c r="X6" s="201">
        <f t="shared" si="1"/>
        <v>20</v>
      </c>
      <c r="Y6" s="1225">
        <f t="shared" si="1"/>
        <v>21</v>
      </c>
      <c r="AA6" s="254" t="s">
        <v>877</v>
      </c>
    </row>
    <row r="7" spans="2:27" s="512" customFormat="1">
      <c r="B7" s="705"/>
      <c r="C7" s="607"/>
      <c r="D7" s="607"/>
      <c r="E7" s="704"/>
      <c r="F7" s="514"/>
      <c r="G7" s="514"/>
      <c r="H7" s="514"/>
      <c r="I7" s="514"/>
      <c r="J7" s="514"/>
      <c r="K7" s="514"/>
      <c r="L7" s="514"/>
      <c r="M7" s="521"/>
      <c r="N7" s="514"/>
      <c r="O7" s="514"/>
      <c r="P7" s="514"/>
      <c r="Q7" s="514"/>
      <c r="R7" s="514"/>
      <c r="S7" s="514"/>
      <c r="T7" s="514"/>
      <c r="U7" s="514"/>
      <c r="V7" s="514"/>
      <c r="W7" s="514"/>
      <c r="X7" s="514"/>
      <c r="Y7" s="1226"/>
      <c r="Z7" s="514"/>
      <c r="AA7" s="514"/>
    </row>
    <row r="8" spans="2:27" s="512" customFormat="1">
      <c r="B8" s="693" t="s">
        <v>876</v>
      </c>
      <c r="C8" s="72" t="s">
        <v>693</v>
      </c>
      <c r="D8" s="703">
        <f t="shared" ref="D8:Y8" si="2">D9+D12</f>
        <v>0</v>
      </c>
      <c r="E8" s="703">
        <f t="shared" si="2"/>
        <v>0</v>
      </c>
      <c r="F8" s="702">
        <f t="shared" si="2"/>
        <v>0</v>
      </c>
      <c r="G8" s="702">
        <f t="shared" si="2"/>
        <v>1.5677892586820796</v>
      </c>
      <c r="H8" s="702">
        <f t="shared" si="2"/>
        <v>8.0529683174242308</v>
      </c>
      <c r="I8" s="702">
        <f t="shared" si="2"/>
        <v>19.854800773706987</v>
      </c>
      <c r="J8" s="702">
        <f t="shared" si="2"/>
        <v>32.295067010079279</v>
      </c>
      <c r="K8" s="702">
        <f t="shared" si="2"/>
        <v>34.922947107113501</v>
      </c>
      <c r="L8" s="702">
        <f t="shared" si="2"/>
        <v>35.876427274553294</v>
      </c>
      <c r="M8" s="702">
        <f t="shared" si="2"/>
        <v>36.855939736086498</v>
      </c>
      <c r="N8" s="702">
        <f t="shared" si="2"/>
        <v>37.862195235742099</v>
      </c>
      <c r="O8" s="702">
        <f t="shared" si="2"/>
        <v>38.895923922564762</v>
      </c>
      <c r="P8" s="702">
        <f t="shared" si="2"/>
        <v>39.957875880418229</v>
      </c>
      <c r="Q8" s="702">
        <f t="shared" si="2"/>
        <v>41.048821672253752</v>
      </c>
      <c r="R8" s="702">
        <f t="shared" si="2"/>
        <v>42.169552899238155</v>
      </c>
      <c r="S8" s="702">
        <f t="shared" si="2"/>
        <v>43.320882775147652</v>
      </c>
      <c r="T8" s="702">
        <f t="shared" si="2"/>
        <v>44.503646716443825</v>
      </c>
      <c r="U8" s="702">
        <f t="shared" si="2"/>
        <v>45.718702948460205</v>
      </c>
      <c r="V8" s="702">
        <f t="shared" si="2"/>
        <v>46.966933128139082</v>
      </c>
      <c r="W8" s="702">
        <f t="shared" si="2"/>
        <v>48.249242983770657</v>
      </c>
      <c r="X8" s="702">
        <f t="shared" si="2"/>
        <v>49.566562972198497</v>
      </c>
      <c r="Y8" s="1227">
        <f t="shared" si="2"/>
        <v>50.919848953968369</v>
      </c>
      <c r="Z8" s="513"/>
      <c r="AA8" s="702">
        <f>NPV(0.1,F8:Y8)</f>
        <v>232.28443012869312</v>
      </c>
    </row>
    <row r="9" spans="2:27" s="512" customFormat="1">
      <c r="B9" s="612" t="s">
        <v>802</v>
      </c>
      <c r="C9" s="72" t="s">
        <v>693</v>
      </c>
      <c r="D9" s="702">
        <f t="shared" ref="D9:Y9" si="3">SUM(D10:D11)</f>
        <v>0</v>
      </c>
      <c r="E9" s="702">
        <f t="shared" si="3"/>
        <v>0</v>
      </c>
      <c r="F9" s="702">
        <f t="shared" si="3"/>
        <v>0</v>
      </c>
      <c r="G9" s="702">
        <f t="shared" si="3"/>
        <v>0.34019962522620956</v>
      </c>
      <c r="H9" s="702">
        <f t="shared" si="3"/>
        <v>1.7474394523210659</v>
      </c>
      <c r="I9" s="702">
        <f t="shared" si="3"/>
        <v>4.3083569712897765</v>
      </c>
      <c r="J9" s="702">
        <f t="shared" si="3"/>
        <v>7.0078102861350287</v>
      </c>
      <c r="K9" s="702">
        <f t="shared" si="3"/>
        <v>7.578042426200831</v>
      </c>
      <c r="L9" s="702">
        <f t="shared" si="3"/>
        <v>7.7849411492449692</v>
      </c>
      <c r="M9" s="702">
        <f t="shared" si="3"/>
        <v>7.9974887033710402</v>
      </c>
      <c r="N9" s="702">
        <f t="shared" si="3"/>
        <v>8.2158393152079974</v>
      </c>
      <c r="O9" s="702">
        <f t="shared" si="3"/>
        <v>8.4401514221414775</v>
      </c>
      <c r="P9" s="702">
        <f t="shared" si="3"/>
        <v>8.6705877872774941</v>
      </c>
      <c r="Q9" s="702">
        <f t="shared" si="3"/>
        <v>8.9073156175450308</v>
      </c>
      <c r="R9" s="702">
        <f t="shared" si="3"/>
        <v>9.1505066850230072</v>
      </c>
      <c r="S9" s="702">
        <f t="shared" si="3"/>
        <v>9.4003374515798619</v>
      </c>
      <c r="T9" s="702">
        <f t="shared" si="3"/>
        <v>9.6569891969160171</v>
      </c>
      <c r="U9" s="702">
        <f t="shared" si="3"/>
        <v>9.9206481501022541</v>
      </c>
      <c r="V9" s="702">
        <f t="shared" si="3"/>
        <v>10.191505624709379</v>
      </c>
      <c r="W9" s="702">
        <f t="shared" si="3"/>
        <v>10.469758157627265</v>
      </c>
      <c r="X9" s="702">
        <f t="shared" si="3"/>
        <v>10.755607651673973</v>
      </c>
      <c r="Y9" s="1227">
        <f t="shared" si="3"/>
        <v>11.049261522098501</v>
      </c>
      <c r="Z9" s="514"/>
      <c r="AA9" s="513"/>
    </row>
    <row r="10" spans="2:27" s="512" customFormat="1">
      <c r="B10" s="695" t="s">
        <v>801</v>
      </c>
      <c r="C10" s="72" t="s">
        <v>693</v>
      </c>
      <c r="D10" s="702">
        <f t="shared" ref="D10:Y10" si="4">-(D56-D35)*D$18</f>
        <v>0</v>
      </c>
      <c r="E10" s="702">
        <f t="shared" si="4"/>
        <v>0</v>
      </c>
      <c r="F10" s="702">
        <f t="shared" si="4"/>
        <v>0</v>
      </c>
      <c r="G10" s="702">
        <f t="shared" si="4"/>
        <v>0.13880542531585399</v>
      </c>
      <c r="H10" s="702">
        <f t="shared" si="4"/>
        <v>0.7129757307399931</v>
      </c>
      <c r="I10" s="702">
        <f t="shared" si="4"/>
        <v>1.7578600253153034</v>
      </c>
      <c r="J10" s="702">
        <f t="shared" si="4"/>
        <v>2.8592685446169854</v>
      </c>
      <c r="K10" s="702">
        <f t="shared" si="4"/>
        <v>3.0919299259397128</v>
      </c>
      <c r="L10" s="702">
        <f t="shared" si="4"/>
        <v>3.1763470243722942</v>
      </c>
      <c r="M10" s="702">
        <f t="shared" si="4"/>
        <v>3.2630689119425611</v>
      </c>
      <c r="N10" s="702">
        <f t="shared" si="4"/>
        <v>3.3521585149186137</v>
      </c>
      <c r="O10" s="702">
        <f t="shared" si="4"/>
        <v>3.4436804776065344</v>
      </c>
      <c r="P10" s="702">
        <f t="shared" si="4"/>
        <v>3.5377012092568876</v>
      </c>
      <c r="Q10" s="702">
        <f t="shared" si="4"/>
        <v>3.6342889322519838</v>
      </c>
      <c r="R10" s="702">
        <f t="shared" si="4"/>
        <v>3.7335137316086886</v>
      </c>
      <c r="S10" s="702">
        <f t="shared" si="4"/>
        <v>3.8354476058328331</v>
      </c>
      <c r="T10" s="702">
        <f t="shared" si="4"/>
        <v>3.9401645191620389</v>
      </c>
      <c r="U10" s="702">
        <f t="shared" si="4"/>
        <v>4.0477404552349086</v>
      </c>
      <c r="V10" s="702">
        <f t="shared" si="4"/>
        <v>4.1582534722255104</v>
      </c>
      <c r="W10" s="702">
        <f t="shared" si="4"/>
        <v>4.2717837594831778</v>
      </c>
      <c r="X10" s="702">
        <f t="shared" si="4"/>
        <v>4.3884136957186755</v>
      </c>
      <c r="Y10" s="1227">
        <f t="shared" si="4"/>
        <v>4.5082279087790837</v>
      </c>
      <c r="Z10" s="514"/>
      <c r="AA10" s="513"/>
    </row>
    <row r="11" spans="2:27" s="512" customFormat="1">
      <c r="B11" s="690" t="s">
        <v>800</v>
      </c>
      <c r="C11" s="72" t="s">
        <v>693</v>
      </c>
      <c r="D11" s="702">
        <f t="shared" ref="D11:Y11" si="5">-(D57-D36)*D$18</f>
        <v>0</v>
      </c>
      <c r="E11" s="702">
        <f t="shared" si="5"/>
        <v>0</v>
      </c>
      <c r="F11" s="702">
        <f t="shared" si="5"/>
        <v>0</v>
      </c>
      <c r="G11" s="702">
        <f t="shared" si="5"/>
        <v>0.20139419991035556</v>
      </c>
      <c r="H11" s="702">
        <f t="shared" si="5"/>
        <v>1.0344637215810728</v>
      </c>
      <c r="I11" s="702">
        <f t="shared" si="5"/>
        <v>2.5504969459744733</v>
      </c>
      <c r="J11" s="702">
        <f t="shared" si="5"/>
        <v>4.1485417415180432</v>
      </c>
      <c r="K11" s="702">
        <f t="shared" si="5"/>
        <v>4.4861125002611182</v>
      </c>
      <c r="L11" s="702">
        <f t="shared" si="5"/>
        <v>4.6085941248726749</v>
      </c>
      <c r="M11" s="702">
        <f t="shared" si="5"/>
        <v>4.7344197914284791</v>
      </c>
      <c r="N11" s="702">
        <f t="shared" si="5"/>
        <v>4.8636808002893837</v>
      </c>
      <c r="O11" s="702">
        <f t="shared" si="5"/>
        <v>4.9964709445349431</v>
      </c>
      <c r="P11" s="702">
        <f t="shared" si="5"/>
        <v>5.1328865780206074</v>
      </c>
      <c r="Q11" s="702">
        <f t="shared" si="5"/>
        <v>5.2730266852930461</v>
      </c>
      <c r="R11" s="702">
        <f t="shared" si="5"/>
        <v>5.4169929534143186</v>
      </c>
      <c r="S11" s="702">
        <f t="shared" si="5"/>
        <v>5.5648898457470279</v>
      </c>
      <c r="T11" s="702">
        <f t="shared" si="5"/>
        <v>5.7168246777539782</v>
      </c>
      <c r="U11" s="702">
        <f t="shared" si="5"/>
        <v>5.8729076948673455</v>
      </c>
      <c r="V11" s="702">
        <f t="shared" si="5"/>
        <v>6.0332521524838674</v>
      </c>
      <c r="W11" s="702">
        <f t="shared" si="5"/>
        <v>6.1979743981440878</v>
      </c>
      <c r="X11" s="702">
        <f t="shared" si="5"/>
        <v>6.3671939559552966</v>
      </c>
      <c r="Y11" s="1227">
        <f t="shared" si="5"/>
        <v>6.5410336133194171</v>
      </c>
      <c r="Z11" s="513"/>
      <c r="AA11" s="513"/>
    </row>
    <row r="12" spans="2:27" s="512" customFormat="1">
      <c r="B12" s="612" t="s">
        <v>799</v>
      </c>
      <c r="C12" s="72" t="s">
        <v>693</v>
      </c>
      <c r="D12" s="702">
        <f t="shared" ref="D12:Y12" si="6">SUM(D13:D15)</f>
        <v>0</v>
      </c>
      <c r="E12" s="702">
        <f t="shared" si="6"/>
        <v>0</v>
      </c>
      <c r="F12" s="702">
        <f t="shared" si="6"/>
        <v>0</v>
      </c>
      <c r="G12" s="702">
        <f t="shared" si="6"/>
        <v>1.22758963345587</v>
      </c>
      <c r="H12" s="702">
        <f t="shared" si="6"/>
        <v>6.3055288651031658</v>
      </c>
      <c r="I12" s="702">
        <f t="shared" si="6"/>
        <v>15.54644380241721</v>
      </c>
      <c r="J12" s="702">
        <f t="shared" si="6"/>
        <v>25.287256723944253</v>
      </c>
      <c r="K12" s="702">
        <f t="shared" si="6"/>
        <v>27.34490468091267</v>
      </c>
      <c r="L12" s="702">
        <f t="shared" si="6"/>
        <v>28.091486125308322</v>
      </c>
      <c r="M12" s="702">
        <f t="shared" si="6"/>
        <v>28.858451032715461</v>
      </c>
      <c r="N12" s="702">
        <f t="shared" si="6"/>
        <v>29.646355920534102</v>
      </c>
      <c r="O12" s="702">
        <f t="shared" si="6"/>
        <v>30.455772500423283</v>
      </c>
      <c r="P12" s="702">
        <f t="shared" si="6"/>
        <v>31.287288093140738</v>
      </c>
      <c r="Q12" s="702">
        <f t="shared" si="6"/>
        <v>32.141506054708721</v>
      </c>
      <c r="R12" s="702">
        <f t="shared" si="6"/>
        <v>33.019046214215145</v>
      </c>
      <c r="S12" s="702">
        <f t="shared" si="6"/>
        <v>33.920545323567787</v>
      </c>
      <c r="T12" s="702">
        <f t="shared" si="6"/>
        <v>34.84665751952781</v>
      </c>
      <c r="U12" s="702">
        <f t="shared" si="6"/>
        <v>35.798054798357953</v>
      </c>
      <c r="V12" s="702">
        <f t="shared" si="6"/>
        <v>36.775427503429704</v>
      </c>
      <c r="W12" s="702">
        <f t="shared" si="6"/>
        <v>37.779484826143396</v>
      </c>
      <c r="X12" s="702">
        <f t="shared" si="6"/>
        <v>38.810955320524528</v>
      </c>
      <c r="Y12" s="1227">
        <f t="shared" si="6"/>
        <v>39.870587431869865</v>
      </c>
      <c r="Z12" s="513"/>
      <c r="AA12" s="513"/>
    </row>
    <row r="13" spans="2:27" s="512" customFormat="1">
      <c r="B13" s="695" t="s">
        <v>798</v>
      </c>
      <c r="C13" s="72" t="s">
        <v>693</v>
      </c>
      <c r="D13" s="702">
        <f t="shared" ref="D13:Y13" si="7">-(D59-D38)*D$18</f>
        <v>0</v>
      </c>
      <c r="E13" s="702">
        <f t="shared" si="7"/>
        <v>0</v>
      </c>
      <c r="F13" s="702">
        <f t="shared" si="7"/>
        <v>0</v>
      </c>
      <c r="G13" s="702">
        <f t="shared" si="7"/>
        <v>0.13687534140260366</v>
      </c>
      <c r="H13" s="702">
        <f t="shared" si="7"/>
        <v>0.70306183158721947</v>
      </c>
      <c r="I13" s="702">
        <f t="shared" si="7"/>
        <v>1.7334170516427245</v>
      </c>
      <c r="J13" s="702">
        <f t="shared" si="7"/>
        <v>2.8195105293299783</v>
      </c>
      <c r="K13" s="702">
        <f t="shared" si="7"/>
        <v>3.0489367634075286</v>
      </c>
      <c r="L13" s="702">
        <f t="shared" si="7"/>
        <v>3.1321800454470043</v>
      </c>
      <c r="M13" s="702">
        <f t="shared" si="7"/>
        <v>3.2176960686229563</v>
      </c>
      <c r="N13" s="702">
        <f t="shared" si="7"/>
        <v>3.3055468842162377</v>
      </c>
      <c r="O13" s="702">
        <f t="shared" si="7"/>
        <v>3.3957962376564161</v>
      </c>
      <c r="P13" s="702">
        <f t="shared" si="7"/>
        <v>3.4885096147760866</v>
      </c>
      <c r="Q13" s="702">
        <f t="shared" si="7"/>
        <v>3.5837542893280361</v>
      </c>
      <c r="R13" s="702">
        <f t="shared" si="7"/>
        <v>3.6815993717997717</v>
      </c>
      <c r="S13" s="702">
        <f t="shared" si="7"/>
        <v>3.7821158595607631</v>
      </c>
      <c r="T13" s="702">
        <f t="shared" si="7"/>
        <v>3.8853766883788499</v>
      </c>
      <c r="U13" s="702">
        <f t="shared" si="7"/>
        <v>3.9914567853431624</v>
      </c>
      <c r="V13" s="702">
        <f t="shared" si="7"/>
        <v>4.1004331232319675</v>
      </c>
      <c r="W13" s="702">
        <f t="shared" si="7"/>
        <v>4.2123847763648872</v>
      </c>
      <c r="X13" s="702">
        <f t="shared" si="7"/>
        <v>4.3273929779800131</v>
      </c>
      <c r="Y13" s="1227">
        <f t="shared" si="7"/>
        <v>4.4455411791775497</v>
      </c>
      <c r="Z13" s="513"/>
      <c r="AA13" s="513"/>
    </row>
    <row r="14" spans="2:27" s="512" customFormat="1">
      <c r="B14" s="695" t="s">
        <v>797</v>
      </c>
      <c r="C14" s="72" t="s">
        <v>693</v>
      </c>
      <c r="D14" s="702">
        <f t="shared" ref="D14:Y14" si="8">-(D60-D39)*D$18</f>
        <v>0</v>
      </c>
      <c r="E14" s="702">
        <f t="shared" si="8"/>
        <v>0</v>
      </c>
      <c r="F14" s="702">
        <f t="shared" si="8"/>
        <v>0</v>
      </c>
      <c r="G14" s="702">
        <f t="shared" si="8"/>
        <v>1.0907142920532664</v>
      </c>
      <c r="H14" s="702">
        <f>-(H60-H39)*H$18</f>
        <v>5.6024670335159463</v>
      </c>
      <c r="I14" s="702">
        <f t="shared" si="8"/>
        <v>13.813026750774485</v>
      </c>
      <c r="J14" s="702">
        <f t="shared" si="8"/>
        <v>22.467746194614275</v>
      </c>
      <c r="K14" s="702">
        <f t="shared" si="8"/>
        <v>24.295967917505141</v>
      </c>
      <c r="L14" s="702">
        <f t="shared" si="8"/>
        <v>24.959306079861317</v>
      </c>
      <c r="M14" s="702">
        <f t="shared" si="8"/>
        <v>25.640754964092505</v>
      </c>
      <c r="N14" s="702">
        <f t="shared" si="8"/>
        <v>26.340809036317864</v>
      </c>
      <c r="O14" s="702">
        <f t="shared" si="8"/>
        <v>27.059976262766867</v>
      </c>
      <c r="P14" s="702">
        <f t="shared" si="8"/>
        <v>27.798778478364653</v>
      </c>
      <c r="Q14" s="702">
        <f t="shared" si="8"/>
        <v>28.557751765380686</v>
      </c>
      <c r="R14" s="702">
        <f t="shared" si="8"/>
        <v>29.337446842415375</v>
      </c>
      <c r="S14" s="702">
        <f t="shared" si="8"/>
        <v>30.138429464007025</v>
      </c>
      <c r="T14" s="702">
        <f t="shared" si="8"/>
        <v>30.961280831148962</v>
      </c>
      <c r="U14" s="702">
        <f t="shared" si="8"/>
        <v>31.806598013014789</v>
      </c>
      <c r="V14" s="702">
        <f t="shared" si="8"/>
        <v>32.674994380197738</v>
      </c>
      <c r="W14" s="702">
        <f t="shared" si="8"/>
        <v>33.56710004977851</v>
      </c>
      <c r="X14" s="702">
        <f t="shared" si="8"/>
        <v>34.483562342544516</v>
      </c>
      <c r="Y14" s="1227">
        <f t="shared" si="8"/>
        <v>35.425046252692312</v>
      </c>
      <c r="Z14" s="513"/>
      <c r="AA14" s="513"/>
    </row>
    <row r="15" spans="2:27" s="512" customFormat="1">
      <c r="B15" s="690" t="s">
        <v>573</v>
      </c>
      <c r="C15" s="72" t="s">
        <v>693</v>
      </c>
      <c r="D15" s="702">
        <f t="shared" ref="D15:Y15" si="9">-(D61-D40)*D$18</f>
        <v>0</v>
      </c>
      <c r="E15" s="702">
        <f t="shared" si="9"/>
        <v>0</v>
      </c>
      <c r="F15" s="702">
        <f t="shared" si="9"/>
        <v>0</v>
      </c>
      <c r="G15" s="702">
        <f t="shared" si="9"/>
        <v>0</v>
      </c>
      <c r="H15" s="702">
        <f t="shared" si="9"/>
        <v>0</v>
      </c>
      <c r="I15" s="702">
        <f t="shared" si="9"/>
        <v>0</v>
      </c>
      <c r="J15" s="702">
        <f t="shared" si="9"/>
        <v>0</v>
      </c>
      <c r="K15" s="702">
        <f t="shared" si="9"/>
        <v>0</v>
      </c>
      <c r="L15" s="702">
        <f t="shared" si="9"/>
        <v>0</v>
      </c>
      <c r="M15" s="702">
        <f t="shared" si="9"/>
        <v>0</v>
      </c>
      <c r="N15" s="702">
        <f t="shared" si="9"/>
        <v>0</v>
      </c>
      <c r="O15" s="702">
        <f t="shared" si="9"/>
        <v>0</v>
      </c>
      <c r="P15" s="702">
        <f t="shared" si="9"/>
        <v>0</v>
      </c>
      <c r="Q15" s="702">
        <f t="shared" si="9"/>
        <v>0</v>
      </c>
      <c r="R15" s="702">
        <f t="shared" si="9"/>
        <v>0</v>
      </c>
      <c r="S15" s="702">
        <f t="shared" si="9"/>
        <v>0</v>
      </c>
      <c r="T15" s="702">
        <f t="shared" si="9"/>
        <v>0</v>
      </c>
      <c r="U15" s="702">
        <f t="shared" si="9"/>
        <v>0</v>
      </c>
      <c r="V15" s="702">
        <f t="shared" si="9"/>
        <v>0</v>
      </c>
      <c r="W15" s="702">
        <f t="shared" si="9"/>
        <v>0</v>
      </c>
      <c r="X15" s="702">
        <f t="shared" si="9"/>
        <v>0</v>
      </c>
      <c r="Y15" s="1227">
        <f t="shared" si="9"/>
        <v>0</v>
      </c>
      <c r="Z15" s="513"/>
      <c r="AA15" s="513"/>
    </row>
    <row r="16" spans="2:27" s="512" customFormat="1">
      <c r="B16" s="612"/>
      <c r="C16" s="72"/>
      <c r="D16" s="701">
        <f>NPV(0.1,D14:X14)</f>
        <v>129.20252915838884</v>
      </c>
      <c r="E16" s="701"/>
      <c r="F16" s="701"/>
      <c r="G16" s="701"/>
      <c r="H16" s="701"/>
      <c r="I16" s="701"/>
      <c r="J16" s="701"/>
      <c r="K16" s="701"/>
      <c r="L16" s="701"/>
      <c r="M16" s="701"/>
      <c r="N16" s="701"/>
      <c r="O16" s="701"/>
      <c r="P16" s="701"/>
      <c r="Q16" s="701"/>
      <c r="R16" s="701"/>
      <c r="S16" s="701"/>
      <c r="T16" s="701"/>
      <c r="U16" s="701"/>
      <c r="V16" s="701"/>
      <c r="W16" s="701"/>
      <c r="X16" s="701"/>
      <c r="Y16" s="1228"/>
      <c r="Z16" s="513"/>
      <c r="AA16" s="513"/>
    </row>
    <row r="17" spans="2:28" s="512" customFormat="1">
      <c r="B17" s="442" t="s">
        <v>416</v>
      </c>
      <c r="C17" s="204" t="s">
        <v>227</v>
      </c>
      <c r="D17" s="211">
        <v>0</v>
      </c>
      <c r="E17" s="211">
        <f>D17</f>
        <v>0</v>
      </c>
      <c r="F17" s="211">
        <f>E17</f>
        <v>0</v>
      </c>
      <c r="G17" s="211">
        <f>Assumptions!E41</f>
        <v>0.05</v>
      </c>
      <c r="H17" s="211">
        <f>Assumptions!F41</f>
        <v>0.2</v>
      </c>
      <c r="I17" s="211">
        <f>Assumptions!G41</f>
        <v>0.35</v>
      </c>
      <c r="J17" s="211">
        <f>Assumptions!H41</f>
        <v>0.35</v>
      </c>
      <c r="K17" s="211">
        <f>Assumptions!I41</f>
        <v>0.05</v>
      </c>
      <c r="L17" s="211">
        <v>0</v>
      </c>
      <c r="M17" s="211">
        <v>0</v>
      </c>
      <c r="N17" s="211">
        <v>0</v>
      </c>
      <c r="O17" s="211">
        <v>0</v>
      </c>
      <c r="P17" s="211">
        <v>0</v>
      </c>
      <c r="Q17" s="211">
        <v>0</v>
      </c>
      <c r="R17" s="211">
        <v>0</v>
      </c>
      <c r="S17" s="211">
        <v>0</v>
      </c>
      <c r="T17" s="211">
        <v>0</v>
      </c>
      <c r="U17" s="211">
        <v>0</v>
      </c>
      <c r="V17" s="211">
        <v>0</v>
      </c>
      <c r="W17" s="211">
        <v>0</v>
      </c>
      <c r="X17" s="211">
        <v>0</v>
      </c>
      <c r="Y17" s="1229">
        <v>0</v>
      </c>
      <c r="Z17" s="513"/>
      <c r="AA17" s="513"/>
    </row>
    <row r="18" spans="2:28" ht="15.75" thickBot="1">
      <c r="B18" s="180" t="s">
        <v>387</v>
      </c>
      <c r="C18" s="700" t="s">
        <v>227</v>
      </c>
      <c r="D18" s="699">
        <f>D17</f>
        <v>0</v>
      </c>
      <c r="E18" s="698">
        <f t="shared" ref="E18:Y18" si="10">D18+E17</f>
        <v>0</v>
      </c>
      <c r="F18" s="698">
        <f t="shared" si="10"/>
        <v>0</v>
      </c>
      <c r="G18" s="698">
        <f t="shared" si="10"/>
        <v>0.05</v>
      </c>
      <c r="H18" s="698">
        <f t="shared" si="10"/>
        <v>0.25</v>
      </c>
      <c r="I18" s="698">
        <f t="shared" si="10"/>
        <v>0.6</v>
      </c>
      <c r="J18" s="698">
        <f t="shared" si="10"/>
        <v>0.95</v>
      </c>
      <c r="K18" s="698">
        <f t="shared" si="10"/>
        <v>1</v>
      </c>
      <c r="L18" s="698">
        <f t="shared" si="10"/>
        <v>1</v>
      </c>
      <c r="M18" s="698">
        <f t="shared" si="10"/>
        <v>1</v>
      </c>
      <c r="N18" s="698">
        <f t="shared" si="10"/>
        <v>1</v>
      </c>
      <c r="O18" s="698">
        <f t="shared" si="10"/>
        <v>1</v>
      </c>
      <c r="P18" s="698">
        <f t="shared" si="10"/>
        <v>1</v>
      </c>
      <c r="Q18" s="698">
        <f t="shared" si="10"/>
        <v>1</v>
      </c>
      <c r="R18" s="698">
        <f t="shared" si="10"/>
        <v>1</v>
      </c>
      <c r="S18" s="698">
        <f t="shared" si="10"/>
        <v>1</v>
      </c>
      <c r="T18" s="698">
        <f t="shared" si="10"/>
        <v>1</v>
      </c>
      <c r="U18" s="698">
        <f t="shared" si="10"/>
        <v>1</v>
      </c>
      <c r="V18" s="698">
        <f t="shared" si="10"/>
        <v>1</v>
      </c>
      <c r="W18" s="698">
        <f t="shared" si="10"/>
        <v>1</v>
      </c>
      <c r="X18" s="698">
        <f t="shared" si="10"/>
        <v>1</v>
      </c>
      <c r="Y18" s="1230">
        <f t="shared" si="10"/>
        <v>1</v>
      </c>
      <c r="AB18" s="72" t="s">
        <v>80</v>
      </c>
    </row>
    <row r="19" spans="2:28">
      <c r="B19" s="356"/>
      <c r="C19" s="205"/>
    </row>
    <row r="20" spans="2:28" ht="16.5" thickBot="1">
      <c r="B20" s="697" t="s">
        <v>875</v>
      </c>
      <c r="C20" s="205"/>
    </row>
    <row r="21" spans="2:28">
      <c r="B21" s="121" t="s">
        <v>390</v>
      </c>
      <c r="C21" s="535"/>
      <c r="D21" s="535"/>
      <c r="E21" s="535"/>
      <c r="F21" s="535"/>
      <c r="G21" s="535"/>
      <c r="H21" s="535"/>
      <c r="I21" s="535"/>
      <c r="J21" s="535"/>
      <c r="K21" s="535"/>
      <c r="L21" s="535"/>
      <c r="M21" s="535"/>
      <c r="N21" s="535"/>
      <c r="O21" s="535"/>
      <c r="P21" s="535"/>
      <c r="Q21" s="535"/>
      <c r="R21" s="535"/>
      <c r="S21" s="535"/>
      <c r="T21" s="535"/>
      <c r="U21" s="535"/>
      <c r="V21" s="535"/>
      <c r="W21" s="535"/>
      <c r="X21" s="535"/>
      <c r="Y21" s="696"/>
    </row>
    <row r="22" spans="2:28">
      <c r="B22" s="693" t="s">
        <v>872</v>
      </c>
      <c r="D22" s="692">
        <f t="shared" ref="D22:Y22" si="11">D23+D26</f>
        <v>67.969719340857907</v>
      </c>
      <c r="E22" s="692">
        <f t="shared" si="11"/>
        <v>67.969719340857907</v>
      </c>
      <c r="F22" s="692">
        <f t="shared" si="11"/>
        <v>67.969719340857907</v>
      </c>
      <c r="G22" s="692">
        <f t="shared" si="11"/>
        <v>67.969719340857907</v>
      </c>
      <c r="H22" s="692">
        <f t="shared" si="11"/>
        <v>67.969719340857907</v>
      </c>
      <c r="I22" s="692">
        <f t="shared" si="11"/>
        <v>67.969719340857907</v>
      </c>
      <c r="J22" s="692">
        <f t="shared" si="11"/>
        <v>67.969719340857907</v>
      </c>
      <c r="K22" s="692">
        <f t="shared" si="11"/>
        <v>67.969719340857907</v>
      </c>
      <c r="L22" s="692">
        <f t="shared" si="11"/>
        <v>67.969719340857907</v>
      </c>
      <c r="M22" s="692">
        <f t="shared" si="11"/>
        <v>67.969719340857907</v>
      </c>
      <c r="N22" s="692">
        <f t="shared" si="11"/>
        <v>67.969719340857907</v>
      </c>
      <c r="O22" s="692">
        <f t="shared" si="11"/>
        <v>67.969719340857907</v>
      </c>
      <c r="P22" s="692">
        <f t="shared" si="11"/>
        <v>67.969719340857907</v>
      </c>
      <c r="Q22" s="692">
        <f t="shared" si="11"/>
        <v>67.969719340857907</v>
      </c>
      <c r="R22" s="692">
        <f t="shared" si="11"/>
        <v>67.969719340857907</v>
      </c>
      <c r="S22" s="692">
        <f t="shared" si="11"/>
        <v>67.969719340857907</v>
      </c>
      <c r="T22" s="692">
        <f t="shared" si="11"/>
        <v>67.969719340857907</v>
      </c>
      <c r="U22" s="692">
        <f t="shared" si="11"/>
        <v>67.969719340857907</v>
      </c>
      <c r="V22" s="692">
        <f t="shared" si="11"/>
        <v>67.969719340857907</v>
      </c>
      <c r="W22" s="692">
        <f t="shared" si="11"/>
        <v>67.969719340857907</v>
      </c>
      <c r="X22" s="692">
        <f t="shared" si="11"/>
        <v>67.969719340857907</v>
      </c>
      <c r="Y22" s="1220">
        <f t="shared" si="11"/>
        <v>67.969719340857907</v>
      </c>
    </row>
    <row r="23" spans="2:28">
      <c r="B23" s="612" t="s">
        <v>802</v>
      </c>
      <c r="C23" s="206" t="s">
        <v>871</v>
      </c>
      <c r="D23" s="691">
        <f t="shared" ref="D23:Y23" si="12">SUM(D24:D25)</f>
        <v>34.78805328219125</v>
      </c>
      <c r="E23" s="691">
        <f t="shared" si="12"/>
        <v>34.78805328219125</v>
      </c>
      <c r="F23" s="691">
        <f t="shared" si="12"/>
        <v>34.78805328219125</v>
      </c>
      <c r="G23" s="691">
        <f t="shared" si="12"/>
        <v>34.78805328219125</v>
      </c>
      <c r="H23" s="691">
        <f t="shared" si="12"/>
        <v>34.78805328219125</v>
      </c>
      <c r="I23" s="691">
        <f t="shared" si="12"/>
        <v>34.78805328219125</v>
      </c>
      <c r="J23" s="691">
        <f t="shared" si="12"/>
        <v>34.78805328219125</v>
      </c>
      <c r="K23" s="691">
        <f t="shared" si="12"/>
        <v>34.78805328219125</v>
      </c>
      <c r="L23" s="691">
        <f t="shared" si="12"/>
        <v>34.78805328219125</v>
      </c>
      <c r="M23" s="691">
        <f t="shared" si="12"/>
        <v>34.78805328219125</v>
      </c>
      <c r="N23" s="691">
        <f t="shared" si="12"/>
        <v>34.78805328219125</v>
      </c>
      <c r="O23" s="691">
        <f t="shared" si="12"/>
        <v>34.78805328219125</v>
      </c>
      <c r="P23" s="691">
        <f t="shared" si="12"/>
        <v>34.78805328219125</v>
      </c>
      <c r="Q23" s="691">
        <f t="shared" si="12"/>
        <v>34.78805328219125</v>
      </c>
      <c r="R23" s="691">
        <f t="shared" si="12"/>
        <v>34.78805328219125</v>
      </c>
      <c r="S23" s="691">
        <f t="shared" si="12"/>
        <v>34.78805328219125</v>
      </c>
      <c r="T23" s="691">
        <f t="shared" si="12"/>
        <v>34.78805328219125</v>
      </c>
      <c r="U23" s="691">
        <f t="shared" si="12"/>
        <v>34.78805328219125</v>
      </c>
      <c r="V23" s="691">
        <f t="shared" si="12"/>
        <v>34.78805328219125</v>
      </c>
      <c r="W23" s="691">
        <f t="shared" si="12"/>
        <v>34.78805328219125</v>
      </c>
      <c r="X23" s="691">
        <f t="shared" si="12"/>
        <v>34.78805328219125</v>
      </c>
      <c r="Y23" s="1221">
        <f t="shared" si="12"/>
        <v>34.78805328219125</v>
      </c>
    </row>
    <row r="24" spans="2:28">
      <c r="B24" s="695" t="s">
        <v>801</v>
      </c>
      <c r="C24" s="206" t="s">
        <v>871</v>
      </c>
      <c r="D24" s="691">
        <f t="shared" ref="D24:Y24" si="13">D192*$D$80/1000000</f>
        <v>30.734185823925376</v>
      </c>
      <c r="E24" s="691">
        <f t="shared" si="13"/>
        <v>30.734185823925376</v>
      </c>
      <c r="F24" s="691">
        <f t="shared" si="13"/>
        <v>30.734185823925376</v>
      </c>
      <c r="G24" s="691">
        <f t="shared" si="13"/>
        <v>30.734185823925376</v>
      </c>
      <c r="H24" s="691">
        <f t="shared" si="13"/>
        <v>30.734185823925376</v>
      </c>
      <c r="I24" s="691">
        <f t="shared" si="13"/>
        <v>30.734185823925376</v>
      </c>
      <c r="J24" s="691">
        <f t="shared" si="13"/>
        <v>30.734185823925376</v>
      </c>
      <c r="K24" s="691">
        <f t="shared" si="13"/>
        <v>30.734185823925376</v>
      </c>
      <c r="L24" s="691">
        <f t="shared" si="13"/>
        <v>30.734185823925376</v>
      </c>
      <c r="M24" s="691">
        <f t="shared" si="13"/>
        <v>30.734185823925376</v>
      </c>
      <c r="N24" s="691">
        <f t="shared" si="13"/>
        <v>30.734185823925376</v>
      </c>
      <c r="O24" s="691">
        <f t="shared" si="13"/>
        <v>30.734185823925376</v>
      </c>
      <c r="P24" s="691">
        <f t="shared" si="13"/>
        <v>30.734185823925376</v>
      </c>
      <c r="Q24" s="691">
        <f t="shared" si="13"/>
        <v>30.734185823925376</v>
      </c>
      <c r="R24" s="691">
        <f t="shared" si="13"/>
        <v>30.734185823925376</v>
      </c>
      <c r="S24" s="691">
        <f t="shared" si="13"/>
        <v>30.734185823925376</v>
      </c>
      <c r="T24" s="691">
        <f t="shared" si="13"/>
        <v>30.734185823925376</v>
      </c>
      <c r="U24" s="691">
        <f t="shared" si="13"/>
        <v>30.734185823925376</v>
      </c>
      <c r="V24" s="691">
        <f t="shared" si="13"/>
        <v>30.734185823925376</v>
      </c>
      <c r="W24" s="691">
        <f t="shared" si="13"/>
        <v>30.734185823925376</v>
      </c>
      <c r="X24" s="691">
        <f t="shared" si="13"/>
        <v>30.734185823925376</v>
      </c>
      <c r="Y24" s="1221">
        <f t="shared" si="13"/>
        <v>30.734185823925376</v>
      </c>
    </row>
    <row r="25" spans="2:28">
      <c r="B25" s="690" t="s">
        <v>800</v>
      </c>
      <c r="C25" s="206" t="s">
        <v>871</v>
      </c>
      <c r="D25" s="691">
        <f t="shared" ref="D25:Y25" si="14">D193*$D$81/1000000</f>
        <v>4.0538674582658736</v>
      </c>
      <c r="E25" s="691">
        <f t="shared" si="14"/>
        <v>4.0538674582658736</v>
      </c>
      <c r="F25" s="691">
        <f t="shared" si="14"/>
        <v>4.0538674582658736</v>
      </c>
      <c r="G25" s="691">
        <f t="shared" si="14"/>
        <v>4.0538674582658736</v>
      </c>
      <c r="H25" s="691">
        <f t="shared" si="14"/>
        <v>4.0538674582658736</v>
      </c>
      <c r="I25" s="691">
        <f t="shared" si="14"/>
        <v>4.0538674582658736</v>
      </c>
      <c r="J25" s="691">
        <f t="shared" si="14"/>
        <v>4.0538674582658736</v>
      </c>
      <c r="K25" s="691">
        <f t="shared" si="14"/>
        <v>4.0538674582658736</v>
      </c>
      <c r="L25" s="691">
        <f t="shared" si="14"/>
        <v>4.0538674582658736</v>
      </c>
      <c r="M25" s="691">
        <f t="shared" si="14"/>
        <v>4.0538674582658736</v>
      </c>
      <c r="N25" s="691">
        <f t="shared" si="14"/>
        <v>4.0538674582658736</v>
      </c>
      <c r="O25" s="691">
        <f t="shared" si="14"/>
        <v>4.0538674582658736</v>
      </c>
      <c r="P25" s="691">
        <f t="shared" si="14"/>
        <v>4.0538674582658736</v>
      </c>
      <c r="Q25" s="691">
        <f t="shared" si="14"/>
        <v>4.0538674582658736</v>
      </c>
      <c r="R25" s="691">
        <f t="shared" si="14"/>
        <v>4.0538674582658736</v>
      </c>
      <c r="S25" s="691">
        <f t="shared" si="14"/>
        <v>4.0538674582658736</v>
      </c>
      <c r="T25" s="691">
        <f t="shared" si="14"/>
        <v>4.0538674582658736</v>
      </c>
      <c r="U25" s="691">
        <f t="shared" si="14"/>
        <v>4.0538674582658736</v>
      </c>
      <c r="V25" s="691">
        <f t="shared" si="14"/>
        <v>4.0538674582658736</v>
      </c>
      <c r="W25" s="691">
        <f t="shared" si="14"/>
        <v>4.0538674582658736</v>
      </c>
      <c r="X25" s="691">
        <f t="shared" si="14"/>
        <v>4.0538674582658736</v>
      </c>
      <c r="Y25" s="1221">
        <f t="shared" si="14"/>
        <v>4.0538674582658736</v>
      </c>
    </row>
    <row r="26" spans="2:28">
      <c r="B26" s="612" t="s">
        <v>799</v>
      </c>
      <c r="C26" s="206" t="s">
        <v>871</v>
      </c>
      <c r="D26" s="691">
        <f t="shared" ref="D26:Y26" si="15">SUM(D27:D29)</f>
        <v>33.181666058666657</v>
      </c>
      <c r="E26" s="691">
        <f t="shared" si="15"/>
        <v>33.181666058666657</v>
      </c>
      <c r="F26" s="691">
        <f t="shared" si="15"/>
        <v>33.181666058666657</v>
      </c>
      <c r="G26" s="691">
        <f t="shared" si="15"/>
        <v>33.181666058666657</v>
      </c>
      <c r="H26" s="691">
        <f t="shared" si="15"/>
        <v>33.181666058666657</v>
      </c>
      <c r="I26" s="691">
        <f t="shared" si="15"/>
        <v>33.181666058666657</v>
      </c>
      <c r="J26" s="691">
        <f t="shared" si="15"/>
        <v>33.181666058666657</v>
      </c>
      <c r="K26" s="691">
        <f t="shared" si="15"/>
        <v>33.181666058666657</v>
      </c>
      <c r="L26" s="691">
        <f t="shared" si="15"/>
        <v>33.181666058666657</v>
      </c>
      <c r="M26" s="691">
        <f t="shared" si="15"/>
        <v>33.181666058666657</v>
      </c>
      <c r="N26" s="691">
        <f t="shared" si="15"/>
        <v>33.181666058666657</v>
      </c>
      <c r="O26" s="691">
        <f t="shared" si="15"/>
        <v>33.181666058666657</v>
      </c>
      <c r="P26" s="691">
        <f t="shared" si="15"/>
        <v>33.181666058666657</v>
      </c>
      <c r="Q26" s="691">
        <f t="shared" si="15"/>
        <v>33.181666058666657</v>
      </c>
      <c r="R26" s="691">
        <f t="shared" si="15"/>
        <v>33.181666058666657</v>
      </c>
      <c r="S26" s="691">
        <f t="shared" si="15"/>
        <v>33.181666058666657</v>
      </c>
      <c r="T26" s="691">
        <f t="shared" si="15"/>
        <v>33.181666058666657</v>
      </c>
      <c r="U26" s="691">
        <f t="shared" si="15"/>
        <v>33.181666058666657</v>
      </c>
      <c r="V26" s="691">
        <f t="shared" si="15"/>
        <v>33.181666058666657</v>
      </c>
      <c r="W26" s="691">
        <f t="shared" si="15"/>
        <v>33.181666058666657</v>
      </c>
      <c r="X26" s="691">
        <f t="shared" si="15"/>
        <v>33.181666058666657</v>
      </c>
      <c r="Y26" s="1221">
        <f t="shared" si="15"/>
        <v>33.181666058666657</v>
      </c>
    </row>
    <row r="27" spans="2:28">
      <c r="B27" s="695" t="s">
        <v>798</v>
      </c>
      <c r="C27" s="206" t="s">
        <v>871</v>
      </c>
      <c r="D27" s="691">
        <f t="shared" ref="D27:Y27" si="16">D195*$D$77/1000000</f>
        <v>11.226658532191806</v>
      </c>
      <c r="E27" s="691">
        <f t="shared" si="16"/>
        <v>11.226658532191806</v>
      </c>
      <c r="F27" s="691">
        <f t="shared" si="16"/>
        <v>11.226658532191806</v>
      </c>
      <c r="G27" s="691">
        <f t="shared" si="16"/>
        <v>11.226658532191806</v>
      </c>
      <c r="H27" s="691">
        <f t="shared" si="16"/>
        <v>11.226658532191806</v>
      </c>
      <c r="I27" s="691">
        <f t="shared" si="16"/>
        <v>11.226658532191806</v>
      </c>
      <c r="J27" s="691">
        <f t="shared" si="16"/>
        <v>11.226658532191806</v>
      </c>
      <c r="K27" s="691">
        <f t="shared" si="16"/>
        <v>11.226658532191806</v>
      </c>
      <c r="L27" s="691">
        <f t="shared" si="16"/>
        <v>11.226658532191806</v>
      </c>
      <c r="M27" s="691">
        <f t="shared" si="16"/>
        <v>11.226658532191806</v>
      </c>
      <c r="N27" s="691">
        <f t="shared" si="16"/>
        <v>11.226658532191806</v>
      </c>
      <c r="O27" s="691">
        <f t="shared" si="16"/>
        <v>11.226658532191806</v>
      </c>
      <c r="P27" s="691">
        <f t="shared" si="16"/>
        <v>11.226658532191806</v>
      </c>
      <c r="Q27" s="691">
        <f t="shared" si="16"/>
        <v>11.226658532191806</v>
      </c>
      <c r="R27" s="691">
        <f t="shared" si="16"/>
        <v>11.226658532191806</v>
      </c>
      <c r="S27" s="691">
        <f t="shared" si="16"/>
        <v>11.226658532191806</v>
      </c>
      <c r="T27" s="691">
        <f t="shared" si="16"/>
        <v>11.226658532191806</v>
      </c>
      <c r="U27" s="691">
        <f t="shared" si="16"/>
        <v>11.226658532191806</v>
      </c>
      <c r="V27" s="691">
        <f t="shared" si="16"/>
        <v>11.226658532191806</v>
      </c>
      <c r="W27" s="691">
        <f t="shared" si="16"/>
        <v>11.226658532191806</v>
      </c>
      <c r="X27" s="691">
        <f t="shared" si="16"/>
        <v>11.226658532191806</v>
      </c>
      <c r="Y27" s="1221">
        <f t="shared" si="16"/>
        <v>11.226658532191806</v>
      </c>
    </row>
    <row r="28" spans="2:28">
      <c r="B28" s="695" t="s">
        <v>797</v>
      </c>
      <c r="C28" s="206" t="s">
        <v>871</v>
      </c>
      <c r="D28" s="691">
        <f t="shared" ref="D28:Y28" si="17">D196*$D$77/1000000</f>
        <v>21.955007526474851</v>
      </c>
      <c r="E28" s="691">
        <f t="shared" si="17"/>
        <v>21.955007526474851</v>
      </c>
      <c r="F28" s="691">
        <f t="shared" si="17"/>
        <v>21.955007526474851</v>
      </c>
      <c r="G28" s="691">
        <f t="shared" si="17"/>
        <v>21.955007526474851</v>
      </c>
      <c r="H28" s="691">
        <f>H196*$D$77/1000000</f>
        <v>21.955007526474851</v>
      </c>
      <c r="I28" s="691">
        <f t="shared" si="17"/>
        <v>21.955007526474851</v>
      </c>
      <c r="J28" s="691">
        <f t="shared" si="17"/>
        <v>21.955007526474851</v>
      </c>
      <c r="K28" s="691">
        <f t="shared" si="17"/>
        <v>21.955007526474851</v>
      </c>
      <c r="L28" s="691">
        <f t="shared" si="17"/>
        <v>21.955007526474851</v>
      </c>
      <c r="M28" s="691">
        <f t="shared" si="17"/>
        <v>21.955007526474851</v>
      </c>
      <c r="N28" s="691">
        <f t="shared" si="17"/>
        <v>21.955007526474851</v>
      </c>
      <c r="O28" s="691">
        <f t="shared" si="17"/>
        <v>21.955007526474851</v>
      </c>
      <c r="P28" s="691">
        <f t="shared" si="17"/>
        <v>21.955007526474851</v>
      </c>
      <c r="Q28" s="691">
        <f t="shared" si="17"/>
        <v>21.955007526474851</v>
      </c>
      <c r="R28" s="691">
        <f t="shared" si="17"/>
        <v>21.955007526474851</v>
      </c>
      <c r="S28" s="691">
        <f t="shared" si="17"/>
        <v>21.955007526474851</v>
      </c>
      <c r="T28" s="691">
        <f t="shared" si="17"/>
        <v>21.955007526474851</v>
      </c>
      <c r="U28" s="691">
        <f t="shared" si="17"/>
        <v>21.955007526474851</v>
      </c>
      <c r="V28" s="691">
        <f t="shared" si="17"/>
        <v>21.955007526474851</v>
      </c>
      <c r="W28" s="691">
        <f t="shared" si="17"/>
        <v>21.955007526474851</v>
      </c>
      <c r="X28" s="691">
        <f t="shared" si="17"/>
        <v>21.955007526474851</v>
      </c>
      <c r="Y28" s="1221">
        <f t="shared" si="17"/>
        <v>21.955007526474851</v>
      </c>
    </row>
    <row r="29" spans="2:28">
      <c r="B29" s="690" t="s">
        <v>573</v>
      </c>
      <c r="C29" s="206" t="s">
        <v>871</v>
      </c>
      <c r="D29" s="691">
        <f t="shared" ref="D29:Y29" si="18">D197*$D$80/1000000</f>
        <v>0</v>
      </c>
      <c r="E29" s="691">
        <f t="shared" si="18"/>
        <v>0</v>
      </c>
      <c r="F29" s="691">
        <f t="shared" si="18"/>
        <v>0</v>
      </c>
      <c r="G29" s="691">
        <f t="shared" si="18"/>
        <v>0</v>
      </c>
      <c r="H29" s="691">
        <f t="shared" si="18"/>
        <v>0</v>
      </c>
      <c r="I29" s="691">
        <f t="shared" si="18"/>
        <v>0</v>
      </c>
      <c r="J29" s="691">
        <f t="shared" si="18"/>
        <v>0</v>
      </c>
      <c r="K29" s="691">
        <f t="shared" si="18"/>
        <v>0</v>
      </c>
      <c r="L29" s="691">
        <f t="shared" si="18"/>
        <v>0</v>
      </c>
      <c r="M29" s="691">
        <f t="shared" si="18"/>
        <v>0</v>
      </c>
      <c r="N29" s="691">
        <f t="shared" si="18"/>
        <v>0</v>
      </c>
      <c r="O29" s="691">
        <f t="shared" si="18"/>
        <v>0</v>
      </c>
      <c r="P29" s="691">
        <f t="shared" si="18"/>
        <v>0</v>
      </c>
      <c r="Q29" s="691">
        <f t="shared" si="18"/>
        <v>0</v>
      </c>
      <c r="R29" s="691">
        <f t="shared" si="18"/>
        <v>0</v>
      </c>
      <c r="S29" s="691">
        <f t="shared" si="18"/>
        <v>0</v>
      </c>
      <c r="T29" s="691">
        <f t="shared" si="18"/>
        <v>0</v>
      </c>
      <c r="U29" s="691">
        <f t="shared" si="18"/>
        <v>0</v>
      </c>
      <c r="V29" s="691">
        <f t="shared" si="18"/>
        <v>0</v>
      </c>
      <c r="W29" s="691">
        <f t="shared" si="18"/>
        <v>0</v>
      </c>
      <c r="X29" s="691">
        <f t="shared" si="18"/>
        <v>0</v>
      </c>
      <c r="Y29" s="1221">
        <f t="shared" si="18"/>
        <v>0</v>
      </c>
    </row>
    <row r="30" spans="2:28">
      <c r="B30" s="120"/>
      <c r="D30" s="691"/>
      <c r="E30" s="691"/>
      <c r="F30" s="691"/>
      <c r="G30" s="691"/>
      <c r="H30" s="691"/>
      <c r="I30" s="691"/>
      <c r="J30" s="691"/>
      <c r="K30" s="691"/>
      <c r="L30" s="691"/>
      <c r="M30" s="691"/>
      <c r="N30" s="691"/>
      <c r="O30" s="691"/>
      <c r="P30" s="691"/>
      <c r="Q30" s="691"/>
      <c r="R30" s="691"/>
      <c r="S30" s="691"/>
      <c r="T30" s="691"/>
      <c r="U30" s="691"/>
      <c r="V30" s="691"/>
      <c r="W30" s="691"/>
      <c r="X30" s="691"/>
      <c r="Y30" s="1221"/>
    </row>
    <row r="31" spans="2:28">
      <c r="B31" s="694" t="s">
        <v>874</v>
      </c>
      <c r="C31" s="206" t="s">
        <v>414</v>
      </c>
      <c r="D31" s="686">
        <f t="shared" ref="D31:Y31" si="19">D188</f>
        <v>0.91645786959940567</v>
      </c>
      <c r="E31" s="686">
        <f t="shared" si="19"/>
        <v>0.94147936621814809</v>
      </c>
      <c r="F31" s="686">
        <f t="shared" si="19"/>
        <v>0.96718400967190576</v>
      </c>
      <c r="G31" s="686">
        <f t="shared" si="19"/>
        <v>0.99359045150679948</v>
      </c>
      <c r="H31" s="686">
        <f t="shared" si="19"/>
        <v>1.0207178525008671</v>
      </c>
      <c r="I31" s="686">
        <f t="shared" si="19"/>
        <v>1.0485858965673163</v>
      </c>
      <c r="J31" s="686">
        <f t="shared" si="19"/>
        <v>1.077214805037368</v>
      </c>
      <c r="K31" s="686">
        <f t="shared" si="19"/>
        <v>1.1066253513330568</v>
      </c>
      <c r="L31" s="686">
        <f t="shared" si="19"/>
        <v>1.1368388760406334</v>
      </c>
      <c r="M31" s="686">
        <f t="shared" si="19"/>
        <v>1.1678773023955071</v>
      </c>
      <c r="N31" s="686">
        <f t="shared" si="19"/>
        <v>1.1997631521899645</v>
      </c>
      <c r="O31" s="686">
        <f t="shared" si="19"/>
        <v>1.2325195621152074</v>
      </c>
      <c r="P31" s="686">
        <f t="shared" si="19"/>
        <v>1.2661703005495664</v>
      </c>
      <c r="Q31" s="686">
        <f t="shared" si="19"/>
        <v>1.3007397848050744</v>
      </c>
      <c r="R31" s="686">
        <f t="shared" si="19"/>
        <v>1.3362530988449115</v>
      </c>
      <c r="S31" s="686">
        <f t="shared" si="19"/>
        <v>1.3727360114845801</v>
      </c>
      <c r="T31" s="686">
        <f t="shared" si="19"/>
        <v>1.4102149950900145</v>
      </c>
      <c r="U31" s="686">
        <f t="shared" si="19"/>
        <v>1.4487172447861936</v>
      </c>
      <c r="V31" s="686">
        <f t="shared" si="19"/>
        <v>1.4882706981901961</v>
      </c>
      <c r="W31" s="686">
        <f t="shared" si="19"/>
        <v>1.5289040556830145</v>
      </c>
      <c r="X31" s="686">
        <f t="shared" si="19"/>
        <v>1.5706468012348378</v>
      </c>
      <c r="Y31" s="1222">
        <f t="shared" si="19"/>
        <v>1.6135292237989154</v>
      </c>
    </row>
    <row r="32" spans="2:28">
      <c r="B32" s="120"/>
      <c r="D32" s="691"/>
      <c r="E32" s="691"/>
      <c r="F32" s="691"/>
      <c r="G32" s="691"/>
      <c r="H32" s="691"/>
      <c r="I32" s="691"/>
      <c r="J32" s="691"/>
      <c r="K32" s="691"/>
      <c r="L32" s="691"/>
      <c r="M32" s="691"/>
      <c r="N32" s="691"/>
      <c r="O32" s="691"/>
      <c r="P32" s="691"/>
      <c r="Q32" s="691"/>
      <c r="R32" s="691"/>
      <c r="S32" s="691"/>
      <c r="T32" s="691"/>
      <c r="U32" s="691"/>
      <c r="V32" s="691"/>
      <c r="W32" s="691"/>
      <c r="X32" s="691"/>
      <c r="Y32" s="1221"/>
    </row>
    <row r="33" spans="2:25">
      <c r="B33" s="693" t="s">
        <v>873</v>
      </c>
      <c r="D33" s="692">
        <f t="shared" ref="D33:Y33" si="20">D34+D37</f>
        <v>62.291384184392157</v>
      </c>
      <c r="E33" s="692">
        <f t="shared" si="20"/>
        <v>63.992088287056305</v>
      </c>
      <c r="F33" s="692">
        <f t="shared" si="20"/>
        <v>65.739225688365025</v>
      </c>
      <c r="G33" s="692">
        <f t="shared" si="20"/>
        <v>67.53406412867345</v>
      </c>
      <c r="H33" s="692">
        <f t="shared" si="20"/>
        <v>69.377905960687144</v>
      </c>
      <c r="I33" s="692">
        <f t="shared" si="20"/>
        <v>71.272089094462345</v>
      </c>
      <c r="J33" s="692">
        <f t="shared" si="20"/>
        <v>73.21798796820687</v>
      </c>
      <c r="K33" s="692">
        <f t="shared" si="20"/>
        <v>75.217014545586153</v>
      </c>
      <c r="L33" s="692">
        <f t="shared" si="20"/>
        <v>77.270619340258207</v>
      </c>
      <c r="M33" s="692">
        <f t="shared" si="20"/>
        <v>79.380292468380858</v>
      </c>
      <c r="N33" s="692">
        <f t="shared" si="20"/>
        <v>81.547564729854884</v>
      </c>
      <c r="O33" s="692">
        <f t="shared" si="20"/>
        <v>83.774008719087732</v>
      </c>
      <c r="P33" s="692">
        <f t="shared" si="20"/>
        <v>86.061239966083718</v>
      </c>
      <c r="Q33" s="692">
        <f t="shared" si="20"/>
        <v>88.410918108688804</v>
      </c>
      <c r="R33" s="692">
        <f t="shared" si="20"/>
        <v>90.824748096840295</v>
      </c>
      <c r="S33" s="692">
        <f t="shared" si="20"/>
        <v>93.304481429695613</v>
      </c>
      <c r="T33" s="692">
        <f t="shared" si="20"/>
        <v>95.851917426537597</v>
      </c>
      <c r="U33" s="692">
        <f t="shared" si="20"/>
        <v>98.468904532378517</v>
      </c>
      <c r="V33" s="692">
        <f t="shared" si="20"/>
        <v>101.15734165921027</v>
      </c>
      <c r="W33" s="692">
        <f t="shared" si="20"/>
        <v>103.91917956387388</v>
      </c>
      <c r="X33" s="692">
        <f t="shared" si="20"/>
        <v>106.75642226354816</v>
      </c>
      <c r="Y33" s="1220">
        <f t="shared" si="20"/>
        <v>109.67112848988458</v>
      </c>
    </row>
    <row r="34" spans="2:25">
      <c r="B34" s="612" t="s">
        <v>802</v>
      </c>
      <c r="C34" s="72" t="s">
        <v>693</v>
      </c>
      <c r="D34" s="691">
        <f t="shared" ref="D34:Y34" si="21">SUM(D35:D36)</f>
        <v>31.881785198507608</v>
      </c>
      <c r="E34" s="691">
        <f t="shared" si="21"/>
        <v>32.752234356080585</v>
      </c>
      <c r="F34" s="691">
        <f t="shared" si="21"/>
        <v>33.646448862149633</v>
      </c>
      <c r="G34" s="691">
        <f t="shared" si="21"/>
        <v>34.565077567694999</v>
      </c>
      <c r="H34" s="691">
        <f t="shared" si="21"/>
        <v>35.508787038883995</v>
      </c>
      <c r="I34" s="691">
        <f t="shared" si="21"/>
        <v>36.47826204073808</v>
      </c>
      <c r="J34" s="691">
        <f t="shared" si="21"/>
        <v>37.474206034005213</v>
      </c>
      <c r="K34" s="691">
        <f t="shared" si="21"/>
        <v>38.497341685597988</v>
      </c>
      <c r="L34" s="691">
        <f t="shared" si="21"/>
        <v>39.548411392967964</v>
      </c>
      <c r="M34" s="691">
        <f t="shared" si="21"/>
        <v>40.628177822796687</v>
      </c>
      <c r="N34" s="691">
        <f t="shared" si="21"/>
        <v>41.737424464394209</v>
      </c>
      <c r="O34" s="691">
        <f t="shared" si="21"/>
        <v>42.876956198206862</v>
      </c>
      <c r="P34" s="691">
        <f t="shared" si="21"/>
        <v>44.047599879846423</v>
      </c>
      <c r="Q34" s="691">
        <f t="shared" si="21"/>
        <v>45.250204940064904</v>
      </c>
      <c r="R34" s="691">
        <f t="shared" si="21"/>
        <v>46.485644001109947</v>
      </c>
      <c r="S34" s="691">
        <f t="shared" si="21"/>
        <v>47.754813509908267</v>
      </c>
      <c r="T34" s="691">
        <f t="shared" si="21"/>
        <v>49.05863438853649</v>
      </c>
      <c r="U34" s="691">
        <f t="shared" si="21"/>
        <v>50.398052702451402</v>
      </c>
      <c r="V34" s="691">
        <f t="shared" si="21"/>
        <v>51.774040346964512</v>
      </c>
      <c r="W34" s="691">
        <f t="shared" si="21"/>
        <v>53.187595752459011</v>
      </c>
      <c r="X34" s="691">
        <f t="shared" si="21"/>
        <v>54.639744608860781</v>
      </c>
      <c r="Y34" s="1221">
        <f t="shared" si="21"/>
        <v>56.131540609889356</v>
      </c>
    </row>
    <row r="35" spans="2:25" s="205" customFormat="1">
      <c r="B35" s="690" t="s">
        <v>801</v>
      </c>
      <c r="C35" s="205" t="s">
        <v>693</v>
      </c>
      <c r="D35" s="689">
        <f t="shared" ref="D35:Y35" si="22">D24*D31</f>
        <v>28.166586464066906</v>
      </c>
      <c r="E35" s="689">
        <f t="shared" si="22"/>
        <v>28.935601790740055</v>
      </c>
      <c r="F35" s="689">
        <f t="shared" si="22"/>
        <v>29.725613079185589</v>
      </c>
      <c r="G35" s="689">
        <f t="shared" si="22"/>
        <v>30.53719356948789</v>
      </c>
      <c r="H35" s="689">
        <f t="shared" si="22"/>
        <v>31.370932152559703</v>
      </c>
      <c r="I35" s="689">
        <f t="shared" si="22"/>
        <v>32.22743379744729</v>
      </c>
      <c r="J35" s="689">
        <f t="shared" si="22"/>
        <v>33.10731999030201</v>
      </c>
      <c r="K35" s="689">
        <f t="shared" si="22"/>
        <v>34.011229185336873</v>
      </c>
      <c r="L35" s="689">
        <f t="shared" si="22"/>
        <v>34.93981726809529</v>
      </c>
      <c r="M35" s="689">
        <f t="shared" si="22"/>
        <v>35.893758031368208</v>
      </c>
      <c r="N35" s="689">
        <f t="shared" si="22"/>
        <v>36.873743664104829</v>
      </c>
      <c r="O35" s="689">
        <f t="shared" si="22"/>
        <v>37.880485253671921</v>
      </c>
      <c r="P35" s="689">
        <f t="shared" si="22"/>
        <v>38.914713301825813</v>
      </c>
      <c r="Q35" s="689">
        <f t="shared" si="22"/>
        <v>39.977178254771857</v>
      </c>
      <c r="R35" s="689">
        <f t="shared" si="22"/>
        <v>41.068651047695631</v>
      </c>
      <c r="S35" s="689">
        <f t="shared" si="22"/>
        <v>42.189923664161242</v>
      </c>
      <c r="T35" s="689">
        <f t="shared" si="22"/>
        <v>43.341809710782513</v>
      </c>
      <c r="U35" s="689">
        <f t="shared" si="22"/>
        <v>44.525145007584058</v>
      </c>
      <c r="V35" s="689">
        <f t="shared" si="22"/>
        <v>45.740788194480643</v>
      </c>
      <c r="W35" s="689">
        <f t="shared" si="22"/>
        <v>46.98962135431492</v>
      </c>
      <c r="X35" s="689">
        <f t="shared" si="22"/>
        <v>48.272550652905487</v>
      </c>
      <c r="Y35" s="1223">
        <f t="shared" si="22"/>
        <v>49.590506996569943</v>
      </c>
    </row>
    <row r="36" spans="2:25" s="205" customFormat="1">
      <c r="B36" s="690" t="s">
        <v>800</v>
      </c>
      <c r="C36" s="205" t="s">
        <v>693</v>
      </c>
      <c r="D36" s="689">
        <f t="shared" ref="D36:Y36" si="23">D25*D31</f>
        <v>3.7151987344407003</v>
      </c>
      <c r="E36" s="689">
        <f t="shared" si="23"/>
        <v>3.8166325653405297</v>
      </c>
      <c r="F36" s="689">
        <f t="shared" si="23"/>
        <v>3.9208357829640446</v>
      </c>
      <c r="G36" s="689">
        <f t="shared" si="23"/>
        <v>4.0278839982071108</v>
      </c>
      <c r="H36" s="689">
        <f t="shared" si="23"/>
        <v>4.1378548863242912</v>
      </c>
      <c r="I36" s="689">
        <f t="shared" si="23"/>
        <v>4.2508282432907887</v>
      </c>
      <c r="J36" s="689">
        <f t="shared" si="23"/>
        <v>4.3668860437032038</v>
      </c>
      <c r="K36" s="689">
        <f t="shared" si="23"/>
        <v>4.4861125002611182</v>
      </c>
      <c r="L36" s="689">
        <f t="shared" si="23"/>
        <v>4.6085941248726749</v>
      </c>
      <c r="M36" s="689">
        <f t="shared" si="23"/>
        <v>4.7344197914284791</v>
      </c>
      <c r="N36" s="689">
        <f t="shared" si="23"/>
        <v>4.8636808002893837</v>
      </c>
      <c r="O36" s="689">
        <f t="shared" si="23"/>
        <v>4.9964709445349431</v>
      </c>
      <c r="P36" s="689">
        <f t="shared" si="23"/>
        <v>5.1328865780206074</v>
      </c>
      <c r="Q36" s="689">
        <f t="shared" si="23"/>
        <v>5.2730266852930461</v>
      </c>
      <c r="R36" s="689">
        <f t="shared" si="23"/>
        <v>5.4169929534143186</v>
      </c>
      <c r="S36" s="689">
        <f t="shared" si="23"/>
        <v>5.5648898457470279</v>
      </c>
      <c r="T36" s="689">
        <f t="shared" si="23"/>
        <v>5.7168246777539782</v>
      </c>
      <c r="U36" s="689">
        <f t="shared" si="23"/>
        <v>5.8729076948673455</v>
      </c>
      <c r="V36" s="689">
        <f t="shared" si="23"/>
        <v>6.0332521524838674</v>
      </c>
      <c r="W36" s="689">
        <f t="shared" si="23"/>
        <v>6.1979743981440878</v>
      </c>
      <c r="X36" s="689">
        <f t="shared" si="23"/>
        <v>6.3671939559552966</v>
      </c>
      <c r="Y36" s="1223">
        <f t="shared" si="23"/>
        <v>6.5410336133194171</v>
      </c>
    </row>
    <row r="37" spans="2:25" s="205" customFormat="1">
      <c r="B37" s="609" t="s">
        <v>799</v>
      </c>
      <c r="C37" s="205" t="s">
        <v>693</v>
      </c>
      <c r="D37" s="689">
        <f t="shared" ref="D37:Y37" si="24">SUM(D38:D40)</f>
        <v>30.40959898588455</v>
      </c>
      <c r="E37" s="689">
        <f t="shared" si="24"/>
        <v>31.23985393097572</v>
      </c>
      <c r="F37" s="689">
        <f t="shared" si="24"/>
        <v>32.092776826215399</v>
      </c>
      <c r="G37" s="689">
        <f t="shared" si="24"/>
        <v>32.96898656097845</v>
      </c>
      <c r="H37" s="689">
        <f t="shared" si="24"/>
        <v>33.869118921803143</v>
      </c>
      <c r="I37" s="689">
        <f t="shared" si="24"/>
        <v>34.793827053724264</v>
      </c>
      <c r="J37" s="689">
        <f t="shared" si="24"/>
        <v>35.743781934201657</v>
      </c>
      <c r="K37" s="689">
        <f t="shared" si="24"/>
        <v>36.719672859988158</v>
      </c>
      <c r="L37" s="689">
        <f t="shared" si="24"/>
        <v>37.722207947290237</v>
      </c>
      <c r="M37" s="689">
        <f t="shared" si="24"/>
        <v>38.752114645584172</v>
      </c>
      <c r="N37" s="689">
        <f t="shared" si="24"/>
        <v>39.810140265460667</v>
      </c>
      <c r="O37" s="689">
        <f t="shared" si="24"/>
        <v>40.89705252088087</v>
      </c>
      <c r="P37" s="689">
        <f t="shared" si="24"/>
        <v>42.013640086237302</v>
      </c>
      <c r="Q37" s="689">
        <f t="shared" si="24"/>
        <v>43.160713168623907</v>
      </c>
      <c r="R37" s="689">
        <f t="shared" si="24"/>
        <v>44.339104095730342</v>
      </c>
      <c r="S37" s="689">
        <f t="shared" si="24"/>
        <v>45.549667919787339</v>
      </c>
      <c r="T37" s="689">
        <f t="shared" si="24"/>
        <v>46.7932830380011</v>
      </c>
      <c r="U37" s="689">
        <f t="shared" si="24"/>
        <v>48.070851829927115</v>
      </c>
      <c r="V37" s="689">
        <f t="shared" si="24"/>
        <v>49.383301312245763</v>
      </c>
      <c r="W37" s="689">
        <f t="shared" si="24"/>
        <v>50.731583811414879</v>
      </c>
      <c r="X37" s="689">
        <f t="shared" si="24"/>
        <v>52.116677654687379</v>
      </c>
      <c r="Y37" s="1223">
        <f t="shared" si="24"/>
        <v>53.539587879995224</v>
      </c>
    </row>
    <row r="38" spans="2:25" s="205" customFormat="1">
      <c r="B38" s="690" t="s">
        <v>798</v>
      </c>
      <c r="C38" s="205" t="s">
        <v>693</v>
      </c>
      <c r="D38" s="689">
        <f t="shared" ref="D38:Y38" si="25">D27*D31</f>
        <v>10.288759561132492</v>
      </c>
      <c r="E38" s="689">
        <f t="shared" si="25"/>
        <v>10.569667359635506</v>
      </c>
      <c r="F38" s="689">
        <f t="shared" si="25"/>
        <v>10.858244614382583</v>
      </c>
      <c r="G38" s="689">
        <f t="shared" si="25"/>
        <v>11.154700719913119</v>
      </c>
      <c r="H38" s="689">
        <f t="shared" si="25"/>
        <v>11.459250787739357</v>
      </c>
      <c r="I38" s="689">
        <f t="shared" si="25"/>
        <v>11.772115802433456</v>
      </c>
      <c r="J38" s="689">
        <f t="shared" si="25"/>
        <v>12.0935227819761</v>
      </c>
      <c r="K38" s="689">
        <f t="shared" si="25"/>
        <v>12.423704942483017</v>
      </c>
      <c r="L38" s="689">
        <f t="shared" si="25"/>
        <v>12.762901867428919</v>
      </c>
      <c r="M38" s="689">
        <f t="shared" si="25"/>
        <v>13.11135968149167</v>
      </c>
      <c r="N38" s="689">
        <f t="shared" si="25"/>
        <v>13.469331229142801</v>
      </c>
      <c r="O38" s="689">
        <f t="shared" si="25"/>
        <v>13.837076258114001</v>
      </c>
      <c r="P38" s="689">
        <f t="shared" si="25"/>
        <v>14.214861607872653</v>
      </c>
      <c r="Q38" s="689">
        <f t="shared" si="25"/>
        <v>14.602961403243221</v>
      </c>
      <c r="R38" s="689">
        <f t="shared" si="25"/>
        <v>15.001657253314965</v>
      </c>
      <c r="S38" s="689">
        <f t="shared" si="25"/>
        <v>15.41123845578031</v>
      </c>
      <c r="T38" s="689">
        <f t="shared" si="25"/>
        <v>15.832002206852136</v>
      </c>
      <c r="U38" s="689">
        <f t="shared" si="25"/>
        <v>16.264253816912326</v>
      </c>
      <c r="V38" s="689">
        <f t="shared" si="25"/>
        <v>16.708306932048021</v>
      </c>
      <c r="W38" s="689">
        <f t="shared" si="25"/>
        <v>17.164483761636369</v>
      </c>
      <c r="X38" s="689">
        <f t="shared" si="25"/>
        <v>17.633115312142859</v>
      </c>
      <c r="Y38" s="1223">
        <f t="shared" si="25"/>
        <v>18.114541627302916</v>
      </c>
    </row>
    <row r="39" spans="2:25" s="205" customFormat="1">
      <c r="B39" s="690" t="s">
        <v>797</v>
      </c>
      <c r="C39" s="205" t="s">
        <v>693</v>
      </c>
      <c r="D39" s="689">
        <f t="shared" ref="D39:Y39" si="26">D28*D31</f>
        <v>20.120839424752059</v>
      </c>
      <c r="E39" s="689">
        <f t="shared" si="26"/>
        <v>20.670186571340214</v>
      </c>
      <c r="F39" s="689">
        <f t="shared" si="26"/>
        <v>21.234532211832818</v>
      </c>
      <c r="G39" s="689">
        <f t="shared" si="26"/>
        <v>21.814285841065328</v>
      </c>
      <c r="H39" s="689">
        <f>H28*H31</f>
        <v>22.409868134063785</v>
      </c>
      <c r="I39" s="689">
        <f t="shared" si="26"/>
        <v>23.02171125129081</v>
      </c>
      <c r="J39" s="689">
        <f t="shared" si="26"/>
        <v>23.650259152225555</v>
      </c>
      <c r="K39" s="689">
        <f t="shared" si="26"/>
        <v>24.295967917505141</v>
      </c>
      <c r="L39" s="689">
        <f t="shared" si="26"/>
        <v>24.959306079861317</v>
      </c>
      <c r="M39" s="689">
        <f t="shared" si="26"/>
        <v>25.640754964092505</v>
      </c>
      <c r="N39" s="689">
        <f t="shared" si="26"/>
        <v>26.340809036317864</v>
      </c>
      <c r="O39" s="689">
        <f t="shared" si="26"/>
        <v>27.059976262766867</v>
      </c>
      <c r="P39" s="689">
        <f t="shared" si="26"/>
        <v>27.798778478364653</v>
      </c>
      <c r="Q39" s="689">
        <f t="shared" si="26"/>
        <v>28.557751765380686</v>
      </c>
      <c r="R39" s="689">
        <f t="shared" si="26"/>
        <v>29.337446842415375</v>
      </c>
      <c r="S39" s="689">
        <f t="shared" si="26"/>
        <v>30.138429464007025</v>
      </c>
      <c r="T39" s="689">
        <f t="shared" si="26"/>
        <v>30.961280831148962</v>
      </c>
      <c r="U39" s="689">
        <f t="shared" si="26"/>
        <v>31.806598013014789</v>
      </c>
      <c r="V39" s="689">
        <f t="shared" si="26"/>
        <v>32.674994380197738</v>
      </c>
      <c r="W39" s="689">
        <f t="shared" si="26"/>
        <v>33.56710004977851</v>
      </c>
      <c r="X39" s="689">
        <f t="shared" si="26"/>
        <v>34.483562342544516</v>
      </c>
      <c r="Y39" s="1223">
        <f t="shared" si="26"/>
        <v>35.425046252692312</v>
      </c>
    </row>
    <row r="40" spans="2:25" s="205" customFormat="1">
      <c r="B40" s="690" t="s">
        <v>573</v>
      </c>
      <c r="C40" s="205" t="s">
        <v>693</v>
      </c>
      <c r="D40" s="689">
        <f t="shared" ref="D40:Y40" si="27">D29*D31</f>
        <v>0</v>
      </c>
      <c r="E40" s="689">
        <f t="shared" si="27"/>
        <v>0</v>
      </c>
      <c r="F40" s="689">
        <f t="shared" si="27"/>
        <v>0</v>
      </c>
      <c r="G40" s="689">
        <f t="shared" si="27"/>
        <v>0</v>
      </c>
      <c r="H40" s="689">
        <f t="shared" si="27"/>
        <v>0</v>
      </c>
      <c r="I40" s="689">
        <f t="shared" si="27"/>
        <v>0</v>
      </c>
      <c r="J40" s="689">
        <f t="shared" si="27"/>
        <v>0</v>
      </c>
      <c r="K40" s="689">
        <f t="shared" si="27"/>
        <v>0</v>
      </c>
      <c r="L40" s="689">
        <f t="shared" si="27"/>
        <v>0</v>
      </c>
      <c r="M40" s="689">
        <f t="shared" si="27"/>
        <v>0</v>
      </c>
      <c r="N40" s="689">
        <f t="shared" si="27"/>
        <v>0</v>
      </c>
      <c r="O40" s="689">
        <f t="shared" si="27"/>
        <v>0</v>
      </c>
      <c r="P40" s="689">
        <f t="shared" si="27"/>
        <v>0</v>
      </c>
      <c r="Q40" s="689">
        <f t="shared" si="27"/>
        <v>0</v>
      </c>
      <c r="R40" s="689">
        <f t="shared" si="27"/>
        <v>0</v>
      </c>
      <c r="S40" s="689">
        <f t="shared" si="27"/>
        <v>0</v>
      </c>
      <c r="T40" s="689">
        <f t="shared" si="27"/>
        <v>0</v>
      </c>
      <c r="U40" s="689">
        <f t="shared" si="27"/>
        <v>0</v>
      </c>
      <c r="V40" s="689">
        <f t="shared" si="27"/>
        <v>0</v>
      </c>
      <c r="W40" s="689">
        <f t="shared" si="27"/>
        <v>0</v>
      </c>
      <c r="X40" s="689">
        <f t="shared" si="27"/>
        <v>0</v>
      </c>
      <c r="Y40" s="1223">
        <f t="shared" si="27"/>
        <v>0</v>
      </c>
    </row>
    <row r="41" spans="2:25">
      <c r="B41" s="120"/>
      <c r="D41" s="691">
        <f>D22-D43</f>
        <v>31.55805807723889</v>
      </c>
      <c r="E41" s="691">
        <f t="shared" ref="E41:J41" si="28">E22-E43</f>
        <v>31.55805807723889</v>
      </c>
      <c r="F41" s="691">
        <f>F22-F43</f>
        <v>31.55805807723889</v>
      </c>
      <c r="G41" s="691">
        <f t="shared" si="28"/>
        <v>31.55805807723889</v>
      </c>
      <c r="H41" s="691">
        <f t="shared" si="28"/>
        <v>31.55805807723889</v>
      </c>
      <c r="I41" s="691">
        <f t="shared" si="28"/>
        <v>31.55805807723889</v>
      </c>
      <c r="J41" s="691">
        <f t="shared" si="28"/>
        <v>31.55805807723889</v>
      </c>
      <c r="K41" s="691">
        <f t="shared" ref="K41" si="29">K22-K43</f>
        <v>31.55805807723889</v>
      </c>
      <c r="L41" s="691"/>
      <c r="M41" s="691"/>
      <c r="N41" s="691"/>
      <c r="O41" s="691"/>
      <c r="P41" s="691"/>
      <c r="Q41" s="691"/>
      <c r="R41" s="691"/>
      <c r="S41" s="691"/>
      <c r="T41" s="691"/>
      <c r="U41" s="691"/>
      <c r="V41" s="691"/>
      <c r="W41" s="691"/>
      <c r="X41" s="691"/>
      <c r="Y41" s="1221"/>
    </row>
    <row r="42" spans="2:25">
      <c r="B42" s="449" t="s">
        <v>393</v>
      </c>
      <c r="D42" s="691">
        <f>D41*D18*1000000</f>
        <v>0</v>
      </c>
      <c r="E42" s="691">
        <f t="shared" ref="E42" si="30">E41*E18*1000000</f>
        <v>0</v>
      </c>
      <c r="F42" s="30">
        <f>(F22-F41*F18)*1000000</f>
        <v>67969719.340857908</v>
      </c>
      <c r="G42" s="30">
        <f t="shared" ref="G42:K42" si="31">(G22-G41*G18)*1000000</f>
        <v>66391816.436995968</v>
      </c>
      <c r="H42" s="30">
        <f t="shared" si="31"/>
        <v>60080204.821548186</v>
      </c>
      <c r="I42" s="30">
        <f t="shared" si="31"/>
        <v>49034884.49451457</v>
      </c>
      <c r="J42" s="30">
        <f t="shared" si="31"/>
        <v>37989564.16748096</v>
      </c>
      <c r="K42" s="30">
        <f t="shared" si="31"/>
        <v>36411661.263619021</v>
      </c>
      <c r="L42" s="691"/>
      <c r="M42" s="691"/>
      <c r="N42" s="691"/>
      <c r="O42" s="691"/>
      <c r="P42" s="691"/>
      <c r="Q42" s="691"/>
      <c r="R42" s="691"/>
      <c r="S42" s="691"/>
      <c r="T42" s="691"/>
      <c r="U42" s="691"/>
      <c r="V42" s="691"/>
      <c r="W42" s="691"/>
      <c r="X42" s="691"/>
      <c r="Y42" s="1221"/>
    </row>
    <row r="43" spans="2:25">
      <c r="B43" s="693" t="s">
        <v>872</v>
      </c>
      <c r="D43" s="692">
        <f t="shared" ref="D43:Y43" si="32">D44+D47</f>
        <v>36.411661263619017</v>
      </c>
      <c r="E43" s="692">
        <f t="shared" si="32"/>
        <v>36.411661263619017</v>
      </c>
      <c r="F43" s="692">
        <f t="shared" si="32"/>
        <v>36.411661263619017</v>
      </c>
      <c r="G43" s="692">
        <f t="shared" si="32"/>
        <v>36.411661263619017</v>
      </c>
      <c r="H43" s="692">
        <f t="shared" si="32"/>
        <v>36.411661263619017</v>
      </c>
      <c r="I43" s="692">
        <f t="shared" si="32"/>
        <v>36.411661263619017</v>
      </c>
      <c r="J43" s="692">
        <f t="shared" si="32"/>
        <v>36.411661263619017</v>
      </c>
      <c r="K43" s="692">
        <f t="shared" si="32"/>
        <v>36.411661263619017</v>
      </c>
      <c r="L43" s="692">
        <f t="shared" si="32"/>
        <v>36.411661263619017</v>
      </c>
      <c r="M43" s="692">
        <f t="shared" si="32"/>
        <v>36.411661263619017</v>
      </c>
      <c r="N43" s="692">
        <f t="shared" si="32"/>
        <v>36.411661263619017</v>
      </c>
      <c r="O43" s="692">
        <f t="shared" si="32"/>
        <v>36.411661263619017</v>
      </c>
      <c r="P43" s="692">
        <f t="shared" si="32"/>
        <v>36.411661263619017</v>
      </c>
      <c r="Q43" s="692">
        <f t="shared" si="32"/>
        <v>36.411661263619017</v>
      </c>
      <c r="R43" s="692">
        <f t="shared" si="32"/>
        <v>36.411661263619017</v>
      </c>
      <c r="S43" s="692">
        <f t="shared" si="32"/>
        <v>36.411661263619017</v>
      </c>
      <c r="T43" s="692">
        <f t="shared" si="32"/>
        <v>36.411661263619017</v>
      </c>
      <c r="U43" s="692">
        <f t="shared" si="32"/>
        <v>36.411661263619017</v>
      </c>
      <c r="V43" s="692">
        <f t="shared" si="32"/>
        <v>36.411661263619017</v>
      </c>
      <c r="W43" s="692">
        <f t="shared" si="32"/>
        <v>36.411661263619017</v>
      </c>
      <c r="X43" s="692">
        <f t="shared" si="32"/>
        <v>36.411661263619017</v>
      </c>
      <c r="Y43" s="1220">
        <f t="shared" si="32"/>
        <v>36.411661263619017</v>
      </c>
    </row>
    <row r="44" spans="2:25">
      <c r="B44" s="612" t="s">
        <v>802</v>
      </c>
      <c r="C44" s="206" t="s">
        <v>871</v>
      </c>
      <c r="D44" s="691">
        <f t="shared" ref="D44:Y44" si="33">SUM(D45:D46)</f>
        <v>27.940168930841253</v>
      </c>
      <c r="E44" s="691">
        <f t="shared" si="33"/>
        <v>27.940168930841253</v>
      </c>
      <c r="F44" s="691">
        <f t="shared" si="33"/>
        <v>27.940168930841253</v>
      </c>
      <c r="G44" s="691">
        <f t="shared" si="33"/>
        <v>27.940168930841253</v>
      </c>
      <c r="H44" s="691">
        <f t="shared" si="33"/>
        <v>27.940168930841253</v>
      </c>
      <c r="I44" s="691">
        <f t="shared" si="33"/>
        <v>27.940168930841253</v>
      </c>
      <c r="J44" s="691">
        <f t="shared" si="33"/>
        <v>27.940168930841253</v>
      </c>
      <c r="K44" s="691">
        <f t="shared" si="33"/>
        <v>27.940168930841253</v>
      </c>
      <c r="L44" s="691">
        <f t="shared" si="33"/>
        <v>27.940168930841253</v>
      </c>
      <c r="M44" s="691">
        <f t="shared" si="33"/>
        <v>27.940168930841253</v>
      </c>
      <c r="N44" s="691">
        <f t="shared" si="33"/>
        <v>27.940168930841253</v>
      </c>
      <c r="O44" s="691">
        <f t="shared" si="33"/>
        <v>27.940168930841253</v>
      </c>
      <c r="P44" s="691">
        <f t="shared" si="33"/>
        <v>27.940168930841253</v>
      </c>
      <c r="Q44" s="691">
        <f t="shared" si="33"/>
        <v>27.940168930841253</v>
      </c>
      <c r="R44" s="691">
        <f t="shared" si="33"/>
        <v>27.940168930841253</v>
      </c>
      <c r="S44" s="691">
        <f t="shared" si="33"/>
        <v>27.940168930841253</v>
      </c>
      <c r="T44" s="691">
        <f t="shared" si="33"/>
        <v>27.940168930841253</v>
      </c>
      <c r="U44" s="691">
        <f t="shared" si="33"/>
        <v>27.940168930841253</v>
      </c>
      <c r="V44" s="691">
        <f t="shared" si="33"/>
        <v>27.940168930841253</v>
      </c>
      <c r="W44" s="691">
        <f t="shared" si="33"/>
        <v>27.940168930841253</v>
      </c>
      <c r="X44" s="691">
        <f t="shared" si="33"/>
        <v>27.940168930841253</v>
      </c>
      <c r="Y44" s="1221">
        <f t="shared" si="33"/>
        <v>27.940168930841253</v>
      </c>
    </row>
    <row r="45" spans="2:25">
      <c r="B45" s="695" t="s">
        <v>801</v>
      </c>
      <c r="C45" s="206" t="s">
        <v>871</v>
      </c>
      <c r="D45" s="691">
        <f t="shared" ref="D45:Y45" si="34">D192*$D$78/1000000</f>
        <v>27.940168930841253</v>
      </c>
      <c r="E45" s="691">
        <f t="shared" si="34"/>
        <v>27.940168930841253</v>
      </c>
      <c r="F45" s="691">
        <f t="shared" si="34"/>
        <v>27.940168930841253</v>
      </c>
      <c r="G45" s="691">
        <f t="shared" si="34"/>
        <v>27.940168930841253</v>
      </c>
      <c r="H45" s="691">
        <f t="shared" si="34"/>
        <v>27.940168930841253</v>
      </c>
      <c r="I45" s="691">
        <f t="shared" si="34"/>
        <v>27.940168930841253</v>
      </c>
      <c r="J45" s="691">
        <f t="shared" si="34"/>
        <v>27.940168930841253</v>
      </c>
      <c r="K45" s="691">
        <f t="shared" si="34"/>
        <v>27.940168930841253</v>
      </c>
      <c r="L45" s="691">
        <f t="shared" si="34"/>
        <v>27.940168930841253</v>
      </c>
      <c r="M45" s="691">
        <f t="shared" si="34"/>
        <v>27.940168930841253</v>
      </c>
      <c r="N45" s="691">
        <f t="shared" si="34"/>
        <v>27.940168930841253</v>
      </c>
      <c r="O45" s="691">
        <f t="shared" si="34"/>
        <v>27.940168930841253</v>
      </c>
      <c r="P45" s="691">
        <f t="shared" si="34"/>
        <v>27.940168930841253</v>
      </c>
      <c r="Q45" s="691">
        <f t="shared" si="34"/>
        <v>27.940168930841253</v>
      </c>
      <c r="R45" s="691">
        <f t="shared" si="34"/>
        <v>27.940168930841253</v>
      </c>
      <c r="S45" s="691">
        <f t="shared" si="34"/>
        <v>27.940168930841253</v>
      </c>
      <c r="T45" s="691">
        <f t="shared" si="34"/>
        <v>27.940168930841253</v>
      </c>
      <c r="U45" s="691">
        <f t="shared" si="34"/>
        <v>27.940168930841253</v>
      </c>
      <c r="V45" s="691">
        <f t="shared" si="34"/>
        <v>27.940168930841253</v>
      </c>
      <c r="W45" s="691">
        <f t="shared" si="34"/>
        <v>27.940168930841253</v>
      </c>
      <c r="X45" s="691">
        <f t="shared" si="34"/>
        <v>27.940168930841253</v>
      </c>
      <c r="Y45" s="1221">
        <f t="shared" si="34"/>
        <v>27.940168930841253</v>
      </c>
    </row>
    <row r="46" spans="2:25">
      <c r="B46" s="690" t="s">
        <v>800</v>
      </c>
      <c r="C46" s="206" t="s">
        <v>871</v>
      </c>
      <c r="D46" s="691">
        <f t="shared" ref="D46:Y46" si="35">D193*$D$82/1000000</f>
        <v>0</v>
      </c>
      <c r="E46" s="691">
        <f t="shared" si="35"/>
        <v>0</v>
      </c>
      <c r="F46" s="691">
        <f t="shared" si="35"/>
        <v>0</v>
      </c>
      <c r="G46" s="691">
        <f t="shared" si="35"/>
        <v>0</v>
      </c>
      <c r="H46" s="691">
        <f t="shared" si="35"/>
        <v>0</v>
      </c>
      <c r="I46" s="691">
        <f t="shared" si="35"/>
        <v>0</v>
      </c>
      <c r="J46" s="691">
        <f t="shared" si="35"/>
        <v>0</v>
      </c>
      <c r="K46" s="691">
        <f t="shared" si="35"/>
        <v>0</v>
      </c>
      <c r="L46" s="691">
        <f t="shared" si="35"/>
        <v>0</v>
      </c>
      <c r="M46" s="691">
        <f t="shared" si="35"/>
        <v>0</v>
      </c>
      <c r="N46" s="691">
        <f t="shared" si="35"/>
        <v>0</v>
      </c>
      <c r="O46" s="691">
        <f t="shared" si="35"/>
        <v>0</v>
      </c>
      <c r="P46" s="691">
        <f t="shared" si="35"/>
        <v>0</v>
      </c>
      <c r="Q46" s="691">
        <f t="shared" si="35"/>
        <v>0</v>
      </c>
      <c r="R46" s="691">
        <f t="shared" si="35"/>
        <v>0</v>
      </c>
      <c r="S46" s="691">
        <f t="shared" si="35"/>
        <v>0</v>
      </c>
      <c r="T46" s="691">
        <f t="shared" si="35"/>
        <v>0</v>
      </c>
      <c r="U46" s="691">
        <f t="shared" si="35"/>
        <v>0</v>
      </c>
      <c r="V46" s="691">
        <f t="shared" si="35"/>
        <v>0</v>
      </c>
      <c r="W46" s="691">
        <f t="shared" si="35"/>
        <v>0</v>
      </c>
      <c r="X46" s="691">
        <f t="shared" si="35"/>
        <v>0</v>
      </c>
      <c r="Y46" s="1221">
        <f t="shared" si="35"/>
        <v>0</v>
      </c>
    </row>
    <row r="47" spans="2:25">
      <c r="B47" s="612" t="s">
        <v>799</v>
      </c>
      <c r="C47" s="206" t="s">
        <v>871</v>
      </c>
      <c r="D47" s="691">
        <f t="shared" ref="D47:Y47" si="36">SUM(D48:D50)</f>
        <v>8.4714923327777623</v>
      </c>
      <c r="E47" s="691">
        <f t="shared" si="36"/>
        <v>8.4714923327777623</v>
      </c>
      <c r="F47" s="691">
        <f t="shared" si="36"/>
        <v>8.4714923327777623</v>
      </c>
      <c r="G47" s="691">
        <f t="shared" si="36"/>
        <v>8.4714923327777623</v>
      </c>
      <c r="H47" s="691">
        <f t="shared" si="36"/>
        <v>8.4714923327777623</v>
      </c>
      <c r="I47" s="691">
        <f t="shared" si="36"/>
        <v>8.4714923327777623</v>
      </c>
      <c r="J47" s="691">
        <f t="shared" si="36"/>
        <v>8.4714923327777623</v>
      </c>
      <c r="K47" s="691">
        <f t="shared" si="36"/>
        <v>8.4714923327777623</v>
      </c>
      <c r="L47" s="691">
        <f t="shared" si="36"/>
        <v>8.4714923327777623</v>
      </c>
      <c r="M47" s="691">
        <f t="shared" si="36"/>
        <v>8.4714923327777623</v>
      </c>
      <c r="N47" s="691">
        <f t="shared" si="36"/>
        <v>8.4714923327777623</v>
      </c>
      <c r="O47" s="691">
        <f t="shared" si="36"/>
        <v>8.4714923327777623</v>
      </c>
      <c r="P47" s="691">
        <f t="shared" si="36"/>
        <v>8.4714923327777623</v>
      </c>
      <c r="Q47" s="691">
        <f t="shared" si="36"/>
        <v>8.4714923327777623</v>
      </c>
      <c r="R47" s="691">
        <f t="shared" si="36"/>
        <v>8.4714923327777623</v>
      </c>
      <c r="S47" s="691">
        <f t="shared" si="36"/>
        <v>8.4714923327777623</v>
      </c>
      <c r="T47" s="691">
        <f t="shared" si="36"/>
        <v>8.4714923327777623</v>
      </c>
      <c r="U47" s="691">
        <f t="shared" si="36"/>
        <v>8.4714923327777623</v>
      </c>
      <c r="V47" s="691">
        <f t="shared" si="36"/>
        <v>8.4714923327777623</v>
      </c>
      <c r="W47" s="691">
        <f t="shared" si="36"/>
        <v>8.4714923327777623</v>
      </c>
      <c r="X47" s="691">
        <f t="shared" si="36"/>
        <v>8.4714923327777623</v>
      </c>
      <c r="Y47" s="1221">
        <f t="shared" si="36"/>
        <v>8.4714923327777623</v>
      </c>
    </row>
    <row r="48" spans="2:25">
      <c r="B48" s="695" t="s">
        <v>798</v>
      </c>
      <c r="C48" s="206" t="s">
        <v>871</v>
      </c>
      <c r="D48" s="691">
        <f t="shared" ref="D48:Y48" si="37">D195*$D$78/1000000</f>
        <v>8.4714923327777623</v>
      </c>
      <c r="E48" s="691">
        <f t="shared" si="37"/>
        <v>8.4714923327777623</v>
      </c>
      <c r="F48" s="691">
        <f t="shared" si="37"/>
        <v>8.4714923327777623</v>
      </c>
      <c r="G48" s="691">
        <f t="shared" si="37"/>
        <v>8.4714923327777623</v>
      </c>
      <c r="H48" s="691">
        <f t="shared" si="37"/>
        <v>8.4714923327777623</v>
      </c>
      <c r="I48" s="691">
        <f t="shared" si="37"/>
        <v>8.4714923327777623</v>
      </c>
      <c r="J48" s="691">
        <f t="shared" si="37"/>
        <v>8.4714923327777623</v>
      </c>
      <c r="K48" s="691">
        <f t="shared" si="37"/>
        <v>8.4714923327777623</v>
      </c>
      <c r="L48" s="691">
        <f t="shared" si="37"/>
        <v>8.4714923327777623</v>
      </c>
      <c r="M48" s="691">
        <f t="shared" si="37"/>
        <v>8.4714923327777623</v>
      </c>
      <c r="N48" s="691">
        <f t="shared" si="37"/>
        <v>8.4714923327777623</v>
      </c>
      <c r="O48" s="691">
        <f t="shared" si="37"/>
        <v>8.4714923327777623</v>
      </c>
      <c r="P48" s="691">
        <f t="shared" si="37"/>
        <v>8.4714923327777623</v>
      </c>
      <c r="Q48" s="691">
        <f t="shared" si="37"/>
        <v>8.4714923327777623</v>
      </c>
      <c r="R48" s="691">
        <f t="shared" si="37"/>
        <v>8.4714923327777623</v>
      </c>
      <c r="S48" s="691">
        <f t="shared" si="37"/>
        <v>8.4714923327777623</v>
      </c>
      <c r="T48" s="691">
        <f t="shared" si="37"/>
        <v>8.4714923327777623</v>
      </c>
      <c r="U48" s="691">
        <f t="shared" si="37"/>
        <v>8.4714923327777623</v>
      </c>
      <c r="V48" s="691">
        <f t="shared" si="37"/>
        <v>8.4714923327777623</v>
      </c>
      <c r="W48" s="691">
        <f t="shared" si="37"/>
        <v>8.4714923327777623</v>
      </c>
      <c r="X48" s="691">
        <f t="shared" si="37"/>
        <v>8.4714923327777623</v>
      </c>
      <c r="Y48" s="1221">
        <f t="shared" si="37"/>
        <v>8.4714923327777623</v>
      </c>
    </row>
    <row r="49" spans="2:25">
      <c r="B49" s="695" t="s">
        <v>797</v>
      </c>
      <c r="C49" s="206" t="s">
        <v>871</v>
      </c>
      <c r="D49" s="691">
        <f t="shared" ref="D49:Y49" si="38">D196*$D$82/1000000</f>
        <v>0</v>
      </c>
      <c r="E49" s="691">
        <f t="shared" si="38"/>
        <v>0</v>
      </c>
      <c r="F49" s="691">
        <f t="shared" si="38"/>
        <v>0</v>
      </c>
      <c r="G49" s="691">
        <f t="shared" si="38"/>
        <v>0</v>
      </c>
      <c r="H49" s="691">
        <f t="shared" si="38"/>
        <v>0</v>
      </c>
      <c r="I49" s="691">
        <f t="shared" si="38"/>
        <v>0</v>
      </c>
      <c r="J49" s="691">
        <f t="shared" si="38"/>
        <v>0</v>
      </c>
      <c r="K49" s="691">
        <f t="shared" si="38"/>
        <v>0</v>
      </c>
      <c r="L49" s="691">
        <f t="shared" si="38"/>
        <v>0</v>
      </c>
      <c r="M49" s="691">
        <f t="shared" si="38"/>
        <v>0</v>
      </c>
      <c r="N49" s="691">
        <f t="shared" si="38"/>
        <v>0</v>
      </c>
      <c r="O49" s="691">
        <f t="shared" si="38"/>
        <v>0</v>
      </c>
      <c r="P49" s="691">
        <f t="shared" si="38"/>
        <v>0</v>
      </c>
      <c r="Q49" s="691">
        <f t="shared" si="38"/>
        <v>0</v>
      </c>
      <c r="R49" s="691">
        <f t="shared" si="38"/>
        <v>0</v>
      </c>
      <c r="S49" s="691">
        <f t="shared" si="38"/>
        <v>0</v>
      </c>
      <c r="T49" s="691">
        <f t="shared" si="38"/>
        <v>0</v>
      </c>
      <c r="U49" s="691">
        <f t="shared" si="38"/>
        <v>0</v>
      </c>
      <c r="V49" s="691">
        <f t="shared" si="38"/>
        <v>0</v>
      </c>
      <c r="W49" s="691">
        <f t="shared" si="38"/>
        <v>0</v>
      </c>
      <c r="X49" s="691">
        <f t="shared" si="38"/>
        <v>0</v>
      </c>
      <c r="Y49" s="1221">
        <f t="shared" si="38"/>
        <v>0</v>
      </c>
    </row>
    <row r="50" spans="2:25">
      <c r="B50" s="690" t="s">
        <v>573</v>
      </c>
      <c r="C50" s="206" t="s">
        <v>871</v>
      </c>
      <c r="D50" s="691">
        <f t="shared" ref="D50:Y50" si="39">D197*$D$82/1000000</f>
        <v>0</v>
      </c>
      <c r="E50" s="691">
        <f t="shared" si="39"/>
        <v>0</v>
      </c>
      <c r="F50" s="691">
        <f t="shared" si="39"/>
        <v>0</v>
      </c>
      <c r="G50" s="691">
        <f t="shared" si="39"/>
        <v>0</v>
      </c>
      <c r="H50" s="691">
        <f t="shared" si="39"/>
        <v>0</v>
      </c>
      <c r="I50" s="691">
        <f t="shared" si="39"/>
        <v>0</v>
      </c>
      <c r="J50" s="691">
        <f t="shared" si="39"/>
        <v>0</v>
      </c>
      <c r="K50" s="691">
        <f t="shared" si="39"/>
        <v>0</v>
      </c>
      <c r="L50" s="691">
        <f t="shared" si="39"/>
        <v>0</v>
      </c>
      <c r="M50" s="691">
        <f t="shared" si="39"/>
        <v>0</v>
      </c>
      <c r="N50" s="691">
        <f t="shared" si="39"/>
        <v>0</v>
      </c>
      <c r="O50" s="691">
        <f t="shared" si="39"/>
        <v>0</v>
      </c>
      <c r="P50" s="691">
        <f t="shared" si="39"/>
        <v>0</v>
      </c>
      <c r="Q50" s="691">
        <f t="shared" si="39"/>
        <v>0</v>
      </c>
      <c r="R50" s="691">
        <f t="shared" si="39"/>
        <v>0</v>
      </c>
      <c r="S50" s="691">
        <f t="shared" si="39"/>
        <v>0</v>
      </c>
      <c r="T50" s="691">
        <f t="shared" si="39"/>
        <v>0</v>
      </c>
      <c r="U50" s="691">
        <f t="shared" si="39"/>
        <v>0</v>
      </c>
      <c r="V50" s="691">
        <f t="shared" si="39"/>
        <v>0</v>
      </c>
      <c r="W50" s="691">
        <f t="shared" si="39"/>
        <v>0</v>
      </c>
      <c r="X50" s="691">
        <f t="shared" si="39"/>
        <v>0</v>
      </c>
      <c r="Y50" s="1221">
        <f t="shared" si="39"/>
        <v>0</v>
      </c>
    </row>
    <row r="51" spans="2:25">
      <c r="B51" s="120"/>
      <c r="D51" s="691"/>
      <c r="E51" s="691"/>
      <c r="F51" s="691"/>
      <c r="G51" s="691"/>
      <c r="H51" s="691"/>
      <c r="I51" s="691"/>
      <c r="J51" s="691"/>
      <c r="K51" s="691"/>
      <c r="L51" s="691"/>
      <c r="M51" s="691"/>
      <c r="N51" s="691"/>
      <c r="O51" s="691"/>
      <c r="P51" s="691"/>
      <c r="Q51" s="691"/>
      <c r="R51" s="691"/>
      <c r="S51" s="691"/>
      <c r="T51" s="691"/>
      <c r="U51" s="691"/>
      <c r="V51" s="691"/>
      <c r="W51" s="691"/>
      <c r="X51" s="691"/>
      <c r="Y51" s="1221"/>
    </row>
    <row r="52" spans="2:25">
      <c r="B52" s="694" t="s">
        <v>870</v>
      </c>
      <c r="C52" s="206" t="s">
        <v>414</v>
      </c>
      <c r="D52" s="686">
        <f t="shared" ref="D52:Y52" si="40">D188</f>
        <v>0.91645786959940567</v>
      </c>
      <c r="E52" s="686">
        <f t="shared" si="40"/>
        <v>0.94147936621814809</v>
      </c>
      <c r="F52" s="686">
        <f t="shared" si="40"/>
        <v>0.96718400967190576</v>
      </c>
      <c r="G52" s="686">
        <f t="shared" si="40"/>
        <v>0.99359045150679948</v>
      </c>
      <c r="H52" s="686">
        <f t="shared" si="40"/>
        <v>1.0207178525008671</v>
      </c>
      <c r="I52" s="686">
        <f t="shared" si="40"/>
        <v>1.0485858965673163</v>
      </c>
      <c r="J52" s="686">
        <f t="shared" si="40"/>
        <v>1.077214805037368</v>
      </c>
      <c r="K52" s="686">
        <f t="shared" si="40"/>
        <v>1.1066253513330568</v>
      </c>
      <c r="L52" s="686">
        <f t="shared" si="40"/>
        <v>1.1368388760406334</v>
      </c>
      <c r="M52" s="686">
        <f t="shared" si="40"/>
        <v>1.1678773023955071</v>
      </c>
      <c r="N52" s="686">
        <f t="shared" si="40"/>
        <v>1.1997631521899645</v>
      </c>
      <c r="O52" s="686">
        <f t="shared" si="40"/>
        <v>1.2325195621152074</v>
      </c>
      <c r="P52" s="686">
        <f t="shared" si="40"/>
        <v>1.2661703005495664</v>
      </c>
      <c r="Q52" s="686">
        <f t="shared" si="40"/>
        <v>1.3007397848050744</v>
      </c>
      <c r="R52" s="686">
        <f t="shared" si="40"/>
        <v>1.3362530988449115</v>
      </c>
      <c r="S52" s="686">
        <f t="shared" si="40"/>
        <v>1.3727360114845801</v>
      </c>
      <c r="T52" s="686">
        <f t="shared" si="40"/>
        <v>1.4102149950900145</v>
      </c>
      <c r="U52" s="686">
        <f t="shared" si="40"/>
        <v>1.4487172447861936</v>
      </c>
      <c r="V52" s="686">
        <f t="shared" si="40"/>
        <v>1.4882706981901961</v>
      </c>
      <c r="W52" s="686">
        <f t="shared" si="40"/>
        <v>1.5289040556830145</v>
      </c>
      <c r="X52" s="686">
        <f t="shared" si="40"/>
        <v>1.5706468012348378</v>
      </c>
      <c r="Y52" s="1222">
        <f t="shared" si="40"/>
        <v>1.6135292237989154</v>
      </c>
    </row>
    <row r="53" spans="2:25">
      <c r="B53" s="120"/>
      <c r="D53" s="691"/>
      <c r="E53" s="691"/>
      <c r="F53" s="691"/>
      <c r="G53" s="691"/>
      <c r="H53" s="691"/>
      <c r="I53" s="691"/>
      <c r="J53" s="691"/>
      <c r="K53" s="691"/>
      <c r="L53" s="691"/>
      <c r="M53" s="691"/>
      <c r="N53" s="691"/>
      <c r="O53" s="691"/>
      <c r="P53" s="691"/>
      <c r="Q53" s="691"/>
      <c r="R53" s="691"/>
      <c r="S53" s="691"/>
      <c r="T53" s="691"/>
      <c r="U53" s="691"/>
      <c r="V53" s="691"/>
      <c r="W53" s="691"/>
      <c r="X53" s="691"/>
      <c r="Y53" s="1221"/>
    </row>
    <row r="54" spans="2:25">
      <c r="B54" s="693" t="s">
        <v>869</v>
      </c>
      <c r="D54" s="692">
        <f t="shared" ref="D54:Y54" si="41">D55+D58</f>
        <v>33.369753510231483</v>
      </c>
      <c r="E54" s="692">
        <f t="shared" si="41"/>
        <v>34.280827769421926</v>
      </c>
      <c r="F54" s="692">
        <f t="shared" si="41"/>
        <v>35.21677653976225</v>
      </c>
      <c r="G54" s="692">
        <f t="shared" si="41"/>
        <v>36.178278955031857</v>
      </c>
      <c r="H54" s="692">
        <f t="shared" si="41"/>
        <v>37.166032690990207</v>
      </c>
      <c r="I54" s="692">
        <f t="shared" si="41"/>
        <v>38.180754471617362</v>
      </c>
      <c r="J54" s="692">
        <f t="shared" si="41"/>
        <v>39.223180589176039</v>
      </c>
      <c r="K54" s="692">
        <f t="shared" si="41"/>
        <v>40.294067438472652</v>
      </c>
      <c r="L54" s="692">
        <f t="shared" si="41"/>
        <v>41.394192065704914</v>
      </c>
      <c r="M54" s="692">
        <f t="shared" si="41"/>
        <v>42.524352732294361</v>
      </c>
      <c r="N54" s="692">
        <f t="shared" si="41"/>
        <v>43.685369494112777</v>
      </c>
      <c r="O54" s="692">
        <f t="shared" si="41"/>
        <v>44.87808479652297</v>
      </c>
      <c r="P54" s="692">
        <f t="shared" si="41"/>
        <v>46.10336408566549</v>
      </c>
      <c r="Q54" s="692">
        <f t="shared" si="41"/>
        <v>47.36209643643506</v>
      </c>
      <c r="R54" s="692">
        <f t="shared" si="41"/>
        <v>48.65519519760214</v>
      </c>
      <c r="S54" s="692">
        <f t="shared" si="41"/>
        <v>49.983598654547954</v>
      </c>
      <c r="T54" s="692">
        <f t="shared" si="41"/>
        <v>51.348270710093757</v>
      </c>
      <c r="U54" s="692">
        <f t="shared" si="41"/>
        <v>52.750201583918312</v>
      </c>
      <c r="V54" s="692">
        <f t="shared" si="41"/>
        <v>54.190408531071185</v>
      </c>
      <c r="W54" s="692">
        <f t="shared" si="41"/>
        <v>55.669936580103226</v>
      </c>
      <c r="X54" s="692">
        <f t="shared" si="41"/>
        <v>57.189859291349656</v>
      </c>
      <c r="Y54" s="1220">
        <f t="shared" si="41"/>
        <v>58.751279535916225</v>
      </c>
    </row>
    <row r="55" spans="2:25">
      <c r="B55" s="612" t="s">
        <v>802</v>
      </c>
      <c r="C55" s="72" t="s">
        <v>693</v>
      </c>
      <c r="D55" s="691">
        <f t="shared" ref="D55:Y55" si="42">SUM(D56:D57)</f>
        <v>25.605987694606277</v>
      </c>
      <c r="E55" s="691">
        <f t="shared" si="42"/>
        <v>26.305092537036415</v>
      </c>
      <c r="F55" s="691">
        <f t="shared" si="42"/>
        <v>27.023284617441448</v>
      </c>
      <c r="G55" s="691">
        <f t="shared" si="42"/>
        <v>27.76108506317081</v>
      </c>
      <c r="H55" s="691">
        <f t="shared" si="42"/>
        <v>28.519029229599731</v>
      </c>
      <c r="I55" s="691">
        <f t="shared" si="42"/>
        <v>29.297667088588451</v>
      </c>
      <c r="J55" s="691">
        <f t="shared" si="42"/>
        <v>30.097563627547288</v>
      </c>
      <c r="K55" s="691">
        <f t="shared" si="42"/>
        <v>30.91929925939716</v>
      </c>
      <c r="L55" s="691">
        <f t="shared" si="42"/>
        <v>31.763470243722995</v>
      </c>
      <c r="M55" s="691">
        <f t="shared" si="42"/>
        <v>32.630689119425647</v>
      </c>
      <c r="N55" s="691">
        <f t="shared" si="42"/>
        <v>33.521585149186215</v>
      </c>
      <c r="O55" s="691">
        <f t="shared" si="42"/>
        <v>34.436804776065387</v>
      </c>
      <c r="P55" s="691">
        <f t="shared" si="42"/>
        <v>35.377012092568926</v>
      </c>
      <c r="Q55" s="691">
        <f t="shared" si="42"/>
        <v>36.342889322519873</v>
      </c>
      <c r="R55" s="691">
        <f t="shared" si="42"/>
        <v>37.335137316086943</v>
      </c>
      <c r="S55" s="691">
        <f t="shared" si="42"/>
        <v>38.354476058328409</v>
      </c>
      <c r="T55" s="691">
        <f t="shared" si="42"/>
        <v>39.401645191620474</v>
      </c>
      <c r="U55" s="691">
        <f t="shared" si="42"/>
        <v>40.477404552349149</v>
      </c>
      <c r="V55" s="691">
        <f t="shared" si="42"/>
        <v>41.582534722255133</v>
      </c>
      <c r="W55" s="691">
        <f t="shared" si="42"/>
        <v>42.717837594831742</v>
      </c>
      <c r="X55" s="691">
        <f t="shared" si="42"/>
        <v>43.884136957186811</v>
      </c>
      <c r="Y55" s="1221">
        <f t="shared" si="42"/>
        <v>45.082279087790859</v>
      </c>
    </row>
    <row r="56" spans="2:25" s="205" customFormat="1">
      <c r="B56" s="690" t="s">
        <v>801</v>
      </c>
      <c r="C56" s="205" t="s">
        <v>693</v>
      </c>
      <c r="D56" s="689">
        <f t="shared" ref="D56:Y56" si="43">D45*D52</f>
        <v>25.605987694606277</v>
      </c>
      <c r="E56" s="689">
        <f t="shared" si="43"/>
        <v>26.305092537036415</v>
      </c>
      <c r="F56" s="689">
        <f t="shared" si="43"/>
        <v>27.023284617441448</v>
      </c>
      <c r="G56" s="689">
        <f t="shared" si="43"/>
        <v>27.76108506317081</v>
      </c>
      <c r="H56" s="689">
        <f t="shared" si="43"/>
        <v>28.519029229599731</v>
      </c>
      <c r="I56" s="689">
        <f t="shared" si="43"/>
        <v>29.297667088588451</v>
      </c>
      <c r="J56" s="689">
        <f t="shared" si="43"/>
        <v>30.097563627547288</v>
      </c>
      <c r="K56" s="689">
        <f t="shared" si="43"/>
        <v>30.91929925939716</v>
      </c>
      <c r="L56" s="689">
        <f t="shared" si="43"/>
        <v>31.763470243722995</v>
      </c>
      <c r="M56" s="689">
        <f t="shared" si="43"/>
        <v>32.630689119425647</v>
      </c>
      <c r="N56" s="689">
        <f t="shared" si="43"/>
        <v>33.521585149186215</v>
      </c>
      <c r="O56" s="689">
        <f t="shared" si="43"/>
        <v>34.436804776065387</v>
      </c>
      <c r="P56" s="689">
        <f t="shared" si="43"/>
        <v>35.377012092568926</v>
      </c>
      <c r="Q56" s="689">
        <f t="shared" si="43"/>
        <v>36.342889322519873</v>
      </c>
      <c r="R56" s="689">
        <f t="shared" si="43"/>
        <v>37.335137316086943</v>
      </c>
      <c r="S56" s="689">
        <f t="shared" si="43"/>
        <v>38.354476058328409</v>
      </c>
      <c r="T56" s="689">
        <f t="shared" si="43"/>
        <v>39.401645191620474</v>
      </c>
      <c r="U56" s="689">
        <f t="shared" si="43"/>
        <v>40.477404552349149</v>
      </c>
      <c r="V56" s="689">
        <f t="shared" si="43"/>
        <v>41.582534722255133</v>
      </c>
      <c r="W56" s="689">
        <f t="shared" si="43"/>
        <v>42.717837594831742</v>
      </c>
      <c r="X56" s="689">
        <f t="shared" si="43"/>
        <v>43.884136957186811</v>
      </c>
      <c r="Y56" s="1223">
        <f t="shared" si="43"/>
        <v>45.082279087790859</v>
      </c>
    </row>
    <row r="57" spans="2:25" s="205" customFormat="1">
      <c r="B57" s="690" t="s">
        <v>800</v>
      </c>
      <c r="C57" s="205" t="s">
        <v>693</v>
      </c>
      <c r="D57" s="689">
        <f t="shared" ref="D57:Y57" si="44">D46*D52</f>
        <v>0</v>
      </c>
      <c r="E57" s="689">
        <f t="shared" si="44"/>
        <v>0</v>
      </c>
      <c r="F57" s="689">
        <f t="shared" si="44"/>
        <v>0</v>
      </c>
      <c r="G57" s="689">
        <f t="shared" si="44"/>
        <v>0</v>
      </c>
      <c r="H57" s="689">
        <f t="shared" si="44"/>
        <v>0</v>
      </c>
      <c r="I57" s="689">
        <f t="shared" si="44"/>
        <v>0</v>
      </c>
      <c r="J57" s="689">
        <f t="shared" si="44"/>
        <v>0</v>
      </c>
      <c r="K57" s="689">
        <f t="shared" si="44"/>
        <v>0</v>
      </c>
      <c r="L57" s="689">
        <f t="shared" si="44"/>
        <v>0</v>
      </c>
      <c r="M57" s="689">
        <f t="shared" si="44"/>
        <v>0</v>
      </c>
      <c r="N57" s="689">
        <f t="shared" si="44"/>
        <v>0</v>
      </c>
      <c r="O57" s="689">
        <f t="shared" si="44"/>
        <v>0</v>
      </c>
      <c r="P57" s="689">
        <f t="shared" si="44"/>
        <v>0</v>
      </c>
      <c r="Q57" s="689">
        <f t="shared" si="44"/>
        <v>0</v>
      </c>
      <c r="R57" s="689">
        <f t="shared" si="44"/>
        <v>0</v>
      </c>
      <c r="S57" s="689">
        <f t="shared" si="44"/>
        <v>0</v>
      </c>
      <c r="T57" s="689">
        <f t="shared" si="44"/>
        <v>0</v>
      </c>
      <c r="U57" s="689">
        <f t="shared" si="44"/>
        <v>0</v>
      </c>
      <c r="V57" s="689">
        <f t="shared" si="44"/>
        <v>0</v>
      </c>
      <c r="W57" s="689">
        <f t="shared" si="44"/>
        <v>0</v>
      </c>
      <c r="X57" s="689">
        <f t="shared" si="44"/>
        <v>0</v>
      </c>
      <c r="Y57" s="1223">
        <f t="shared" si="44"/>
        <v>0</v>
      </c>
    </row>
    <row r="58" spans="2:25" s="205" customFormat="1">
      <c r="B58" s="609" t="s">
        <v>799</v>
      </c>
      <c r="C58" s="205" t="s">
        <v>693</v>
      </c>
      <c r="D58" s="689">
        <f t="shared" ref="D58:Y58" si="45">SUM(D59:D61)</f>
        <v>7.7637658156252076</v>
      </c>
      <c r="E58" s="689">
        <f t="shared" si="45"/>
        <v>7.9757352323855084</v>
      </c>
      <c r="F58" s="689">
        <f t="shared" si="45"/>
        <v>8.1934919223208027</v>
      </c>
      <c r="G58" s="689">
        <f t="shared" si="45"/>
        <v>8.4171938918610465</v>
      </c>
      <c r="H58" s="689">
        <f t="shared" si="45"/>
        <v>8.6470034613904794</v>
      </c>
      <c r="I58" s="689">
        <f t="shared" si="45"/>
        <v>8.883087383028915</v>
      </c>
      <c r="J58" s="689">
        <f t="shared" si="45"/>
        <v>9.1256169616287544</v>
      </c>
      <c r="K58" s="689">
        <f t="shared" si="45"/>
        <v>9.3747681790754882</v>
      </c>
      <c r="L58" s="689">
        <f t="shared" si="45"/>
        <v>9.6307218219819148</v>
      </c>
      <c r="M58" s="689">
        <f t="shared" si="45"/>
        <v>9.8936636128687141</v>
      </c>
      <c r="N58" s="689">
        <f t="shared" si="45"/>
        <v>10.163784344926563</v>
      </c>
      <c r="O58" s="689">
        <f t="shared" si="45"/>
        <v>10.441280020457585</v>
      </c>
      <c r="P58" s="689">
        <f t="shared" si="45"/>
        <v>10.726351993096566</v>
      </c>
      <c r="Q58" s="689">
        <f t="shared" si="45"/>
        <v>11.019207113915185</v>
      </c>
      <c r="R58" s="689">
        <f t="shared" si="45"/>
        <v>11.320057881515194</v>
      </c>
      <c r="S58" s="689">
        <f t="shared" si="45"/>
        <v>11.629122596219547</v>
      </c>
      <c r="T58" s="689">
        <f t="shared" si="45"/>
        <v>11.946625518473287</v>
      </c>
      <c r="U58" s="689">
        <f t="shared" si="45"/>
        <v>12.272797031569164</v>
      </c>
      <c r="V58" s="689">
        <f t="shared" si="45"/>
        <v>12.607873808816054</v>
      </c>
      <c r="W58" s="689">
        <f t="shared" si="45"/>
        <v>12.952098985271482</v>
      </c>
      <c r="X58" s="689">
        <f t="shared" si="45"/>
        <v>13.305722334162846</v>
      </c>
      <c r="Y58" s="1223">
        <f t="shared" si="45"/>
        <v>13.669000448125367</v>
      </c>
    </row>
    <row r="59" spans="2:25" s="205" customFormat="1">
      <c r="B59" s="690" t="s">
        <v>798</v>
      </c>
      <c r="C59" s="205" t="s">
        <v>693</v>
      </c>
      <c r="D59" s="689">
        <f t="shared" ref="D59:Y59" si="46">D48*D52</f>
        <v>7.7637658156252076</v>
      </c>
      <c r="E59" s="689">
        <f t="shared" si="46"/>
        <v>7.9757352323855084</v>
      </c>
      <c r="F59" s="689">
        <f t="shared" si="46"/>
        <v>8.1934919223208027</v>
      </c>
      <c r="G59" s="689">
        <f t="shared" si="46"/>
        <v>8.4171938918610465</v>
      </c>
      <c r="H59" s="689">
        <f t="shared" si="46"/>
        <v>8.6470034613904794</v>
      </c>
      <c r="I59" s="689">
        <f t="shared" si="46"/>
        <v>8.883087383028915</v>
      </c>
      <c r="J59" s="689">
        <f t="shared" si="46"/>
        <v>9.1256169616287544</v>
      </c>
      <c r="K59" s="689">
        <f t="shared" si="46"/>
        <v>9.3747681790754882</v>
      </c>
      <c r="L59" s="689">
        <f t="shared" si="46"/>
        <v>9.6307218219819148</v>
      </c>
      <c r="M59" s="689">
        <f t="shared" si="46"/>
        <v>9.8936636128687141</v>
      </c>
      <c r="N59" s="689">
        <f t="shared" si="46"/>
        <v>10.163784344926563</v>
      </c>
      <c r="O59" s="689">
        <f t="shared" si="46"/>
        <v>10.441280020457585</v>
      </c>
      <c r="P59" s="689">
        <f t="shared" si="46"/>
        <v>10.726351993096566</v>
      </c>
      <c r="Q59" s="689">
        <f t="shared" si="46"/>
        <v>11.019207113915185</v>
      </c>
      <c r="R59" s="689">
        <f t="shared" si="46"/>
        <v>11.320057881515194</v>
      </c>
      <c r="S59" s="689">
        <f t="shared" si="46"/>
        <v>11.629122596219547</v>
      </c>
      <c r="T59" s="689">
        <f t="shared" si="46"/>
        <v>11.946625518473287</v>
      </c>
      <c r="U59" s="689">
        <f t="shared" si="46"/>
        <v>12.272797031569164</v>
      </c>
      <c r="V59" s="689">
        <f t="shared" si="46"/>
        <v>12.607873808816054</v>
      </c>
      <c r="W59" s="689">
        <f t="shared" si="46"/>
        <v>12.952098985271482</v>
      </c>
      <c r="X59" s="689">
        <f t="shared" si="46"/>
        <v>13.305722334162846</v>
      </c>
      <c r="Y59" s="1223">
        <f t="shared" si="46"/>
        <v>13.669000448125367</v>
      </c>
    </row>
    <row r="60" spans="2:25" s="205" customFormat="1">
      <c r="B60" s="690" t="s">
        <v>797</v>
      </c>
      <c r="C60" s="205" t="s">
        <v>693</v>
      </c>
      <c r="D60" s="689">
        <f t="shared" ref="D60:Y60" si="47">D49*D52</f>
        <v>0</v>
      </c>
      <c r="E60" s="689">
        <f t="shared" si="47"/>
        <v>0</v>
      </c>
      <c r="F60" s="689">
        <f t="shared" si="47"/>
        <v>0</v>
      </c>
      <c r="G60" s="689">
        <f t="shared" si="47"/>
        <v>0</v>
      </c>
      <c r="H60" s="689">
        <f>H49*H52</f>
        <v>0</v>
      </c>
      <c r="I60" s="689">
        <f t="shared" si="47"/>
        <v>0</v>
      </c>
      <c r="J60" s="689">
        <f t="shared" si="47"/>
        <v>0</v>
      </c>
      <c r="K60" s="689">
        <f t="shared" si="47"/>
        <v>0</v>
      </c>
      <c r="L60" s="689">
        <f t="shared" si="47"/>
        <v>0</v>
      </c>
      <c r="M60" s="689">
        <f t="shared" si="47"/>
        <v>0</v>
      </c>
      <c r="N60" s="689">
        <f t="shared" si="47"/>
        <v>0</v>
      </c>
      <c r="O60" s="689">
        <f t="shared" si="47"/>
        <v>0</v>
      </c>
      <c r="P60" s="689">
        <f t="shared" si="47"/>
        <v>0</v>
      </c>
      <c r="Q60" s="689">
        <f t="shared" si="47"/>
        <v>0</v>
      </c>
      <c r="R60" s="689">
        <f t="shared" si="47"/>
        <v>0</v>
      </c>
      <c r="S60" s="689">
        <f t="shared" si="47"/>
        <v>0</v>
      </c>
      <c r="T60" s="689">
        <f t="shared" si="47"/>
        <v>0</v>
      </c>
      <c r="U60" s="689">
        <f t="shared" si="47"/>
        <v>0</v>
      </c>
      <c r="V60" s="689">
        <f t="shared" si="47"/>
        <v>0</v>
      </c>
      <c r="W60" s="689">
        <f t="shared" si="47"/>
        <v>0</v>
      </c>
      <c r="X60" s="689">
        <f t="shared" si="47"/>
        <v>0</v>
      </c>
      <c r="Y60" s="1223">
        <f t="shared" si="47"/>
        <v>0</v>
      </c>
    </row>
    <row r="61" spans="2:25" s="205" customFormat="1">
      <c r="B61" s="690" t="s">
        <v>573</v>
      </c>
      <c r="C61" s="205" t="s">
        <v>693</v>
      </c>
      <c r="D61" s="689">
        <f t="shared" ref="D61:Y61" si="48">D50*D52</f>
        <v>0</v>
      </c>
      <c r="E61" s="689">
        <f t="shared" si="48"/>
        <v>0</v>
      </c>
      <c r="F61" s="689">
        <f t="shared" si="48"/>
        <v>0</v>
      </c>
      <c r="G61" s="689">
        <f t="shared" si="48"/>
        <v>0</v>
      </c>
      <c r="H61" s="689">
        <f t="shared" si="48"/>
        <v>0</v>
      </c>
      <c r="I61" s="689">
        <f t="shared" si="48"/>
        <v>0</v>
      </c>
      <c r="J61" s="689">
        <f t="shared" si="48"/>
        <v>0</v>
      </c>
      <c r="K61" s="689">
        <f t="shared" si="48"/>
        <v>0</v>
      </c>
      <c r="L61" s="689">
        <f t="shared" si="48"/>
        <v>0</v>
      </c>
      <c r="M61" s="689">
        <f t="shared" si="48"/>
        <v>0</v>
      </c>
      <c r="N61" s="689">
        <f t="shared" si="48"/>
        <v>0</v>
      </c>
      <c r="O61" s="689">
        <f t="shared" si="48"/>
        <v>0</v>
      </c>
      <c r="P61" s="689">
        <f t="shared" si="48"/>
        <v>0</v>
      </c>
      <c r="Q61" s="689">
        <f t="shared" si="48"/>
        <v>0</v>
      </c>
      <c r="R61" s="689">
        <f t="shared" si="48"/>
        <v>0</v>
      </c>
      <c r="S61" s="689">
        <f t="shared" si="48"/>
        <v>0</v>
      </c>
      <c r="T61" s="689">
        <f t="shared" si="48"/>
        <v>0</v>
      </c>
      <c r="U61" s="689">
        <f t="shared" si="48"/>
        <v>0</v>
      </c>
      <c r="V61" s="689">
        <f t="shared" si="48"/>
        <v>0</v>
      </c>
      <c r="W61" s="689">
        <f t="shared" si="48"/>
        <v>0</v>
      </c>
      <c r="X61" s="689">
        <f t="shared" si="48"/>
        <v>0</v>
      </c>
      <c r="Y61" s="1223">
        <f t="shared" si="48"/>
        <v>0</v>
      </c>
    </row>
    <row r="62" spans="2:25" ht="15.75" thickBot="1">
      <c r="B62" s="118"/>
      <c r="C62" s="437"/>
      <c r="D62" s="437"/>
      <c r="E62" s="437"/>
      <c r="F62" s="437"/>
      <c r="G62" s="437"/>
      <c r="H62" s="437"/>
      <c r="I62" s="437"/>
      <c r="J62" s="437"/>
      <c r="K62" s="437"/>
      <c r="L62" s="437"/>
      <c r="M62" s="437"/>
      <c r="N62" s="437"/>
      <c r="O62" s="437"/>
      <c r="P62" s="437"/>
      <c r="Q62" s="437"/>
      <c r="R62" s="437"/>
      <c r="S62" s="437"/>
      <c r="T62" s="437"/>
      <c r="U62" s="437"/>
      <c r="V62" s="437"/>
      <c r="W62" s="437"/>
      <c r="X62" s="437"/>
      <c r="Y62" s="117"/>
    </row>
    <row r="64" spans="2:25">
      <c r="B64" s="3" t="s">
        <v>868</v>
      </c>
      <c r="C64" s="225" t="s">
        <v>419</v>
      </c>
      <c r="D64" s="225" t="s">
        <v>867</v>
      </c>
      <c r="E64" s="3" t="s">
        <v>352</v>
      </c>
    </row>
    <row r="65" spans="2:15">
      <c r="B65" s="205"/>
      <c r="C65" s="206"/>
      <c r="D65" s="2"/>
      <c r="G65" s="205"/>
      <c r="I65" s="688"/>
      <c r="J65" s="683"/>
    </row>
    <row r="66" spans="2:15">
      <c r="B66" s="1" t="s">
        <v>1361</v>
      </c>
      <c r="C66" s="12">
        <v>1285994</v>
      </c>
      <c r="D66" s="1"/>
      <c r="E66" s="1"/>
      <c r="M66" s="1"/>
      <c r="N66" s="1"/>
      <c r="O66" s="1"/>
    </row>
    <row r="67" spans="2:15">
      <c r="B67" s="914" t="s">
        <v>1362</v>
      </c>
      <c r="C67" s="915">
        <f>health!B15</f>
        <v>4238.9003035837823</v>
      </c>
      <c r="D67" s="914"/>
      <c r="E67" s="914"/>
      <c r="M67" s="914"/>
      <c r="N67" s="914"/>
      <c r="O67" s="914"/>
    </row>
    <row r="68" spans="2:15">
      <c r="B68" s="72" t="s">
        <v>1339</v>
      </c>
      <c r="C68" s="206" t="s">
        <v>909</v>
      </c>
      <c r="D68" s="687">
        <f>health!B18</f>
        <v>1.0628134265014697</v>
      </c>
      <c r="E68" s="72" t="s">
        <v>741</v>
      </c>
      <c r="K68" s="686">
        <v>1.0111131939094551</v>
      </c>
    </row>
    <row r="69" spans="2:15">
      <c r="B69" s="205" t="s">
        <v>910</v>
      </c>
      <c r="C69" s="204" t="s">
        <v>227</v>
      </c>
      <c r="D69" s="310">
        <v>0.42</v>
      </c>
      <c r="E69" s="309" t="s">
        <v>585</v>
      </c>
      <c r="K69" s="686">
        <v>0.92156916629166652</v>
      </c>
    </row>
    <row r="70" spans="2:15">
      <c r="B70" s="72" t="s">
        <v>866</v>
      </c>
      <c r="C70" s="206" t="s">
        <v>414</v>
      </c>
      <c r="D70" s="685">
        <f>F71*ERR!C38+'Time Savings'!G71*ERR!D38+'Time Savings'!H71*ERR!E38</f>
        <v>0.91645786959940567</v>
      </c>
      <c r="E70" s="205" t="s">
        <v>911</v>
      </c>
      <c r="F70" s="205" t="s">
        <v>912</v>
      </c>
      <c r="G70" s="205" t="s">
        <v>1363</v>
      </c>
      <c r="H70" s="205" t="s">
        <v>913</v>
      </c>
      <c r="J70" s="72" t="s">
        <v>423</v>
      </c>
      <c r="K70" s="211">
        <f>(K69-K68)/K68</f>
        <v>-8.8559844888946443E-2</v>
      </c>
    </row>
    <row r="71" spans="2:15">
      <c r="C71" s="206"/>
      <c r="D71" s="671"/>
      <c r="F71" s="72">
        <f>0.4*1.01</f>
        <v>0.40400000000000003</v>
      </c>
      <c r="G71" s="686">
        <f>(C66/C67)*(1-D69)/(24*8)</f>
        <v>0.91645786959940567</v>
      </c>
      <c r="H71" s="686">
        <f>D68*(1-(0.42-0.35))</f>
        <v>0.98841648664636672</v>
      </c>
    </row>
    <row r="72" spans="2:15">
      <c r="B72" s="212" t="s">
        <v>865</v>
      </c>
      <c r="C72" s="204" t="s">
        <v>864</v>
      </c>
      <c r="D72" s="206">
        <v>4.93</v>
      </c>
      <c r="E72" s="72" t="s">
        <v>859</v>
      </c>
    </row>
    <row r="73" spans="2:15">
      <c r="B73" s="212" t="s">
        <v>863</v>
      </c>
      <c r="C73" s="204" t="s">
        <v>862</v>
      </c>
      <c r="D73" s="206">
        <v>2</v>
      </c>
      <c r="E73" s="72" t="s">
        <v>547</v>
      </c>
    </row>
    <row r="74" spans="2:15">
      <c r="B74" s="212" t="s">
        <v>861</v>
      </c>
      <c r="C74" s="204" t="s">
        <v>857</v>
      </c>
      <c r="D74" s="684">
        <f>25.7*2*H74</f>
        <v>51.4</v>
      </c>
      <c r="E74" s="72" t="s">
        <v>856</v>
      </c>
      <c r="H74" s="683">
        <v>1</v>
      </c>
      <c r="I74" s="72" t="s">
        <v>426</v>
      </c>
      <c r="K74" s="72">
        <v>51.4</v>
      </c>
    </row>
    <row r="75" spans="2:15">
      <c r="B75" s="212" t="s">
        <v>860</v>
      </c>
      <c r="C75" s="204" t="s">
        <v>857</v>
      </c>
      <c r="D75" s="206">
        <f>15*2</f>
        <v>30</v>
      </c>
      <c r="E75" s="72" t="s">
        <v>859</v>
      </c>
      <c r="K75" s="682">
        <v>37.572585290629199</v>
      </c>
    </row>
    <row r="76" spans="2:15">
      <c r="B76" s="212" t="s">
        <v>858</v>
      </c>
      <c r="C76" s="204" t="s">
        <v>857</v>
      </c>
      <c r="D76" s="204">
        <v>35.799999999999997</v>
      </c>
      <c r="E76" s="72" t="s">
        <v>856</v>
      </c>
      <c r="J76" s="72" t="s">
        <v>423</v>
      </c>
      <c r="K76" s="681">
        <f>(K75-K74)/K74</f>
        <v>-0.26901585037686382</v>
      </c>
    </row>
    <row r="77" spans="2:15">
      <c r="B77" s="212" t="s">
        <v>851</v>
      </c>
      <c r="C77" s="204" t="s">
        <v>848</v>
      </c>
      <c r="D77" s="308">
        <f>($D$72/$D$73)*(D74+$D$76)*365/60</f>
        <v>1307.6003333333329</v>
      </c>
      <c r="E77" s="72" t="s">
        <v>855</v>
      </c>
    </row>
    <row r="78" spans="2:15">
      <c r="B78" s="212" t="s">
        <v>849</v>
      </c>
      <c r="C78" s="204" t="s">
        <v>848</v>
      </c>
      <c r="D78" s="308">
        <f>($D$72/$D$73)*(D75+$D$76)*365/60</f>
        <v>986.6984166666665</v>
      </c>
      <c r="E78" s="680" t="s">
        <v>854</v>
      </c>
    </row>
    <row r="79" spans="2:15">
      <c r="B79" s="679" t="s">
        <v>853</v>
      </c>
      <c r="C79" s="204"/>
      <c r="D79" s="671"/>
    </row>
    <row r="80" spans="2:15">
      <c r="B80" s="305" t="s">
        <v>851</v>
      </c>
      <c r="C80" s="204" t="s">
        <v>848</v>
      </c>
      <c r="D80" s="308">
        <f>110%*D78</f>
        <v>1085.3682583333332</v>
      </c>
      <c r="E80" s="680" t="s">
        <v>852</v>
      </c>
    </row>
    <row r="81" spans="2:11">
      <c r="B81" s="305" t="s">
        <v>851</v>
      </c>
      <c r="C81" s="204" t="s">
        <v>848</v>
      </c>
      <c r="D81" s="308">
        <f>10%*D78</f>
        <v>98.669841666666656</v>
      </c>
      <c r="E81" s="72" t="s">
        <v>850</v>
      </c>
    </row>
    <row r="82" spans="2:11">
      <c r="B82" s="305" t="s">
        <v>849</v>
      </c>
      <c r="C82" s="204" t="s">
        <v>848</v>
      </c>
      <c r="D82" s="308">
        <v>0</v>
      </c>
      <c r="E82" s="72" t="s">
        <v>847</v>
      </c>
    </row>
    <row r="83" spans="2:11">
      <c r="B83" s="679"/>
      <c r="C83" s="206"/>
      <c r="D83" s="671"/>
    </row>
    <row r="84" spans="2:11">
      <c r="B84" s="206"/>
      <c r="C84" s="334" t="s">
        <v>843</v>
      </c>
    </row>
    <row r="85" spans="2:11">
      <c r="B85" s="206"/>
      <c r="C85" s="677" t="s">
        <v>846</v>
      </c>
      <c r="D85" s="678"/>
      <c r="E85" s="678"/>
    </row>
    <row r="86" spans="2:11" ht="15" customHeight="1">
      <c r="B86" s="635" t="s">
        <v>841</v>
      </c>
      <c r="C86" s="676" t="s">
        <v>828</v>
      </c>
      <c r="D86" s="69"/>
      <c r="E86" s="675" t="s">
        <v>331</v>
      </c>
      <c r="I86" s="1294" t="s">
        <v>840</v>
      </c>
      <c r="J86" s="1294" t="s">
        <v>839</v>
      </c>
      <c r="K86" s="1294" t="s">
        <v>838</v>
      </c>
    </row>
    <row r="87" spans="2:11" ht="15" customHeight="1">
      <c r="C87" s="671"/>
      <c r="I87" s="1294"/>
      <c r="J87" s="1294"/>
      <c r="K87" s="1294"/>
    </row>
    <row r="88" spans="2:11">
      <c r="B88" s="635" t="s">
        <v>837</v>
      </c>
      <c r="C88" s="673" t="s">
        <v>827</v>
      </c>
      <c r="E88" s="671"/>
      <c r="I88" s="206" t="s">
        <v>227</v>
      </c>
      <c r="J88" s="206" t="s">
        <v>227</v>
      </c>
      <c r="K88" s="206" t="s">
        <v>227</v>
      </c>
    </row>
    <row r="89" spans="2:11">
      <c r="B89" s="635"/>
      <c r="C89" s="319">
        <v>0</v>
      </c>
      <c r="E89" s="671"/>
      <c r="F89" s="635" t="s">
        <v>430</v>
      </c>
      <c r="G89" s="319">
        <f>E92</f>
        <v>0</v>
      </c>
      <c r="H89" s="72" t="s">
        <v>62</v>
      </c>
      <c r="I89" s="331">
        <f>IFERROR(G89/$G$94,0)</f>
        <v>0</v>
      </c>
      <c r="J89" s="672"/>
      <c r="K89" s="331">
        <f>IFERROR(G89/$K$95,0)</f>
        <v>0</v>
      </c>
    </row>
    <row r="90" spans="2:11">
      <c r="B90" s="635"/>
      <c r="C90" s="671"/>
      <c r="E90" s="671"/>
      <c r="F90" s="635" t="s">
        <v>429</v>
      </c>
      <c r="G90" s="319">
        <f>E92-G89</f>
        <v>0</v>
      </c>
      <c r="H90" s="72" t="s">
        <v>63</v>
      </c>
      <c r="I90" s="331">
        <f>IFERROR(G90/$G$94,0)</f>
        <v>0</v>
      </c>
      <c r="J90" s="331">
        <f>G90</f>
        <v>0</v>
      </c>
      <c r="K90" s="674"/>
    </row>
    <row r="91" spans="2:11">
      <c r="B91" s="635" t="s">
        <v>836</v>
      </c>
      <c r="C91" s="673" t="s">
        <v>826</v>
      </c>
      <c r="E91" s="673" t="s">
        <v>826</v>
      </c>
      <c r="F91" s="635" t="s">
        <v>835</v>
      </c>
      <c r="G91" s="319">
        <f>C89-G89</f>
        <v>0</v>
      </c>
      <c r="H91" s="72" t="s">
        <v>62</v>
      </c>
      <c r="I91" s="331">
        <f>IFERROR(G91/$G$94,0)</f>
        <v>0</v>
      </c>
      <c r="J91" s="672"/>
      <c r="K91" s="331">
        <f>IFERROR(G91/$K$95,0)</f>
        <v>0</v>
      </c>
    </row>
    <row r="92" spans="2:11">
      <c r="B92" s="635"/>
      <c r="C92" s="319">
        <v>0</v>
      </c>
      <c r="E92" s="319">
        <f>C89*(E112/(E112+E115))</f>
        <v>0</v>
      </c>
      <c r="F92" s="454" t="s">
        <v>834</v>
      </c>
      <c r="G92" s="319">
        <f>E95-C95-G91</f>
        <v>0</v>
      </c>
      <c r="H92" s="205" t="s">
        <v>62</v>
      </c>
      <c r="I92" s="331">
        <f>IFERROR(G92/$G$94,0)</f>
        <v>0</v>
      </c>
      <c r="J92" s="672"/>
      <c r="K92" s="331">
        <f>IFERROR(G92/$K$95,0)</f>
        <v>0</v>
      </c>
    </row>
    <row r="93" spans="2:11">
      <c r="B93" s="635"/>
      <c r="C93" s="671"/>
      <c r="E93" s="319"/>
      <c r="F93" s="454" t="s">
        <v>833</v>
      </c>
      <c r="G93" s="670">
        <f>E95-G91</f>
        <v>0</v>
      </c>
      <c r="H93" s="69" t="s">
        <v>63</v>
      </c>
      <c r="I93" s="669">
        <f>IFERROR(G93/$G$94,0)</f>
        <v>0</v>
      </c>
      <c r="J93" s="669">
        <f>G93</f>
        <v>0</v>
      </c>
      <c r="K93" s="668"/>
    </row>
    <row r="94" spans="2:11">
      <c r="B94" s="635" t="s">
        <v>832</v>
      </c>
      <c r="C94" s="214" t="s">
        <v>796</v>
      </c>
      <c r="E94" s="214" t="s">
        <v>796</v>
      </c>
      <c r="F94" s="454" t="s">
        <v>831</v>
      </c>
      <c r="G94" s="319">
        <f>SUM(G89:G93)</f>
        <v>0</v>
      </c>
      <c r="I94" s="331">
        <f>SUM(I89:I93)</f>
        <v>0</v>
      </c>
      <c r="J94" s="331" t="s">
        <v>607</v>
      </c>
      <c r="K94" s="331">
        <f>SUM(K89:K93)</f>
        <v>0</v>
      </c>
    </row>
    <row r="95" spans="2:11">
      <c r="B95" s="206"/>
      <c r="C95" s="319">
        <v>0</v>
      </c>
      <c r="E95" s="319">
        <f>C89*(E115/(E112+E115))</f>
        <v>0</v>
      </c>
      <c r="I95" s="319">
        <f>G94</f>
        <v>0</v>
      </c>
      <c r="J95" s="319">
        <f>G90+G93</f>
        <v>0</v>
      </c>
      <c r="K95" s="319">
        <f>G89+G91+G92</f>
        <v>0</v>
      </c>
    </row>
    <row r="96" spans="2:11">
      <c r="B96" s="206"/>
      <c r="C96" s="334"/>
      <c r="G96" s="635" t="s">
        <v>830</v>
      </c>
      <c r="H96" s="134" t="s">
        <v>331</v>
      </c>
      <c r="I96" s="134"/>
      <c r="J96" s="134"/>
    </row>
    <row r="97" spans="2:11" ht="15.75" thickBot="1">
      <c r="B97" s="206"/>
      <c r="C97" s="334"/>
      <c r="H97" s="377" t="s">
        <v>827</v>
      </c>
      <c r="I97" s="206" t="s">
        <v>826</v>
      </c>
      <c r="J97" s="667" t="s">
        <v>796</v>
      </c>
      <c r="K97" s="205" t="s">
        <v>829</v>
      </c>
    </row>
    <row r="98" spans="2:11">
      <c r="B98" s="206"/>
      <c r="C98" s="334"/>
      <c r="F98" s="660" t="s">
        <v>828</v>
      </c>
      <c r="G98" s="666" t="s">
        <v>827</v>
      </c>
      <c r="H98" s="665">
        <f>IFERROR(0/(G89+G91),0)</f>
        <v>0</v>
      </c>
      <c r="I98" s="664">
        <f>IFERROR(G89/(G89+G91),0)</f>
        <v>0</v>
      </c>
      <c r="J98" s="663">
        <f>IFERROR(G91/(G89+G91),0)</f>
        <v>0</v>
      </c>
      <c r="K98" s="89">
        <f>SUM(H98:J98)</f>
        <v>0</v>
      </c>
    </row>
    <row r="99" spans="2:11">
      <c r="B99" s="206"/>
      <c r="C99" s="334"/>
      <c r="F99" s="660"/>
      <c r="G99" s="206" t="s">
        <v>826</v>
      </c>
      <c r="H99" s="662" t="s">
        <v>607</v>
      </c>
      <c r="I99" s="331" t="s">
        <v>607</v>
      </c>
      <c r="J99" s="661" t="s">
        <v>607</v>
      </c>
      <c r="K99" s="89">
        <f>SUM(H99:J99)</f>
        <v>0</v>
      </c>
    </row>
    <row r="100" spans="2:11" ht="15.75" thickBot="1">
      <c r="B100" s="206"/>
      <c r="C100" s="334"/>
      <c r="F100" s="660"/>
      <c r="G100" s="134" t="s">
        <v>796</v>
      </c>
      <c r="H100" s="659" t="s">
        <v>607</v>
      </c>
      <c r="I100" s="658" t="s">
        <v>607</v>
      </c>
      <c r="J100" s="657" t="s">
        <v>607</v>
      </c>
      <c r="K100" s="89">
        <f>SUM(H100:J100)</f>
        <v>0</v>
      </c>
    </row>
    <row r="101" spans="2:11">
      <c r="B101" s="206"/>
      <c r="C101" s="334"/>
      <c r="H101" s="206"/>
      <c r="I101" s="206" t="s">
        <v>798</v>
      </c>
      <c r="J101" s="206" t="s">
        <v>797</v>
      </c>
    </row>
    <row r="102" spans="2:11">
      <c r="B102" s="206"/>
      <c r="C102" s="334"/>
      <c r="H102" s="206"/>
      <c r="I102" s="206" t="s">
        <v>801</v>
      </c>
      <c r="J102" s="206" t="s">
        <v>573</v>
      </c>
    </row>
    <row r="103" spans="2:11">
      <c r="B103" s="206"/>
      <c r="C103" s="334"/>
      <c r="H103" s="206"/>
      <c r="I103" s="206"/>
      <c r="J103" s="206" t="s">
        <v>800</v>
      </c>
    </row>
    <row r="104" spans="2:11">
      <c r="B104" s="206"/>
      <c r="C104" s="334"/>
    </row>
    <row r="105" spans="2:11">
      <c r="B105" s="206"/>
      <c r="C105" s="677" t="s">
        <v>845</v>
      </c>
    </row>
    <row r="106" spans="2:11">
      <c r="B106" s="635" t="s">
        <v>841</v>
      </c>
      <c r="C106" s="676" t="s">
        <v>828</v>
      </c>
      <c r="D106" s="69"/>
      <c r="E106" s="675" t="s">
        <v>331</v>
      </c>
      <c r="I106" s="1294" t="s">
        <v>840</v>
      </c>
      <c r="J106" s="1294" t="s">
        <v>839</v>
      </c>
      <c r="K106" s="1294" t="s">
        <v>838</v>
      </c>
    </row>
    <row r="107" spans="2:11">
      <c r="C107" s="671"/>
      <c r="I107" s="1294"/>
      <c r="J107" s="1294"/>
      <c r="K107" s="1294"/>
    </row>
    <row r="108" spans="2:11">
      <c r="B108" s="635" t="s">
        <v>837</v>
      </c>
      <c r="C108" s="673" t="s">
        <v>827</v>
      </c>
      <c r="E108" s="671"/>
      <c r="I108" s="206" t="s">
        <v>227</v>
      </c>
      <c r="J108" s="206" t="s">
        <v>227</v>
      </c>
      <c r="K108" s="206" t="s">
        <v>227</v>
      </c>
    </row>
    <row r="109" spans="2:11">
      <c r="B109" s="635"/>
      <c r="C109" s="319">
        <v>116352.01560552235</v>
      </c>
      <c r="E109" s="671"/>
      <c r="F109" s="635" t="s">
        <v>430</v>
      </c>
      <c r="G109" s="319">
        <v>29622.665015437844</v>
      </c>
      <c r="H109" s="72" t="s">
        <v>62</v>
      </c>
      <c r="I109" s="331">
        <f>G109/$G$114</f>
        <v>0.11844220175621401</v>
      </c>
      <c r="J109" s="672"/>
      <c r="K109" s="331">
        <f>G109/$K$115</f>
        <v>0.2545952028529524</v>
      </c>
    </row>
    <row r="110" spans="2:11">
      <c r="B110" s="635"/>
      <c r="C110" s="671"/>
      <c r="E110" s="671"/>
      <c r="F110" s="635" t="s">
        <v>429</v>
      </c>
      <c r="G110" s="319">
        <f>E112-G109</f>
        <v>25406.535044767486</v>
      </c>
      <c r="H110" s="72" t="s">
        <v>63</v>
      </c>
      <c r="I110" s="331">
        <f>G110/$G$114</f>
        <v>0.10158457883956172</v>
      </c>
      <c r="J110" s="331">
        <f>G110/$J$115</f>
        <v>0.1899550230113107</v>
      </c>
      <c r="K110" s="674"/>
    </row>
    <row r="111" spans="2:11">
      <c r="B111" s="635" t="s">
        <v>836</v>
      </c>
      <c r="C111" s="673" t="s">
        <v>826</v>
      </c>
      <c r="E111" s="673" t="s">
        <v>826</v>
      </c>
      <c r="F111" s="635" t="s">
        <v>835</v>
      </c>
      <c r="G111" s="319">
        <f>C109-G109</f>
        <v>86729.350590084505</v>
      </c>
      <c r="H111" s="72" t="s">
        <v>62</v>
      </c>
      <c r="I111" s="331">
        <f>G111/$G$114</f>
        <v>0.34677552595023914</v>
      </c>
      <c r="J111" s="672"/>
      <c r="K111" s="331">
        <f>G111/$K$115</f>
        <v>0.74540479714704766</v>
      </c>
    </row>
    <row r="112" spans="2:11">
      <c r="B112" s="635"/>
      <c r="C112" s="319">
        <v>25406.535044767486</v>
      </c>
      <c r="E112" s="319">
        <v>55029.20006020533</v>
      </c>
      <c r="F112" s="454" t="s">
        <v>834</v>
      </c>
      <c r="G112" s="319">
        <f>E115-C115-G111</f>
        <v>0</v>
      </c>
      <c r="H112" s="205" t="s">
        <v>62</v>
      </c>
      <c r="I112" s="331">
        <f>G112/$G$114</f>
        <v>0</v>
      </c>
      <c r="J112" s="672"/>
      <c r="K112" s="331">
        <f>G112/$K$115</f>
        <v>0</v>
      </c>
    </row>
    <row r="113" spans="2:11">
      <c r="B113" s="635"/>
      <c r="C113" s="671"/>
      <c r="E113" s="319"/>
      <c r="F113" s="454" t="s">
        <v>833</v>
      </c>
      <c r="G113" s="670">
        <f>E115-G111</f>
        <v>108343.73195003936</v>
      </c>
      <c r="H113" s="69" t="s">
        <v>63</v>
      </c>
      <c r="I113" s="669">
        <f>G113/$G$114</f>
        <v>0.43319769345398512</v>
      </c>
      <c r="J113" s="669">
        <f>G113/$J$115</f>
        <v>0.81004497698868927</v>
      </c>
      <c r="K113" s="668"/>
    </row>
    <row r="114" spans="2:11">
      <c r="B114" s="635" t="s">
        <v>832</v>
      </c>
      <c r="C114" s="214" t="s">
        <v>796</v>
      </c>
      <c r="E114" s="214" t="s">
        <v>796</v>
      </c>
      <c r="F114" s="454" t="s">
        <v>831</v>
      </c>
      <c r="G114" s="319">
        <f>SUM(G109:G113)</f>
        <v>250102.2826003292</v>
      </c>
      <c r="I114" s="331">
        <f>SUM(I109:I113)</f>
        <v>1</v>
      </c>
      <c r="J114" s="331">
        <f>SUM(J109:J113)</f>
        <v>1</v>
      </c>
      <c r="K114" s="331">
        <f>SUM(K109:K113)</f>
        <v>1</v>
      </c>
    </row>
    <row r="115" spans="2:11">
      <c r="B115" s="206"/>
      <c r="C115" s="319">
        <v>108343.73195003936</v>
      </c>
      <c r="E115" s="319">
        <v>195073.08254012387</v>
      </c>
      <c r="F115" s="212"/>
      <c r="I115" s="319">
        <f>G114</f>
        <v>250102.2826003292</v>
      </c>
      <c r="J115" s="319">
        <f>G110+G113</f>
        <v>133750.26699480685</v>
      </c>
      <c r="K115" s="319">
        <f>G109+G111+G112</f>
        <v>116352.01560552235</v>
      </c>
    </row>
    <row r="116" spans="2:11">
      <c r="B116" s="206"/>
      <c r="C116" s="206"/>
      <c r="G116" s="635" t="s">
        <v>830</v>
      </c>
      <c r="H116" s="134" t="s">
        <v>331</v>
      </c>
      <c r="I116" s="134"/>
      <c r="J116" s="134"/>
    </row>
    <row r="117" spans="2:11" ht="15.75" thickBot="1">
      <c r="B117" s="206"/>
      <c r="C117" s="206"/>
      <c r="H117" s="377" t="s">
        <v>827</v>
      </c>
      <c r="I117" s="206" t="s">
        <v>826</v>
      </c>
      <c r="J117" s="667" t="s">
        <v>796</v>
      </c>
      <c r="K117" s="205" t="s">
        <v>829</v>
      </c>
    </row>
    <row r="118" spans="2:11">
      <c r="B118" s="206"/>
      <c r="C118" s="206"/>
      <c r="F118" s="660" t="s">
        <v>828</v>
      </c>
      <c r="G118" s="666" t="s">
        <v>827</v>
      </c>
      <c r="H118" s="665">
        <f>0/(G109+G111)</f>
        <v>0</v>
      </c>
      <c r="I118" s="664">
        <f>G109/(G109+G111)</f>
        <v>0.2545952028529524</v>
      </c>
      <c r="J118" s="663">
        <f>G111/(G109+G111)</f>
        <v>0.74540479714704766</v>
      </c>
      <c r="K118" s="89">
        <f>SUM(H118:J118)</f>
        <v>1</v>
      </c>
    </row>
    <row r="119" spans="2:11">
      <c r="B119" s="206"/>
      <c r="C119" s="206"/>
      <c r="F119" s="660"/>
      <c r="G119" s="206" t="s">
        <v>826</v>
      </c>
      <c r="H119" s="662">
        <f>0/(G110+G112)</f>
        <v>0</v>
      </c>
      <c r="I119" s="331">
        <f>G110/(G110+G112)</f>
        <v>1</v>
      </c>
      <c r="J119" s="661">
        <f>G112/(G110+G112)</f>
        <v>0</v>
      </c>
      <c r="K119" s="89">
        <f>SUM(H119:J119)</f>
        <v>1</v>
      </c>
    </row>
    <row r="120" spans="2:11" ht="15.75" thickBot="1">
      <c r="B120" s="206"/>
      <c r="C120" s="206"/>
      <c r="F120" s="660"/>
      <c r="G120" s="134" t="s">
        <v>796</v>
      </c>
      <c r="H120" s="659">
        <f>0/G113</f>
        <v>0</v>
      </c>
      <c r="I120" s="658">
        <f>0/G113</f>
        <v>0</v>
      </c>
      <c r="J120" s="657">
        <f>G113/G113</f>
        <v>1</v>
      </c>
      <c r="K120" s="89">
        <f>SUM(H120:J120)</f>
        <v>1</v>
      </c>
    </row>
    <row r="121" spans="2:11">
      <c r="H121" s="206"/>
      <c r="I121" s="206" t="s">
        <v>798</v>
      </c>
      <c r="J121" s="206" t="s">
        <v>797</v>
      </c>
    </row>
    <row r="122" spans="2:11">
      <c r="B122" s="636"/>
      <c r="C122" s="204"/>
      <c r="D122" s="307"/>
      <c r="H122" s="206"/>
      <c r="I122" s="206" t="s">
        <v>801</v>
      </c>
      <c r="J122" s="206" t="s">
        <v>573</v>
      </c>
    </row>
    <row r="123" spans="2:11">
      <c r="B123" s="636"/>
      <c r="C123" s="204"/>
      <c r="D123" s="307"/>
      <c r="H123" s="206"/>
      <c r="I123" s="206"/>
      <c r="J123" s="206" t="s">
        <v>800</v>
      </c>
    </row>
    <row r="124" spans="2:11">
      <c r="B124" s="636"/>
      <c r="C124" s="204"/>
      <c r="D124" s="307"/>
      <c r="H124" s="206"/>
      <c r="I124" s="206"/>
      <c r="J124" s="206"/>
    </row>
    <row r="125" spans="2:11">
      <c r="B125" s="206"/>
      <c r="C125" s="677" t="s">
        <v>844</v>
      </c>
    </row>
    <row r="126" spans="2:11">
      <c r="B126" s="635" t="s">
        <v>841</v>
      </c>
      <c r="C126" s="676" t="s">
        <v>828</v>
      </c>
      <c r="D126" s="69"/>
      <c r="E126" s="675" t="s">
        <v>331</v>
      </c>
      <c r="I126" s="1294" t="s">
        <v>840</v>
      </c>
      <c r="J126" s="1294" t="s">
        <v>839</v>
      </c>
      <c r="K126" s="1294" t="s">
        <v>838</v>
      </c>
    </row>
    <row r="127" spans="2:11">
      <c r="C127" s="671"/>
      <c r="I127" s="1294"/>
      <c r="J127" s="1294"/>
      <c r="K127" s="1294"/>
    </row>
    <row r="128" spans="2:11">
      <c r="B128" s="635" t="s">
        <v>837</v>
      </c>
      <c r="C128" s="673" t="s">
        <v>827</v>
      </c>
      <c r="E128" s="671"/>
      <c r="I128" s="206" t="s">
        <v>227</v>
      </c>
      <c r="J128" s="206" t="s">
        <v>227</v>
      </c>
      <c r="K128" s="206" t="s">
        <v>227</v>
      </c>
    </row>
    <row r="129" spans="2:11">
      <c r="B129" s="635"/>
      <c r="C129" s="319">
        <v>114360.26939318818</v>
      </c>
      <c r="E129" s="671"/>
      <c r="F129" s="635" t="s">
        <v>430</v>
      </c>
      <c r="G129" s="319">
        <v>55465.691454962449</v>
      </c>
      <c r="H129" s="72" t="s">
        <v>62</v>
      </c>
      <c r="I129" s="331">
        <f>G129/$G$134</f>
        <v>0.10723998112154381</v>
      </c>
      <c r="J129" s="672"/>
      <c r="K129" s="331">
        <f>G129/$K$135</f>
        <v>0.48500840151279179</v>
      </c>
    </row>
    <row r="130" spans="2:11">
      <c r="B130" s="635"/>
      <c r="C130" s="671"/>
      <c r="E130" s="671"/>
      <c r="F130" s="635" t="s">
        <v>429</v>
      </c>
      <c r="G130" s="319">
        <f>E132-G129</f>
        <v>185173.88178245365</v>
      </c>
      <c r="H130" s="72" t="s">
        <v>63</v>
      </c>
      <c r="I130" s="331">
        <f>G130/$G$134</f>
        <v>0.35802390749383944</v>
      </c>
      <c r="J130" s="331">
        <f>G130/$J$135</f>
        <v>0.45965886427751179</v>
      </c>
      <c r="K130" s="674"/>
    </row>
    <row r="131" spans="2:11">
      <c r="B131" s="635" t="s">
        <v>836</v>
      </c>
      <c r="C131" s="673" t="s">
        <v>826</v>
      </c>
      <c r="E131" s="673" t="s">
        <v>826</v>
      </c>
      <c r="F131" s="635" t="s">
        <v>835</v>
      </c>
      <c r="G131" s="319">
        <f>C129-G129</f>
        <v>58894.577938225731</v>
      </c>
      <c r="H131" s="72" t="s">
        <v>62</v>
      </c>
      <c r="I131" s="331">
        <f>G131/$G$134</f>
        <v>0.11386955180005327</v>
      </c>
      <c r="J131" s="672"/>
      <c r="K131" s="331">
        <f>G131/$K$135</f>
        <v>0.51499159848720821</v>
      </c>
    </row>
    <row r="132" spans="2:11">
      <c r="B132" s="635"/>
      <c r="C132" s="319">
        <v>185173.88178245365</v>
      </c>
      <c r="E132" s="319">
        <v>240639.5732374161</v>
      </c>
      <c r="F132" s="454" t="s">
        <v>834</v>
      </c>
      <c r="G132" s="319">
        <f>E135-C135-G131</f>
        <v>0</v>
      </c>
      <c r="H132" s="205" t="s">
        <v>62</v>
      </c>
      <c r="I132" s="331">
        <f>G132/$G$134</f>
        <v>0</v>
      </c>
      <c r="J132" s="672"/>
      <c r="K132" s="331">
        <f>G132/$K$115</f>
        <v>0</v>
      </c>
    </row>
    <row r="133" spans="2:11">
      <c r="B133" s="635"/>
      <c r="C133" s="671"/>
      <c r="E133" s="319"/>
      <c r="F133" s="454" t="s">
        <v>833</v>
      </c>
      <c r="G133" s="670">
        <f>E135-G131</f>
        <v>217676.78895030488</v>
      </c>
      <c r="H133" s="69" t="s">
        <v>63</v>
      </c>
      <c r="I133" s="669">
        <f>G133/$G$134</f>
        <v>0.42086655958456359</v>
      </c>
      <c r="J133" s="669">
        <f>G133/$J$135</f>
        <v>0.54034113572248821</v>
      </c>
      <c r="K133" s="668"/>
    </row>
    <row r="134" spans="2:11">
      <c r="B134" s="635" t="s">
        <v>832</v>
      </c>
      <c r="C134" s="214" t="s">
        <v>796</v>
      </c>
      <c r="E134" s="214" t="s">
        <v>796</v>
      </c>
      <c r="F134" s="454" t="s">
        <v>831</v>
      </c>
      <c r="G134" s="319">
        <f>SUM(G129:G133)</f>
        <v>517210.94012594665</v>
      </c>
      <c r="I134" s="331">
        <f>SUM(I129:I133)</f>
        <v>1.0000000000000002</v>
      </c>
      <c r="J134" s="331">
        <f>SUM(J129:J133)</f>
        <v>1</v>
      </c>
      <c r="K134" s="331">
        <f>SUM(K129:K133)</f>
        <v>1</v>
      </c>
    </row>
    <row r="135" spans="2:11">
      <c r="B135" s="206"/>
      <c r="C135" s="319">
        <v>217676.78895030488</v>
      </c>
      <c r="E135" s="319">
        <v>276571.36688853061</v>
      </c>
      <c r="F135" s="212"/>
      <c r="I135" s="319">
        <f>G134</f>
        <v>517210.94012594665</v>
      </c>
      <c r="J135" s="319">
        <f>G130+G133</f>
        <v>402850.67073275853</v>
      </c>
      <c r="K135" s="319">
        <f>G129+G131+G132</f>
        <v>114360.26939318818</v>
      </c>
    </row>
    <row r="136" spans="2:11">
      <c r="B136" s="206"/>
      <c r="C136" s="206"/>
      <c r="G136" s="635" t="s">
        <v>830</v>
      </c>
      <c r="H136" s="134" t="s">
        <v>331</v>
      </c>
      <c r="I136" s="134"/>
      <c r="J136" s="134"/>
    </row>
    <row r="137" spans="2:11" ht="15.75" thickBot="1">
      <c r="B137" s="206"/>
      <c r="C137" s="206"/>
      <c r="H137" s="377" t="s">
        <v>827</v>
      </c>
      <c r="I137" s="206" t="s">
        <v>826</v>
      </c>
      <c r="J137" s="667" t="s">
        <v>796</v>
      </c>
      <c r="K137" s="205" t="s">
        <v>829</v>
      </c>
    </row>
    <row r="138" spans="2:11">
      <c r="B138" s="206"/>
      <c r="C138" s="206"/>
      <c r="F138" s="660" t="s">
        <v>828</v>
      </c>
      <c r="G138" s="666" t="s">
        <v>827</v>
      </c>
      <c r="H138" s="665">
        <f>0/(G129+G131)</f>
        <v>0</v>
      </c>
      <c r="I138" s="664">
        <f>G129/(G129+G131)</f>
        <v>0.48500840151279179</v>
      </c>
      <c r="J138" s="663">
        <f>G131/(G129+G131)</f>
        <v>0.51499159848720821</v>
      </c>
      <c r="K138" s="89">
        <f>SUM(H138:J138)</f>
        <v>1</v>
      </c>
    </row>
    <row r="139" spans="2:11">
      <c r="B139" s="206"/>
      <c r="C139" s="206"/>
      <c r="F139" s="660"/>
      <c r="G139" s="206" t="s">
        <v>826</v>
      </c>
      <c r="H139" s="662">
        <f>0/(G130+G132)</f>
        <v>0</v>
      </c>
      <c r="I139" s="331">
        <f>G130/(G130+G132)</f>
        <v>1</v>
      </c>
      <c r="J139" s="661">
        <f>G132/(G130+G132)</f>
        <v>0</v>
      </c>
      <c r="K139" s="89">
        <f>SUM(H139:J139)</f>
        <v>1</v>
      </c>
    </row>
    <row r="140" spans="2:11" ht="15.75" thickBot="1">
      <c r="B140" s="206"/>
      <c r="C140" s="206"/>
      <c r="F140" s="660"/>
      <c r="G140" s="134" t="s">
        <v>796</v>
      </c>
      <c r="H140" s="659">
        <f>0/G133</f>
        <v>0</v>
      </c>
      <c r="I140" s="658">
        <f>0/G133</f>
        <v>0</v>
      </c>
      <c r="J140" s="657">
        <f>G133/G133</f>
        <v>1</v>
      </c>
      <c r="K140" s="89">
        <f>SUM(H140:J140)</f>
        <v>1</v>
      </c>
    </row>
    <row r="141" spans="2:11">
      <c r="H141" s="206"/>
      <c r="I141" s="206" t="s">
        <v>798</v>
      </c>
      <c r="J141" s="206" t="s">
        <v>797</v>
      </c>
    </row>
    <row r="142" spans="2:11">
      <c r="B142" s="636"/>
      <c r="C142" s="204"/>
      <c r="D142" s="307"/>
      <c r="H142" s="206"/>
      <c r="I142" s="206" t="s">
        <v>801</v>
      </c>
      <c r="J142" s="206" t="s">
        <v>573</v>
      </c>
    </row>
    <row r="143" spans="2:11">
      <c r="B143" s="636"/>
      <c r="C143" s="204"/>
      <c r="D143" s="307"/>
      <c r="H143" s="206"/>
      <c r="I143" s="206"/>
      <c r="J143" s="206" t="s">
        <v>800</v>
      </c>
    </row>
    <row r="144" spans="2:11">
      <c r="C144" s="204"/>
      <c r="D144" s="307"/>
      <c r="H144" s="206"/>
      <c r="I144" s="206"/>
    </row>
    <row r="145" spans="2:11">
      <c r="B145" s="206"/>
      <c r="C145" s="334" t="s">
        <v>843</v>
      </c>
    </row>
    <row r="146" spans="2:11">
      <c r="B146" s="206"/>
      <c r="C146" s="677" t="s">
        <v>842</v>
      </c>
    </row>
    <row r="147" spans="2:11">
      <c r="B147" s="635" t="s">
        <v>841</v>
      </c>
      <c r="C147" s="676" t="s">
        <v>828</v>
      </c>
      <c r="D147" s="69"/>
      <c r="E147" s="675" t="s">
        <v>331</v>
      </c>
      <c r="I147" s="1294" t="s">
        <v>840</v>
      </c>
      <c r="J147" s="1294" t="s">
        <v>839</v>
      </c>
      <c r="K147" s="1294" t="s">
        <v>838</v>
      </c>
    </row>
    <row r="148" spans="2:11">
      <c r="C148" s="671"/>
      <c r="I148" s="1294"/>
      <c r="J148" s="1294"/>
      <c r="K148" s="1294"/>
    </row>
    <row r="149" spans="2:11">
      <c r="B149" s="635" t="s">
        <v>837</v>
      </c>
      <c r="C149" s="673" t="s">
        <v>827</v>
      </c>
      <c r="E149" s="671"/>
      <c r="I149" s="206" t="s">
        <v>227</v>
      </c>
      <c r="J149" s="206" t="s">
        <v>227</v>
      </c>
      <c r="K149" s="206" t="s">
        <v>227</v>
      </c>
    </row>
    <row r="150" spans="2:11">
      <c r="B150" s="635"/>
      <c r="C150" s="319">
        <v>35903.720722872298</v>
      </c>
      <c r="E150" s="671"/>
      <c r="F150" s="635" t="s">
        <v>430</v>
      </c>
      <c r="G150" s="319">
        <v>21891.342751807853</v>
      </c>
      <c r="H150" s="72" t="s">
        <v>62</v>
      </c>
      <c r="I150" s="331">
        <f>G150/$G$155</f>
        <v>6.8718547076626585E-2</v>
      </c>
      <c r="J150" s="672"/>
      <c r="K150" s="331">
        <f>G150/K156</f>
        <v>0.60972351363746191</v>
      </c>
    </row>
    <row r="151" spans="2:11">
      <c r="B151" s="635"/>
      <c r="C151" s="671"/>
      <c r="E151" s="671"/>
      <c r="F151" s="635" t="s">
        <v>429</v>
      </c>
      <c r="G151" s="319">
        <f>E153-G150</f>
        <v>144494.25254896414</v>
      </c>
      <c r="H151" s="72" t="s">
        <v>63</v>
      </c>
      <c r="I151" s="331">
        <f>G151/$G$155</f>
        <v>0.45357816597467332</v>
      </c>
      <c r="J151" s="331">
        <f>G151/J156</f>
        <v>0.51119174529096523</v>
      </c>
      <c r="K151" s="674"/>
    </row>
    <row r="152" spans="2:11">
      <c r="B152" s="635" t="s">
        <v>836</v>
      </c>
      <c r="C152" s="673" t="s">
        <v>826</v>
      </c>
      <c r="E152" s="673" t="s">
        <v>826</v>
      </c>
      <c r="F152" s="635" t="s">
        <v>835</v>
      </c>
      <c r="G152" s="319">
        <f>C150-G150</f>
        <v>14012.377971064445</v>
      </c>
      <c r="H152" s="72" t="s">
        <v>62</v>
      </c>
      <c r="I152" s="331">
        <f>G152/$G$155</f>
        <v>4.3985892787712047E-2</v>
      </c>
      <c r="J152" s="672"/>
      <c r="K152" s="331">
        <f>G152/K156</f>
        <v>0.39027648636253803</v>
      </c>
    </row>
    <row r="153" spans="2:11">
      <c r="B153" s="635"/>
      <c r="C153" s="319">
        <v>144494.25254896414</v>
      </c>
      <c r="E153" s="319">
        <v>166385.59530077199</v>
      </c>
      <c r="F153" s="454" t="s">
        <v>834</v>
      </c>
      <c r="G153" s="319">
        <f>E156-C156-G152</f>
        <v>0</v>
      </c>
      <c r="H153" s="205" t="s">
        <v>62</v>
      </c>
      <c r="I153" s="331">
        <f>G153/$G$155</f>
        <v>0</v>
      </c>
      <c r="J153" s="672"/>
      <c r="K153" s="331">
        <f>G153/K156</f>
        <v>0</v>
      </c>
    </row>
    <row r="154" spans="2:11">
      <c r="B154" s="635"/>
      <c r="C154" s="671"/>
      <c r="E154" s="319"/>
      <c r="F154" s="454" t="s">
        <v>833</v>
      </c>
      <c r="G154" s="670">
        <f>E156-G152</f>
        <v>138167.3003419564</v>
      </c>
      <c r="H154" s="69" t="s">
        <v>63</v>
      </c>
      <c r="I154" s="669">
        <f>G154/$G$155</f>
        <v>0.43371739416098809</v>
      </c>
      <c r="J154" s="669">
        <f>G154/J156</f>
        <v>0.48880825470903483</v>
      </c>
      <c r="K154" s="668"/>
    </row>
    <row r="155" spans="2:11">
      <c r="B155" s="635" t="s">
        <v>832</v>
      </c>
      <c r="C155" s="214" t="s">
        <v>796</v>
      </c>
      <c r="E155" s="214" t="s">
        <v>796</v>
      </c>
      <c r="F155" s="454" t="s">
        <v>831</v>
      </c>
      <c r="G155" s="319">
        <f>SUM(G150:G154)</f>
        <v>318565.27361379284</v>
      </c>
      <c r="I155" s="331">
        <f>SUM(I150:I154)</f>
        <v>1</v>
      </c>
      <c r="J155" s="331">
        <f>SUM(J150:J154)</f>
        <v>1</v>
      </c>
      <c r="K155" s="331">
        <f>SUM(K150:K154)</f>
        <v>1</v>
      </c>
    </row>
    <row r="156" spans="2:11">
      <c r="B156" s="206"/>
      <c r="C156" s="319">
        <v>138167.3003419564</v>
      </c>
      <c r="E156" s="319">
        <v>152179.67831302085</v>
      </c>
      <c r="F156" s="212"/>
      <c r="I156" s="319">
        <f>G155</f>
        <v>318565.27361379284</v>
      </c>
      <c r="J156" s="319">
        <f>G151+G154</f>
        <v>282661.55289092055</v>
      </c>
      <c r="K156" s="319">
        <f>G150+G152+G153</f>
        <v>35903.720722872298</v>
      </c>
    </row>
    <row r="157" spans="2:11">
      <c r="B157" s="206"/>
      <c r="C157" s="206"/>
      <c r="G157" s="635" t="s">
        <v>830</v>
      </c>
      <c r="H157" s="134" t="s">
        <v>331</v>
      </c>
      <c r="I157" s="134"/>
      <c r="J157" s="134"/>
    </row>
    <row r="158" spans="2:11" ht="15.75" thickBot="1">
      <c r="B158" s="206"/>
      <c r="C158" s="206"/>
      <c r="H158" s="377" t="s">
        <v>827</v>
      </c>
      <c r="I158" s="206" t="s">
        <v>826</v>
      </c>
      <c r="J158" s="667" t="s">
        <v>796</v>
      </c>
      <c r="K158" s="205" t="s">
        <v>829</v>
      </c>
    </row>
    <row r="159" spans="2:11">
      <c r="B159" s="206"/>
      <c r="C159" s="206"/>
      <c r="F159" s="660" t="s">
        <v>828</v>
      </c>
      <c r="G159" s="666" t="s">
        <v>827</v>
      </c>
      <c r="H159" s="665">
        <f>0/(G150+G152)</f>
        <v>0</v>
      </c>
      <c r="I159" s="664">
        <f>G150/(G150+G152)</f>
        <v>0.60972351363746191</v>
      </c>
      <c r="J159" s="663">
        <f>G152/(G150+G152)</f>
        <v>0.39027648636253803</v>
      </c>
      <c r="K159" s="89">
        <f>SUM(H159:J159)</f>
        <v>1</v>
      </c>
    </row>
    <row r="160" spans="2:11">
      <c r="B160" s="206"/>
      <c r="C160" s="206"/>
      <c r="F160" s="660"/>
      <c r="G160" s="206" t="s">
        <v>826</v>
      </c>
      <c r="H160" s="662">
        <f>0/(G151+G153)</f>
        <v>0</v>
      </c>
      <c r="I160" s="331">
        <f>G151/(G151+G153)</f>
        <v>1</v>
      </c>
      <c r="J160" s="661">
        <f>G153/(G151+G153)</f>
        <v>0</v>
      </c>
      <c r="K160" s="89">
        <f>SUM(H160:J160)</f>
        <v>1</v>
      </c>
    </row>
    <row r="161" spans="2:14" ht="15.75" thickBot="1">
      <c r="B161" s="206"/>
      <c r="C161" s="206"/>
      <c r="F161" s="660"/>
      <c r="G161" s="134" t="s">
        <v>796</v>
      </c>
      <c r="H161" s="659">
        <f>0/G154</f>
        <v>0</v>
      </c>
      <c r="I161" s="658">
        <f>0/G154</f>
        <v>0</v>
      </c>
      <c r="J161" s="657">
        <f>G154/G154</f>
        <v>1</v>
      </c>
      <c r="K161" s="89">
        <f>SUM(H161:J161)</f>
        <v>1</v>
      </c>
    </row>
    <row r="162" spans="2:14">
      <c r="H162" s="206"/>
      <c r="I162" s="206" t="s">
        <v>798</v>
      </c>
      <c r="J162" s="206" t="s">
        <v>797</v>
      </c>
    </row>
    <row r="163" spans="2:14">
      <c r="B163" s="636"/>
      <c r="C163" s="204"/>
      <c r="D163" s="307"/>
      <c r="H163" s="206"/>
      <c r="I163" s="206" t="s">
        <v>801</v>
      </c>
      <c r="J163" s="206" t="s">
        <v>573</v>
      </c>
    </row>
    <row r="164" spans="2:14">
      <c r="B164" s="636"/>
      <c r="C164" s="204"/>
      <c r="D164" s="307"/>
      <c r="H164" s="206"/>
      <c r="I164" s="206"/>
      <c r="J164" s="206" t="s">
        <v>800</v>
      </c>
    </row>
    <row r="165" spans="2:14">
      <c r="B165" s="636"/>
      <c r="C165" s="204"/>
      <c r="D165" s="307"/>
      <c r="H165" s="206"/>
      <c r="I165" s="206"/>
      <c r="J165" s="206"/>
    </row>
    <row r="166" spans="2:14">
      <c r="B166" s="655" t="s">
        <v>825</v>
      </c>
      <c r="C166" s="204"/>
      <c r="D166" s="307"/>
      <c r="H166" s="206"/>
      <c r="I166" s="206"/>
      <c r="J166" s="206"/>
    </row>
    <row r="167" spans="2:14">
      <c r="B167" s="656" t="s">
        <v>824</v>
      </c>
      <c r="C167" s="204"/>
      <c r="D167" s="307"/>
      <c r="H167" s="206"/>
      <c r="I167" s="206"/>
      <c r="J167" s="206"/>
    </row>
    <row r="168" spans="2:14">
      <c r="B168" s="656" t="s">
        <v>823</v>
      </c>
      <c r="C168" s="204"/>
      <c r="D168" s="307"/>
      <c r="H168" s="206"/>
      <c r="I168" s="206"/>
      <c r="J168" s="206"/>
    </row>
    <row r="169" spans="2:14" s="205" customFormat="1">
      <c r="B169" s="655"/>
      <c r="C169" s="204"/>
      <c r="D169" s="307"/>
      <c r="H169" s="204"/>
      <c r="I169" s="204"/>
      <c r="J169" s="204"/>
    </row>
    <row r="170" spans="2:14">
      <c r="B170" s="72" t="s">
        <v>822</v>
      </c>
      <c r="C170" s="204"/>
      <c r="D170" s="307"/>
      <c r="H170" s="206"/>
      <c r="I170" s="206"/>
      <c r="J170" s="206"/>
    </row>
    <row r="171" spans="2:14">
      <c r="C171" s="204"/>
      <c r="D171" s="307"/>
      <c r="H171" s="206"/>
      <c r="I171" s="206"/>
      <c r="L171" s="206" t="s">
        <v>72</v>
      </c>
      <c r="M171" s="206" t="s">
        <v>821</v>
      </c>
      <c r="N171" s="206" t="s">
        <v>821</v>
      </c>
    </row>
    <row r="172" spans="2:14">
      <c r="B172" s="654" t="s">
        <v>820</v>
      </c>
      <c r="C172" s="204"/>
      <c r="D172" s="653" t="s">
        <v>819</v>
      </c>
      <c r="E172" s="204"/>
      <c r="F172" s="652" t="s">
        <v>26</v>
      </c>
      <c r="H172" s="652" t="s">
        <v>27</v>
      </c>
      <c r="J172" s="652" t="s">
        <v>28</v>
      </c>
      <c r="K172" s="206"/>
      <c r="L172" s="72" t="s">
        <v>818</v>
      </c>
      <c r="M172" s="206" t="s">
        <v>817</v>
      </c>
      <c r="N172" s="206" t="s">
        <v>817</v>
      </c>
    </row>
    <row r="173" spans="2:14" ht="17.25">
      <c r="B173" s="69"/>
      <c r="C173" s="69"/>
      <c r="D173" s="651" t="s">
        <v>816</v>
      </c>
      <c r="E173" s="69"/>
      <c r="F173" s="649" t="s">
        <v>815</v>
      </c>
      <c r="G173" s="650"/>
      <c r="H173" s="649" t="s">
        <v>814</v>
      </c>
      <c r="I173" s="69"/>
      <c r="J173" s="649" t="s">
        <v>813</v>
      </c>
      <c r="K173" s="206"/>
      <c r="L173" s="134" t="s">
        <v>812</v>
      </c>
      <c r="M173" s="134" t="s">
        <v>811</v>
      </c>
      <c r="N173" s="134" t="s">
        <v>810</v>
      </c>
    </row>
    <row r="174" spans="2:14">
      <c r="B174" s="646" t="s">
        <v>802</v>
      </c>
      <c r="C174" s="204" t="s">
        <v>225</v>
      </c>
      <c r="D174" s="648">
        <v>0</v>
      </c>
      <c r="E174" s="204"/>
      <c r="F174" s="188">
        <f>health!E41</f>
        <v>133750</v>
      </c>
      <c r="H174" s="188">
        <v>0</v>
      </c>
      <c r="J174" s="188">
        <f>health!I41</f>
        <v>282662</v>
      </c>
      <c r="K174" s="206"/>
      <c r="L174" s="319">
        <f t="shared" ref="L174:L180" si="49">SUM(D174:J174)</f>
        <v>416412</v>
      </c>
    </row>
    <row r="175" spans="2:14">
      <c r="B175" s="635" t="s">
        <v>801</v>
      </c>
      <c r="C175" s="204" t="s">
        <v>225</v>
      </c>
      <c r="D175" s="647">
        <f>J90*$D$174</f>
        <v>0</v>
      </c>
      <c r="E175" s="204"/>
      <c r="F175" s="634">
        <f>J110*$F$174</f>
        <v>25406.484327762806</v>
      </c>
      <c r="H175" s="634">
        <f>J130*$H$174</f>
        <v>0</v>
      </c>
      <c r="J175" s="634">
        <f>J151*$J$174</f>
        <v>144494.48110743481</v>
      </c>
      <c r="K175" s="206"/>
      <c r="L175" s="643">
        <f t="shared" si="49"/>
        <v>169900.96543519761</v>
      </c>
      <c r="M175" s="642">
        <f>0.25*M178</f>
        <v>4.1083333333333334</v>
      </c>
      <c r="N175" s="378">
        <f>L175*M175*365/1000</f>
        <v>254773.57687697193</v>
      </c>
    </row>
    <row r="176" spans="2:14">
      <c r="B176" s="454" t="s">
        <v>800</v>
      </c>
      <c r="C176" s="204" t="s">
        <v>225</v>
      </c>
      <c r="D176" s="647">
        <f>J93*$D$174</f>
        <v>0</v>
      </c>
      <c r="E176" s="204"/>
      <c r="F176" s="634">
        <f>J113*$F$174</f>
        <v>108343.51567223719</v>
      </c>
      <c r="H176" s="634">
        <f>J133*$H$174</f>
        <v>0</v>
      </c>
      <c r="J176" s="634">
        <f>J154*$J$174</f>
        <v>138167.51889256519</v>
      </c>
      <c r="K176" s="206"/>
      <c r="L176" s="643">
        <f t="shared" si="49"/>
        <v>246511.03456480236</v>
      </c>
      <c r="M176" s="642">
        <f>M175</f>
        <v>4.1083333333333334</v>
      </c>
      <c r="N176" s="378">
        <f>L176*M176*365/1000</f>
        <v>369653.56762302807</v>
      </c>
    </row>
    <row r="177" spans="2:25">
      <c r="B177" s="646" t="s">
        <v>799</v>
      </c>
      <c r="C177" s="204" t="s">
        <v>225</v>
      </c>
      <c r="D177" s="645">
        <v>0</v>
      </c>
      <c r="E177" s="204"/>
      <c r="F177" s="188">
        <f>health!E42</f>
        <v>116352</v>
      </c>
      <c r="H177" s="188">
        <v>0</v>
      </c>
      <c r="J177" s="188">
        <f>health!I42</f>
        <v>35904</v>
      </c>
      <c r="K177" s="206"/>
      <c r="L177" s="319">
        <f t="shared" si="49"/>
        <v>152256</v>
      </c>
      <c r="M177" s="642"/>
    </row>
    <row r="178" spans="2:25">
      <c r="B178" s="635" t="s">
        <v>798</v>
      </c>
      <c r="C178" s="204" t="s">
        <v>225</v>
      </c>
      <c r="D178" s="644">
        <f>K89*$D$177</f>
        <v>0</v>
      </c>
      <c r="E178" s="204"/>
      <c r="F178" s="634">
        <f>K109*$F$177</f>
        <v>29622.661042346717</v>
      </c>
      <c r="H178" s="634">
        <f>K129*$H$177</f>
        <v>0</v>
      </c>
      <c r="J178" s="634">
        <f>K150*$J$177</f>
        <v>21891.513033639432</v>
      </c>
      <c r="K178" s="206"/>
      <c r="L178" s="643">
        <f t="shared" si="49"/>
        <v>51514.17407598615</v>
      </c>
      <c r="M178" s="642">
        <f>D72*20/'Time Savings'!D183</f>
        <v>16.433333333333334</v>
      </c>
      <c r="N178" s="378">
        <f>L178*M178*365/1000</f>
        <v>308990.60180344427</v>
      </c>
    </row>
    <row r="179" spans="2:25">
      <c r="B179" s="635" t="s">
        <v>797</v>
      </c>
      <c r="C179" s="204" t="s">
        <v>225</v>
      </c>
      <c r="D179" s="644">
        <f>K91*$D$177</f>
        <v>0</v>
      </c>
      <c r="E179" s="204"/>
      <c r="F179" s="634">
        <f>K111*$F$177</f>
        <v>86729.338957653294</v>
      </c>
      <c r="H179" s="634">
        <f>K131*$H$177</f>
        <v>0</v>
      </c>
      <c r="J179" s="634">
        <f>K152*$J$177</f>
        <v>14012.486966360566</v>
      </c>
      <c r="K179" s="206"/>
      <c r="L179" s="643">
        <f t="shared" si="49"/>
        <v>100741.82592401386</v>
      </c>
      <c r="M179" s="642">
        <f>M178</f>
        <v>16.433333333333334</v>
      </c>
      <c r="N179" s="378">
        <f>L179*M179*365/1000</f>
        <v>604266.26219655573</v>
      </c>
    </row>
    <row r="180" spans="2:25">
      <c r="B180" s="454" t="s">
        <v>573</v>
      </c>
      <c r="C180" s="204" t="s">
        <v>225</v>
      </c>
      <c r="D180" s="644">
        <f>K92*$D$177</f>
        <v>0</v>
      </c>
      <c r="E180" s="204"/>
      <c r="F180" s="634">
        <f>K112*$F$177</f>
        <v>0</v>
      </c>
      <c r="G180" s="205"/>
      <c r="H180" s="634">
        <f>K132*$H$177</f>
        <v>0</v>
      </c>
      <c r="J180" s="634">
        <f>K153*$J$177</f>
        <v>0</v>
      </c>
      <c r="K180" s="206"/>
      <c r="L180" s="643">
        <f t="shared" si="49"/>
        <v>0</v>
      </c>
      <c r="M180" s="642">
        <f>M179</f>
        <v>16.433333333333334</v>
      </c>
      <c r="N180" s="641">
        <f>L180*M180*365/1000</f>
        <v>0</v>
      </c>
    </row>
    <row r="181" spans="2:25">
      <c r="B181" s="312"/>
      <c r="C181" s="204"/>
      <c r="D181" s="204"/>
      <c r="E181" s="204"/>
      <c r="F181" s="188"/>
      <c r="J181" s="206"/>
      <c r="K181" s="206"/>
      <c r="L181" s="206">
        <f>L179/6</f>
        <v>16790.304320668976</v>
      </c>
      <c r="N181" s="567">
        <f>N175+N176+N178+N179+N180</f>
        <v>1537684.0085</v>
      </c>
    </row>
    <row r="182" spans="2:25">
      <c r="B182" s="312"/>
      <c r="C182" s="204"/>
      <c r="D182" s="633"/>
      <c r="L182" s="1015">
        <f>L178/800</f>
        <v>64.392717594982685</v>
      </c>
      <c r="M182" s="378">
        <f>L182-38</f>
        <v>26.392717594982685</v>
      </c>
    </row>
    <row r="183" spans="2:25">
      <c r="B183" s="205" t="s">
        <v>809</v>
      </c>
      <c r="C183" s="204" t="s">
        <v>808</v>
      </c>
      <c r="D183" s="206">
        <f>Assumptions!L9</f>
        <v>6</v>
      </c>
      <c r="E183" s="205" t="s">
        <v>807</v>
      </c>
    </row>
    <row r="184" spans="2:25">
      <c r="B184" s="205"/>
      <c r="C184" s="204"/>
      <c r="D184" s="204"/>
      <c r="F184" s="205"/>
    </row>
    <row r="185" spans="2:25">
      <c r="B185" s="205"/>
      <c r="C185" s="204" t="s">
        <v>806</v>
      </c>
      <c r="D185" s="206">
        <f t="shared" ref="D185:Y185" si="50">D5</f>
        <v>2012</v>
      </c>
      <c r="E185" s="206">
        <f t="shared" si="50"/>
        <v>2013</v>
      </c>
      <c r="F185" s="206">
        <f t="shared" si="50"/>
        <v>2014</v>
      </c>
      <c r="G185" s="206">
        <f t="shared" si="50"/>
        <v>2015</v>
      </c>
      <c r="H185" s="206">
        <f t="shared" si="50"/>
        <v>2016</v>
      </c>
      <c r="I185" s="206">
        <f t="shared" si="50"/>
        <v>2017</v>
      </c>
      <c r="J185" s="206">
        <f t="shared" si="50"/>
        <v>2018</v>
      </c>
      <c r="K185" s="206">
        <f t="shared" si="50"/>
        <v>2019</v>
      </c>
      <c r="L185" s="206">
        <f t="shared" si="50"/>
        <v>2020</v>
      </c>
      <c r="M185" s="206">
        <f t="shared" si="50"/>
        <v>2021</v>
      </c>
      <c r="N185" s="206">
        <f t="shared" si="50"/>
        <v>2022</v>
      </c>
      <c r="O185" s="206">
        <f t="shared" si="50"/>
        <v>2023</v>
      </c>
      <c r="P185" s="206">
        <f t="shared" si="50"/>
        <v>2024</v>
      </c>
      <c r="Q185" s="206">
        <f t="shared" si="50"/>
        <v>2025</v>
      </c>
      <c r="R185" s="206">
        <f t="shared" si="50"/>
        <v>2026</v>
      </c>
      <c r="S185" s="206">
        <f t="shared" si="50"/>
        <v>2027</v>
      </c>
      <c r="T185" s="206">
        <f t="shared" si="50"/>
        <v>2028</v>
      </c>
      <c r="U185" s="206">
        <f t="shared" si="50"/>
        <v>2029</v>
      </c>
      <c r="V185" s="206">
        <f t="shared" si="50"/>
        <v>2030</v>
      </c>
      <c r="W185" s="206">
        <f t="shared" si="50"/>
        <v>2031</v>
      </c>
      <c r="X185" s="206">
        <f t="shared" si="50"/>
        <v>2032</v>
      </c>
      <c r="Y185" s="206">
        <f t="shared" si="50"/>
        <v>2033</v>
      </c>
    </row>
    <row r="186" spans="2:25">
      <c r="B186" s="212" t="s">
        <v>805</v>
      </c>
      <c r="C186" s="204" t="s">
        <v>227</v>
      </c>
      <c r="D186" s="327">
        <f>Assumptions!E36</f>
        <v>0</v>
      </c>
      <c r="E186" s="327">
        <f>D186</f>
        <v>0</v>
      </c>
      <c r="F186" s="327">
        <f>E186</f>
        <v>0</v>
      </c>
      <c r="G186" s="327">
        <f>F186</f>
        <v>0</v>
      </c>
      <c r="H186" s="327">
        <f>G186</f>
        <v>0</v>
      </c>
      <c r="I186" s="327">
        <f>G186</f>
        <v>0</v>
      </c>
      <c r="J186" s="327">
        <f>H186</f>
        <v>0</v>
      </c>
      <c r="K186" s="327">
        <f>J186</f>
        <v>0</v>
      </c>
      <c r="L186" s="327">
        <f>K186</f>
        <v>0</v>
      </c>
      <c r="M186" s="327">
        <f>L186</f>
        <v>0</v>
      </c>
      <c r="N186" s="327">
        <f>Assumptions!E37</f>
        <v>0</v>
      </c>
      <c r="O186" s="327">
        <f t="shared" ref="O186:Y186" si="51">N186</f>
        <v>0</v>
      </c>
      <c r="P186" s="327">
        <f t="shared" si="51"/>
        <v>0</v>
      </c>
      <c r="Q186" s="327">
        <f t="shared" si="51"/>
        <v>0</v>
      </c>
      <c r="R186" s="327">
        <f t="shared" si="51"/>
        <v>0</v>
      </c>
      <c r="S186" s="327">
        <f t="shared" si="51"/>
        <v>0</v>
      </c>
      <c r="T186" s="327">
        <f t="shared" si="51"/>
        <v>0</v>
      </c>
      <c r="U186" s="327">
        <f t="shared" si="51"/>
        <v>0</v>
      </c>
      <c r="V186" s="327">
        <f t="shared" si="51"/>
        <v>0</v>
      </c>
      <c r="W186" s="327">
        <f t="shared" si="51"/>
        <v>0</v>
      </c>
      <c r="X186" s="327">
        <f t="shared" si="51"/>
        <v>0</v>
      </c>
      <c r="Y186" s="327">
        <f t="shared" si="51"/>
        <v>0</v>
      </c>
    </row>
    <row r="187" spans="2:25">
      <c r="B187" s="205" t="s">
        <v>758</v>
      </c>
      <c r="C187" s="204"/>
      <c r="D187" s="204"/>
      <c r="F187" s="205"/>
    </row>
    <row r="188" spans="2:25" ht="30">
      <c r="B188" s="640" t="s">
        <v>804</v>
      </c>
      <c r="C188" s="190" t="s">
        <v>414</v>
      </c>
      <c r="D188" s="639">
        <f>D70</f>
        <v>0.91645786959940567</v>
      </c>
      <c r="E188" s="639">
        <f>D188*(1+ Assumptions!$Q$48)</f>
        <v>0.94147936621814809</v>
      </c>
      <c r="F188" s="639">
        <f>E188*(1+ Assumptions!$Q$48)</f>
        <v>0.96718400967190576</v>
      </c>
      <c r="G188" s="639">
        <f>F188*(1+ Assumptions!$Q$48)</f>
        <v>0.99359045150679948</v>
      </c>
      <c r="H188" s="639">
        <f>G188*(1+ Assumptions!$Q$48)</f>
        <v>1.0207178525008671</v>
      </c>
      <c r="I188" s="639">
        <f>H188*(1+ Assumptions!$Q$48)</f>
        <v>1.0485858965673163</v>
      </c>
      <c r="J188" s="639">
        <f>I188*(1+ Assumptions!$Q$48)</f>
        <v>1.077214805037368</v>
      </c>
      <c r="K188" s="639">
        <f>J188*(1+ Assumptions!$Q$48)</f>
        <v>1.1066253513330568</v>
      </c>
      <c r="L188" s="639">
        <f>K188*(1+ Assumptions!$Q$48)</f>
        <v>1.1368388760406334</v>
      </c>
      <c r="M188" s="639">
        <f>L188*(1+ Assumptions!$Q$48)</f>
        <v>1.1678773023955071</v>
      </c>
      <c r="N188" s="639">
        <f>M188*(1+ Assumptions!$Q$48)</f>
        <v>1.1997631521899645</v>
      </c>
      <c r="O188" s="639">
        <f>N188*(1+ Assumptions!$Q$48)</f>
        <v>1.2325195621152074</v>
      </c>
      <c r="P188" s="639">
        <f>O188*(1+ Assumptions!$Q$48)</f>
        <v>1.2661703005495664</v>
      </c>
      <c r="Q188" s="639">
        <f>P188*(1+ Assumptions!$Q$48)</f>
        <v>1.3007397848050744</v>
      </c>
      <c r="R188" s="639">
        <f>Q188*(1+ Assumptions!$Q$48)</f>
        <v>1.3362530988449115</v>
      </c>
      <c r="S188" s="639">
        <f>R188*(1+ Assumptions!$Q$48)</f>
        <v>1.3727360114845801</v>
      </c>
      <c r="T188" s="639">
        <f>S188*(1+ Assumptions!$Q$48)</f>
        <v>1.4102149950900145</v>
      </c>
      <c r="U188" s="639">
        <f>T188*(1+ Assumptions!$Q$48)</f>
        <v>1.4487172447861936</v>
      </c>
      <c r="V188" s="639">
        <f>U188*(1+ Assumptions!$Q$48)</f>
        <v>1.4882706981901961</v>
      </c>
      <c r="W188" s="639">
        <f>V188*(1+ Assumptions!$Q$48)</f>
        <v>1.5289040556830145</v>
      </c>
      <c r="X188" s="639">
        <f>W188*(1+ Assumptions!$Q$48)</f>
        <v>1.5706468012348378</v>
      </c>
      <c r="Y188" s="639">
        <f>X188*(1+ Assumptions!$Q$48)</f>
        <v>1.6135292237989154</v>
      </c>
    </row>
    <row r="189" spans="2:25">
      <c r="B189" s="205"/>
      <c r="C189" s="204"/>
      <c r="D189" s="204"/>
      <c r="F189" s="205"/>
    </row>
    <row r="190" spans="2:25">
      <c r="B190" s="205" t="s">
        <v>803</v>
      </c>
      <c r="C190" s="204" t="s">
        <v>796</v>
      </c>
      <c r="D190" s="638">
        <f t="shared" ref="D190:Y190" si="52">D191+D194</f>
        <v>94778</v>
      </c>
      <c r="E190" s="638">
        <f t="shared" si="52"/>
        <v>94778</v>
      </c>
      <c r="F190" s="638">
        <f t="shared" si="52"/>
        <v>94778</v>
      </c>
      <c r="G190" s="638">
        <f t="shared" si="52"/>
        <v>94778</v>
      </c>
      <c r="H190" s="638">
        <f t="shared" si="52"/>
        <v>94778</v>
      </c>
      <c r="I190" s="638">
        <f t="shared" si="52"/>
        <v>94778</v>
      </c>
      <c r="J190" s="638">
        <f t="shared" si="52"/>
        <v>94778</v>
      </c>
      <c r="K190" s="638">
        <f t="shared" si="52"/>
        <v>94778</v>
      </c>
      <c r="L190" s="638">
        <f t="shared" si="52"/>
        <v>94778</v>
      </c>
      <c r="M190" s="638">
        <f t="shared" si="52"/>
        <v>94778</v>
      </c>
      <c r="N190" s="638">
        <f t="shared" si="52"/>
        <v>94778</v>
      </c>
      <c r="O190" s="638">
        <f t="shared" si="52"/>
        <v>94778</v>
      </c>
      <c r="P190" s="638">
        <f t="shared" si="52"/>
        <v>94778</v>
      </c>
      <c r="Q190" s="638">
        <f t="shared" si="52"/>
        <v>94778</v>
      </c>
      <c r="R190" s="638">
        <f t="shared" si="52"/>
        <v>94778</v>
      </c>
      <c r="S190" s="638">
        <f t="shared" si="52"/>
        <v>94778</v>
      </c>
      <c r="T190" s="638">
        <f t="shared" si="52"/>
        <v>94778</v>
      </c>
      <c r="U190" s="638">
        <f t="shared" si="52"/>
        <v>94778</v>
      </c>
      <c r="V190" s="638">
        <f t="shared" si="52"/>
        <v>94778</v>
      </c>
      <c r="W190" s="638">
        <f t="shared" si="52"/>
        <v>94778</v>
      </c>
      <c r="X190" s="638">
        <f t="shared" si="52"/>
        <v>94778</v>
      </c>
      <c r="Y190" s="638">
        <f t="shared" si="52"/>
        <v>94778</v>
      </c>
    </row>
    <row r="191" spans="2:25">
      <c r="B191" s="312" t="s">
        <v>802</v>
      </c>
      <c r="C191" s="204" t="s">
        <v>796</v>
      </c>
      <c r="D191" s="638">
        <f>D192+D193</f>
        <v>69402</v>
      </c>
      <c r="E191" s="638">
        <f t="shared" ref="E191:Y191" si="53">E192+E193</f>
        <v>69402</v>
      </c>
      <c r="F191" s="638">
        <f>F192+F193</f>
        <v>69402</v>
      </c>
      <c r="G191" s="638">
        <f t="shared" si="53"/>
        <v>69402</v>
      </c>
      <c r="H191" s="638">
        <f t="shared" si="53"/>
        <v>69402</v>
      </c>
      <c r="I191" s="638">
        <f t="shared" si="53"/>
        <v>69402</v>
      </c>
      <c r="J191" s="638">
        <f t="shared" si="53"/>
        <v>69402</v>
      </c>
      <c r="K191" s="638">
        <f t="shared" si="53"/>
        <v>69402</v>
      </c>
      <c r="L191" s="638">
        <f t="shared" si="53"/>
        <v>69402</v>
      </c>
      <c r="M191" s="638">
        <f t="shared" si="53"/>
        <v>69402</v>
      </c>
      <c r="N191" s="638">
        <f t="shared" si="53"/>
        <v>69402</v>
      </c>
      <c r="O191" s="638">
        <f t="shared" si="53"/>
        <v>69402</v>
      </c>
      <c r="P191" s="638">
        <f t="shared" si="53"/>
        <v>69402</v>
      </c>
      <c r="Q191" s="638">
        <f t="shared" si="53"/>
        <v>69402</v>
      </c>
      <c r="R191" s="638">
        <f t="shared" si="53"/>
        <v>69402</v>
      </c>
      <c r="S191" s="638">
        <f t="shared" si="53"/>
        <v>69402</v>
      </c>
      <c r="T191" s="638">
        <f t="shared" si="53"/>
        <v>69402</v>
      </c>
      <c r="U191" s="638">
        <f t="shared" si="53"/>
        <v>69402</v>
      </c>
      <c r="V191" s="638">
        <f t="shared" si="53"/>
        <v>69402</v>
      </c>
      <c r="W191" s="638">
        <f t="shared" si="53"/>
        <v>69402</v>
      </c>
      <c r="X191" s="638">
        <f t="shared" si="53"/>
        <v>69402</v>
      </c>
      <c r="Y191" s="638">
        <f t="shared" si="53"/>
        <v>69402</v>
      </c>
    </row>
    <row r="192" spans="2:25">
      <c r="B192" s="635" t="s">
        <v>801</v>
      </c>
      <c r="C192" s="204" t="s">
        <v>796</v>
      </c>
      <c r="D192" s="30">
        <f>(D175+F175+H175+J175)/$D$183</f>
        <v>28316.827572532933</v>
      </c>
      <c r="E192" s="30">
        <f t="shared" ref="E192:Y192" si="54">D192*(1+$D$186)</f>
        <v>28316.827572532933</v>
      </c>
      <c r="F192" s="30">
        <f>E192*(1+$D$186)</f>
        <v>28316.827572532933</v>
      </c>
      <c r="G192" s="30">
        <f t="shared" si="54"/>
        <v>28316.827572532933</v>
      </c>
      <c r="H192" s="30">
        <f t="shared" si="54"/>
        <v>28316.827572532933</v>
      </c>
      <c r="I192" s="30">
        <f t="shared" si="54"/>
        <v>28316.827572532933</v>
      </c>
      <c r="J192" s="30">
        <f t="shared" si="54"/>
        <v>28316.827572532933</v>
      </c>
      <c r="K192" s="30">
        <f t="shared" si="54"/>
        <v>28316.827572532933</v>
      </c>
      <c r="L192" s="30">
        <f t="shared" si="54"/>
        <v>28316.827572532933</v>
      </c>
      <c r="M192" s="30">
        <f t="shared" si="54"/>
        <v>28316.827572532933</v>
      </c>
      <c r="N192" s="30">
        <f t="shared" si="54"/>
        <v>28316.827572532933</v>
      </c>
      <c r="O192" s="30">
        <f t="shared" si="54"/>
        <v>28316.827572532933</v>
      </c>
      <c r="P192" s="30">
        <f t="shared" si="54"/>
        <v>28316.827572532933</v>
      </c>
      <c r="Q192" s="30">
        <f t="shared" si="54"/>
        <v>28316.827572532933</v>
      </c>
      <c r="R192" s="30">
        <f t="shared" si="54"/>
        <v>28316.827572532933</v>
      </c>
      <c r="S192" s="30">
        <f t="shared" si="54"/>
        <v>28316.827572532933</v>
      </c>
      <c r="T192" s="30">
        <f t="shared" si="54"/>
        <v>28316.827572532933</v>
      </c>
      <c r="U192" s="30">
        <f t="shared" si="54"/>
        <v>28316.827572532933</v>
      </c>
      <c r="V192" s="30">
        <f t="shared" si="54"/>
        <v>28316.827572532933</v>
      </c>
      <c r="W192" s="30">
        <f t="shared" si="54"/>
        <v>28316.827572532933</v>
      </c>
      <c r="X192" s="30">
        <f t="shared" si="54"/>
        <v>28316.827572532933</v>
      </c>
      <c r="Y192" s="30">
        <f t="shared" si="54"/>
        <v>28316.827572532933</v>
      </c>
    </row>
    <row r="193" spans="2:25">
      <c r="B193" s="454" t="s">
        <v>800</v>
      </c>
      <c r="C193" s="204" t="s">
        <v>796</v>
      </c>
      <c r="D193" s="30">
        <f>(D176+F176+H176+J176)/$D$183</f>
        <v>41085.172427467063</v>
      </c>
      <c r="E193" s="30">
        <f t="shared" ref="E193:Y193" si="55">D193*(1+$D$186)</f>
        <v>41085.172427467063</v>
      </c>
      <c r="F193" s="30">
        <f t="shared" si="55"/>
        <v>41085.172427467063</v>
      </c>
      <c r="G193" s="30">
        <f t="shared" si="55"/>
        <v>41085.172427467063</v>
      </c>
      <c r="H193" s="30">
        <f t="shared" si="55"/>
        <v>41085.172427467063</v>
      </c>
      <c r="I193" s="30">
        <f t="shared" si="55"/>
        <v>41085.172427467063</v>
      </c>
      <c r="J193" s="30">
        <f t="shared" si="55"/>
        <v>41085.172427467063</v>
      </c>
      <c r="K193" s="30">
        <f t="shared" si="55"/>
        <v>41085.172427467063</v>
      </c>
      <c r="L193" s="30">
        <f t="shared" si="55"/>
        <v>41085.172427467063</v>
      </c>
      <c r="M193" s="30">
        <f t="shared" si="55"/>
        <v>41085.172427467063</v>
      </c>
      <c r="N193" s="30">
        <f t="shared" si="55"/>
        <v>41085.172427467063</v>
      </c>
      <c r="O193" s="30">
        <f t="shared" si="55"/>
        <v>41085.172427467063</v>
      </c>
      <c r="P193" s="30">
        <f t="shared" si="55"/>
        <v>41085.172427467063</v>
      </c>
      <c r="Q193" s="30">
        <f t="shared" si="55"/>
        <v>41085.172427467063</v>
      </c>
      <c r="R193" s="30">
        <f t="shared" si="55"/>
        <v>41085.172427467063</v>
      </c>
      <c r="S193" s="30">
        <f t="shared" si="55"/>
        <v>41085.172427467063</v>
      </c>
      <c r="T193" s="30">
        <f t="shared" si="55"/>
        <v>41085.172427467063</v>
      </c>
      <c r="U193" s="30">
        <f t="shared" si="55"/>
        <v>41085.172427467063</v>
      </c>
      <c r="V193" s="30">
        <f t="shared" si="55"/>
        <v>41085.172427467063</v>
      </c>
      <c r="W193" s="30">
        <f t="shared" si="55"/>
        <v>41085.172427467063</v>
      </c>
      <c r="X193" s="30">
        <f t="shared" si="55"/>
        <v>41085.172427467063</v>
      </c>
      <c r="Y193" s="30">
        <f t="shared" si="55"/>
        <v>41085.172427467063</v>
      </c>
    </row>
    <row r="194" spans="2:25">
      <c r="B194" s="312" t="s">
        <v>799</v>
      </c>
      <c r="C194" s="204" t="s">
        <v>796</v>
      </c>
      <c r="D194" s="30">
        <f>D195+D196+D197</f>
        <v>25376</v>
      </c>
      <c r="E194" s="30">
        <f t="shared" ref="E194:Y194" si="56">E195+E196+E197</f>
        <v>25376</v>
      </c>
      <c r="F194" s="30">
        <f t="shared" si="56"/>
        <v>25376</v>
      </c>
      <c r="G194" s="30">
        <f t="shared" si="56"/>
        <v>25376</v>
      </c>
      <c r="H194" s="30">
        <f t="shared" si="56"/>
        <v>25376</v>
      </c>
      <c r="I194" s="30">
        <f t="shared" si="56"/>
        <v>25376</v>
      </c>
      <c r="J194" s="30">
        <f t="shared" si="56"/>
        <v>25376</v>
      </c>
      <c r="K194" s="30">
        <f t="shared" si="56"/>
        <v>25376</v>
      </c>
      <c r="L194" s="30">
        <f t="shared" si="56"/>
        <v>25376</v>
      </c>
      <c r="M194" s="30">
        <f t="shared" si="56"/>
        <v>25376</v>
      </c>
      <c r="N194" s="30">
        <f t="shared" si="56"/>
        <v>25376</v>
      </c>
      <c r="O194" s="30">
        <f t="shared" si="56"/>
        <v>25376</v>
      </c>
      <c r="P194" s="30">
        <f t="shared" si="56"/>
        <v>25376</v>
      </c>
      <c r="Q194" s="30">
        <f t="shared" si="56"/>
        <v>25376</v>
      </c>
      <c r="R194" s="30">
        <f t="shared" si="56"/>
        <v>25376</v>
      </c>
      <c r="S194" s="30">
        <f t="shared" si="56"/>
        <v>25376</v>
      </c>
      <c r="T194" s="30">
        <f t="shared" si="56"/>
        <v>25376</v>
      </c>
      <c r="U194" s="30">
        <f t="shared" si="56"/>
        <v>25376</v>
      </c>
      <c r="V194" s="30">
        <f t="shared" si="56"/>
        <v>25376</v>
      </c>
      <c r="W194" s="30">
        <f t="shared" si="56"/>
        <v>25376</v>
      </c>
      <c r="X194" s="30">
        <f t="shared" si="56"/>
        <v>25376</v>
      </c>
      <c r="Y194" s="30">
        <f t="shared" si="56"/>
        <v>25376</v>
      </c>
    </row>
    <row r="195" spans="2:25">
      <c r="B195" s="635" t="s">
        <v>798</v>
      </c>
      <c r="C195" s="204" t="s">
        <v>796</v>
      </c>
      <c r="D195" s="30">
        <f>(D178+F178+H178+J178)/$D$183</f>
        <v>8585.6956793310255</v>
      </c>
      <c r="E195" s="30">
        <f t="shared" ref="E195:Y195" si="57">D195*(1+$D$186)</f>
        <v>8585.6956793310255</v>
      </c>
      <c r="F195" s="30">
        <f t="shared" si="57"/>
        <v>8585.6956793310255</v>
      </c>
      <c r="G195" s="30">
        <f t="shared" si="57"/>
        <v>8585.6956793310255</v>
      </c>
      <c r="H195" s="30">
        <f t="shared" si="57"/>
        <v>8585.6956793310255</v>
      </c>
      <c r="I195" s="30">
        <f t="shared" si="57"/>
        <v>8585.6956793310255</v>
      </c>
      <c r="J195" s="30">
        <f t="shared" si="57"/>
        <v>8585.6956793310255</v>
      </c>
      <c r="K195" s="30">
        <f t="shared" si="57"/>
        <v>8585.6956793310255</v>
      </c>
      <c r="L195" s="30">
        <f t="shared" si="57"/>
        <v>8585.6956793310255</v>
      </c>
      <c r="M195" s="30">
        <f t="shared" si="57"/>
        <v>8585.6956793310255</v>
      </c>
      <c r="N195" s="30">
        <f t="shared" si="57"/>
        <v>8585.6956793310255</v>
      </c>
      <c r="O195" s="30">
        <f t="shared" si="57"/>
        <v>8585.6956793310255</v>
      </c>
      <c r="P195" s="30">
        <f t="shared" si="57"/>
        <v>8585.6956793310255</v>
      </c>
      <c r="Q195" s="30">
        <f t="shared" si="57"/>
        <v>8585.6956793310255</v>
      </c>
      <c r="R195" s="30">
        <f t="shared" si="57"/>
        <v>8585.6956793310255</v>
      </c>
      <c r="S195" s="30">
        <f t="shared" si="57"/>
        <v>8585.6956793310255</v>
      </c>
      <c r="T195" s="30">
        <f t="shared" si="57"/>
        <v>8585.6956793310255</v>
      </c>
      <c r="U195" s="30">
        <f t="shared" si="57"/>
        <v>8585.6956793310255</v>
      </c>
      <c r="V195" s="30">
        <f t="shared" si="57"/>
        <v>8585.6956793310255</v>
      </c>
      <c r="W195" s="30">
        <f t="shared" si="57"/>
        <v>8585.6956793310255</v>
      </c>
      <c r="X195" s="30">
        <f t="shared" si="57"/>
        <v>8585.6956793310255</v>
      </c>
      <c r="Y195" s="30">
        <f t="shared" si="57"/>
        <v>8585.6956793310255</v>
      </c>
    </row>
    <row r="196" spans="2:25">
      <c r="B196" s="635" t="s">
        <v>797</v>
      </c>
      <c r="C196" s="204" t="s">
        <v>796</v>
      </c>
      <c r="D196" s="30">
        <f>(D179+F179+H179+J179)/$D$183</f>
        <v>16790.304320668976</v>
      </c>
      <c r="E196" s="30">
        <f t="shared" ref="E196:Y196" si="58">D196*(1+$D$186)</f>
        <v>16790.304320668976</v>
      </c>
      <c r="F196" s="30">
        <f t="shared" si="58"/>
        <v>16790.304320668976</v>
      </c>
      <c r="G196" s="30">
        <f t="shared" si="58"/>
        <v>16790.304320668976</v>
      </c>
      <c r="H196" s="30">
        <f t="shared" si="58"/>
        <v>16790.304320668976</v>
      </c>
      <c r="I196" s="30">
        <f t="shared" si="58"/>
        <v>16790.304320668976</v>
      </c>
      <c r="J196" s="30">
        <f t="shared" si="58"/>
        <v>16790.304320668976</v>
      </c>
      <c r="K196" s="30">
        <f t="shared" si="58"/>
        <v>16790.304320668976</v>
      </c>
      <c r="L196" s="30">
        <f t="shared" si="58"/>
        <v>16790.304320668976</v>
      </c>
      <c r="M196" s="30">
        <f t="shared" si="58"/>
        <v>16790.304320668976</v>
      </c>
      <c r="N196" s="30">
        <f t="shared" si="58"/>
        <v>16790.304320668976</v>
      </c>
      <c r="O196" s="30">
        <f t="shared" si="58"/>
        <v>16790.304320668976</v>
      </c>
      <c r="P196" s="30">
        <f t="shared" si="58"/>
        <v>16790.304320668976</v>
      </c>
      <c r="Q196" s="30">
        <f t="shared" si="58"/>
        <v>16790.304320668976</v>
      </c>
      <c r="R196" s="30">
        <f t="shared" si="58"/>
        <v>16790.304320668976</v>
      </c>
      <c r="S196" s="30">
        <f t="shared" si="58"/>
        <v>16790.304320668976</v>
      </c>
      <c r="T196" s="30">
        <f t="shared" si="58"/>
        <v>16790.304320668976</v>
      </c>
      <c r="U196" s="30">
        <f t="shared" si="58"/>
        <v>16790.304320668976</v>
      </c>
      <c r="V196" s="30">
        <f t="shared" si="58"/>
        <v>16790.304320668976</v>
      </c>
      <c r="W196" s="30">
        <f t="shared" si="58"/>
        <v>16790.304320668976</v>
      </c>
      <c r="X196" s="30">
        <f t="shared" si="58"/>
        <v>16790.304320668976</v>
      </c>
      <c r="Y196" s="30">
        <f t="shared" si="58"/>
        <v>16790.304320668976</v>
      </c>
    </row>
    <row r="197" spans="2:25">
      <c r="B197" s="454" t="s">
        <v>573</v>
      </c>
      <c r="C197" s="204" t="s">
        <v>796</v>
      </c>
      <c r="D197" s="30">
        <f>(D180+F180+H180+J180)/$D$183</f>
        <v>0</v>
      </c>
      <c r="E197" s="30">
        <f t="shared" ref="E197:Y197" si="59">D197*(1+$D$186)</f>
        <v>0</v>
      </c>
      <c r="F197" s="30">
        <f t="shared" si="59"/>
        <v>0</v>
      </c>
      <c r="G197" s="30">
        <f t="shared" si="59"/>
        <v>0</v>
      </c>
      <c r="H197" s="30">
        <f t="shared" si="59"/>
        <v>0</v>
      </c>
      <c r="I197" s="30">
        <f t="shared" si="59"/>
        <v>0</v>
      </c>
      <c r="J197" s="30">
        <f t="shared" si="59"/>
        <v>0</v>
      </c>
      <c r="K197" s="30">
        <f t="shared" si="59"/>
        <v>0</v>
      </c>
      <c r="L197" s="30">
        <f t="shared" si="59"/>
        <v>0</v>
      </c>
      <c r="M197" s="30">
        <f t="shared" si="59"/>
        <v>0</v>
      </c>
      <c r="N197" s="30">
        <f t="shared" si="59"/>
        <v>0</v>
      </c>
      <c r="O197" s="30">
        <f t="shared" si="59"/>
        <v>0</v>
      </c>
      <c r="P197" s="30">
        <f t="shared" si="59"/>
        <v>0</v>
      </c>
      <c r="Q197" s="30">
        <f t="shared" si="59"/>
        <v>0</v>
      </c>
      <c r="R197" s="30">
        <f t="shared" si="59"/>
        <v>0</v>
      </c>
      <c r="S197" s="30">
        <f t="shared" si="59"/>
        <v>0</v>
      </c>
      <c r="T197" s="30">
        <f t="shared" si="59"/>
        <v>0</v>
      </c>
      <c r="U197" s="30">
        <f t="shared" si="59"/>
        <v>0</v>
      </c>
      <c r="V197" s="30">
        <f t="shared" si="59"/>
        <v>0</v>
      </c>
      <c r="W197" s="30">
        <f t="shared" si="59"/>
        <v>0</v>
      </c>
      <c r="X197" s="30">
        <f t="shared" si="59"/>
        <v>0</v>
      </c>
      <c r="Y197" s="30">
        <f t="shared" si="59"/>
        <v>0</v>
      </c>
    </row>
    <row r="198" spans="2:25">
      <c r="C198" s="204"/>
      <c r="D198" s="204"/>
      <c r="E198" s="637"/>
    </row>
    <row r="199" spans="2:25">
      <c r="B199" s="454"/>
    </row>
    <row r="200" spans="2:25">
      <c r="B200" s="655" t="s">
        <v>1411</v>
      </c>
      <c r="C200" s="72">
        <v>27</v>
      </c>
    </row>
    <row r="201" spans="2:25">
      <c r="B201" s="655" t="s">
        <v>1412</v>
      </c>
      <c r="C201" s="72">
        <v>37</v>
      </c>
    </row>
    <row r="202" spans="2:25">
      <c r="B202" s="655" t="s">
        <v>1413</v>
      </c>
      <c r="C202" s="72">
        <v>69</v>
      </c>
      <c r="D202" s="206"/>
      <c r="E202" s="205"/>
    </row>
    <row r="203" spans="2:25">
      <c r="B203" s="312"/>
      <c r="C203" s="204">
        <f>SUM(C200:C202)</f>
        <v>133</v>
      </c>
      <c r="D203" s="188">
        <f>$C$203*D18</f>
        <v>0</v>
      </c>
      <c r="E203" s="1012">
        <f t="shared" ref="E203:J203" si="60">$C$203*E18</f>
        <v>0</v>
      </c>
      <c r="F203" s="1012">
        <f t="shared" si="60"/>
        <v>0</v>
      </c>
      <c r="G203" s="1012">
        <f t="shared" si="60"/>
        <v>6.65</v>
      </c>
      <c r="H203" s="1012">
        <f t="shared" si="60"/>
        <v>33.25</v>
      </c>
      <c r="I203" s="1012">
        <f t="shared" si="60"/>
        <v>79.8</v>
      </c>
      <c r="J203" s="1012">
        <f t="shared" si="60"/>
        <v>126.35</v>
      </c>
      <c r="K203" s="1012">
        <f>$C$203*K18</f>
        <v>133</v>
      </c>
    </row>
    <row r="204" spans="2:25">
      <c r="B204" s="635" t="s">
        <v>1414</v>
      </c>
      <c r="C204" s="204"/>
      <c r="D204" s="634"/>
    </row>
    <row r="205" spans="2:25">
      <c r="C205" s="204"/>
      <c r="D205" s="634" t="s">
        <v>1423</v>
      </c>
      <c r="E205" s="72" t="s">
        <v>1424</v>
      </c>
      <c r="F205" s="72" t="s">
        <v>1425</v>
      </c>
    </row>
    <row r="206" spans="2:25">
      <c r="B206" s="646" t="s">
        <v>802</v>
      </c>
      <c r="C206" s="204"/>
      <c r="D206" s="188"/>
      <c r="E206" s="1016"/>
    </row>
    <row r="207" spans="2:25">
      <c r="B207" s="635" t="s">
        <v>801</v>
      </c>
      <c r="C207" s="204" t="s">
        <v>796</v>
      </c>
      <c r="D207" s="1016">
        <f>D192</f>
        <v>28316.827572532933</v>
      </c>
      <c r="E207" s="1016">
        <f>D80</f>
        <v>1085.3682583333332</v>
      </c>
      <c r="F207" s="378">
        <f>D78</f>
        <v>986.6984166666665</v>
      </c>
    </row>
    <row r="208" spans="2:25">
      <c r="B208" s="454" t="s">
        <v>800</v>
      </c>
      <c r="C208" s="204" t="s">
        <v>796</v>
      </c>
      <c r="D208" s="1016">
        <f>D193</f>
        <v>41085.172427467063</v>
      </c>
      <c r="E208" s="1016">
        <f>D81</f>
        <v>98.669841666666656</v>
      </c>
      <c r="F208" s="378">
        <f>D82</f>
        <v>0</v>
      </c>
    </row>
    <row r="209" spans="2:6">
      <c r="B209" s="646" t="s">
        <v>799</v>
      </c>
      <c r="C209" s="204"/>
      <c r="D209" s="1016"/>
      <c r="E209" s="1016"/>
    </row>
    <row r="210" spans="2:6">
      <c r="B210" s="635" t="s">
        <v>798</v>
      </c>
      <c r="C210" s="204" t="s">
        <v>796</v>
      </c>
      <c r="D210" s="1016">
        <f t="shared" ref="D210:D212" si="61">D195</f>
        <v>8585.6956793310255</v>
      </c>
      <c r="E210" s="1016">
        <f>D77</f>
        <v>1307.6003333333329</v>
      </c>
      <c r="F210" s="378">
        <f>D78</f>
        <v>986.6984166666665</v>
      </c>
    </row>
    <row r="211" spans="2:6">
      <c r="B211" s="635" t="s">
        <v>797</v>
      </c>
      <c r="C211" s="204" t="s">
        <v>796</v>
      </c>
      <c r="D211" s="1016">
        <f t="shared" si="61"/>
        <v>16790.304320668976</v>
      </c>
      <c r="E211" s="1016">
        <f>E210</f>
        <v>1307.6003333333329</v>
      </c>
      <c r="F211" s="378">
        <f>D82</f>
        <v>0</v>
      </c>
    </row>
    <row r="212" spans="2:6">
      <c r="B212" s="454" t="s">
        <v>573</v>
      </c>
      <c r="C212" s="204" t="s">
        <v>796</v>
      </c>
      <c r="D212" s="1016">
        <f t="shared" si="61"/>
        <v>0</v>
      </c>
      <c r="E212" s="1016">
        <f>E207</f>
        <v>1085.3682583333332</v>
      </c>
      <c r="F212" s="378">
        <f>D82</f>
        <v>0</v>
      </c>
    </row>
    <row r="213" spans="2:6">
      <c r="C213" s="204"/>
      <c r="D213" s="378">
        <f>SUM(D210:D212,D207:D208)</f>
        <v>94778</v>
      </c>
      <c r="E213" s="73">
        <f>SUMPRODUCT($D207:$D212,E207:E212)/$D213</f>
        <v>717.14658824682851</v>
      </c>
      <c r="F213" s="73">
        <f>SUMPRODUCT($D207:$D212,F207:F212)/$D213</f>
        <v>384.17840916266448</v>
      </c>
    </row>
    <row r="215" spans="2:6">
      <c r="B215" s="454" t="s">
        <v>1422</v>
      </c>
      <c r="C215" s="73">
        <f>E213</f>
        <v>717.14658824682851</v>
      </c>
      <c r="D215" s="204" t="s">
        <v>848</v>
      </c>
    </row>
    <row r="216" spans="2:6">
      <c r="B216" s="454" t="s">
        <v>1426</v>
      </c>
      <c r="C216" s="73">
        <f>F213</f>
        <v>384.17840916266448</v>
      </c>
      <c r="D216" s="204" t="s">
        <v>848</v>
      </c>
    </row>
    <row r="218" spans="2:6">
      <c r="B218" s="72" t="s">
        <v>1427</v>
      </c>
    </row>
    <row r="219" spans="2:6">
      <c r="B219" s="205" t="s">
        <v>1428</v>
      </c>
      <c r="C219" s="378">
        <f>D210+D211</f>
        <v>25376</v>
      </c>
    </row>
    <row r="220" spans="2:6">
      <c r="B220" s="205" t="s">
        <v>1429</v>
      </c>
      <c r="C220" s="89">
        <f>C219/D213</f>
        <v>0.26774145898837282</v>
      </c>
    </row>
    <row r="221" spans="2:6">
      <c r="B221" s="205" t="s">
        <v>1430</v>
      </c>
      <c r="C221" s="72">
        <v>0</v>
      </c>
    </row>
    <row r="223" spans="2:6">
      <c r="B223" s="205" t="s">
        <v>1433</v>
      </c>
    </row>
    <row r="224" spans="2:6">
      <c r="B224" s="205" t="s">
        <v>1431</v>
      </c>
      <c r="C224" s="378">
        <f>D208</f>
        <v>41085.172427467063</v>
      </c>
    </row>
    <row r="225" spans="2:9">
      <c r="B225" s="205" t="s">
        <v>1432</v>
      </c>
      <c r="C225" s="378">
        <f>D211+D212+D208</f>
        <v>57875.47674813604</v>
      </c>
    </row>
    <row r="226" spans="2:9">
      <c r="C226" s="378">
        <f>C225-C224</f>
        <v>16790.304320668976</v>
      </c>
      <c r="D226" s="30">
        <f>$C$224+$C$226*D227</f>
        <v>41085.172427467063</v>
      </c>
      <c r="E226" s="30">
        <f t="shared" ref="E226:I226" si="62">$C$224+$C$226*E227</f>
        <v>41924.687643500511</v>
      </c>
      <c r="F226" s="30">
        <f t="shared" si="62"/>
        <v>45282.748507634307</v>
      </c>
      <c r="G226" s="30">
        <f t="shared" si="62"/>
        <v>51159.355019868446</v>
      </c>
      <c r="H226" s="30">
        <f t="shared" si="62"/>
        <v>57035.961532102592</v>
      </c>
      <c r="I226" s="30">
        <f t="shared" si="62"/>
        <v>57875.47674813604</v>
      </c>
    </row>
    <row r="227" spans="2:9">
      <c r="D227" s="72">
        <v>0</v>
      </c>
      <c r="E227" s="72">
        <v>0.05</v>
      </c>
      <c r="F227" s="72">
        <v>0.25</v>
      </c>
      <c r="G227" s="205">
        <v>0.6</v>
      </c>
      <c r="H227" s="205">
        <v>0.95</v>
      </c>
      <c r="I227" s="205">
        <v>1</v>
      </c>
    </row>
    <row r="228" spans="2:9">
      <c r="B228" s="205" t="s">
        <v>1436</v>
      </c>
      <c r="D228" s="30">
        <f>D226*6</f>
        <v>246511.03456480236</v>
      </c>
      <c r="E228" s="30">
        <f t="shared" ref="E228:I228" si="63">E226*6</f>
        <v>251548.12586100306</v>
      </c>
      <c r="F228" s="30">
        <f t="shared" si="63"/>
        <v>271696.49104580586</v>
      </c>
      <c r="G228" s="30">
        <f t="shared" si="63"/>
        <v>306956.13011921069</v>
      </c>
      <c r="H228" s="30">
        <f t="shared" si="63"/>
        <v>342215.76919261552</v>
      </c>
      <c r="I228" s="30">
        <f t="shared" si="63"/>
        <v>347252.86048881622</v>
      </c>
    </row>
    <row r="230" spans="2:9">
      <c r="B230" s="72" t="s">
        <v>1434</v>
      </c>
      <c r="D230" s="73">
        <f>NRW!D40/(health!$B40/6)</f>
        <v>353.39166426175814</v>
      </c>
      <c r="E230" s="73">
        <f>NRW!E40/(health!$B40/6)</f>
        <v>353.39166426175814</v>
      </c>
      <c r="F230" s="73">
        <f>NRW!F40/(health!$B40/6)</f>
        <v>392.46862713685641</v>
      </c>
      <c r="G230" s="73">
        <f>NRW!G40/(health!$B40/6)</f>
        <v>437.51244873288488</v>
      </c>
      <c r="H230" s="73">
        <f>NRW!H40/(health!$B40/6)</f>
        <v>499.90479460216915</v>
      </c>
      <c r="I230" s="73">
        <f>NRW!I40/(health!$B40/6)</f>
        <v>544.93687041331407</v>
      </c>
    </row>
    <row r="231" spans="2:9">
      <c r="B231" s="72" t="s">
        <v>1435</v>
      </c>
      <c r="D231" s="73">
        <f>D230*1000/365</f>
        <v>968.19634044317297</v>
      </c>
      <c r="E231" s="73">
        <f t="shared" ref="E231:I231" si="64">E230*1000/365</f>
        <v>968.19634044317297</v>
      </c>
      <c r="F231" s="73">
        <f t="shared" si="64"/>
        <v>1075.2565127037162</v>
      </c>
      <c r="G231" s="73">
        <f t="shared" si="64"/>
        <v>1198.6642431037942</v>
      </c>
      <c r="H231" s="73">
        <f t="shared" si="64"/>
        <v>1369.6021769922443</v>
      </c>
      <c r="I231" s="73">
        <f t="shared" si="64"/>
        <v>1492.9777271597645</v>
      </c>
    </row>
    <row r="233" spans="2:9">
      <c r="C233" s="72" t="s">
        <v>1457</v>
      </c>
    </row>
    <row r="234" spans="2:9">
      <c r="C234" s="72">
        <v>860000</v>
      </c>
    </row>
    <row r="235" spans="2:9">
      <c r="C235" s="72" t="s">
        <v>1458</v>
      </c>
    </row>
    <row r="236" spans="2:9">
      <c r="C236" s="30">
        <f>C234/6</f>
        <v>143333.33333333334</v>
      </c>
    </row>
    <row r="237" spans="2:9">
      <c r="C237" s="72" t="s">
        <v>1459</v>
      </c>
    </row>
    <row r="238" spans="2:9">
      <c r="C238" s="72">
        <v>200</v>
      </c>
    </row>
    <row r="239" spans="2:9">
      <c r="C239" s="72" t="s">
        <v>1460</v>
      </c>
    </row>
    <row r="240" spans="2:9">
      <c r="C240" s="72">
        <f>C238*365</f>
        <v>73000</v>
      </c>
    </row>
    <row r="241" spans="3:3">
      <c r="C241" s="72" t="s">
        <v>1461</v>
      </c>
    </row>
    <row r="242" spans="3:3">
      <c r="C242" s="209">
        <f>C240*C236</f>
        <v>10463333333.333334</v>
      </c>
    </row>
    <row r="243" spans="3:3">
      <c r="C243" s="72" t="s">
        <v>1462</v>
      </c>
    </row>
    <row r="244" spans="3:3">
      <c r="C244" s="209">
        <f>C242/1000</f>
        <v>10463333.333333334</v>
      </c>
    </row>
  </sheetData>
  <mergeCells count="13">
    <mergeCell ref="E4:I4"/>
    <mergeCell ref="I147:I148"/>
    <mergeCell ref="J147:J148"/>
    <mergeCell ref="K147:K148"/>
    <mergeCell ref="K106:K107"/>
    <mergeCell ref="I106:I107"/>
    <mergeCell ref="J106:J107"/>
    <mergeCell ref="I126:I127"/>
    <mergeCell ref="J126:J127"/>
    <mergeCell ref="K126:K127"/>
    <mergeCell ref="I86:I87"/>
    <mergeCell ref="J86:J87"/>
    <mergeCell ref="K86:K87"/>
  </mergeCells>
  <pageMargins left="0.7" right="0.7" top="0.75" bottom="0.75" header="0.3" footer="0.3"/>
  <pageSetup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pageSetUpPr fitToPage="1"/>
  </sheetPr>
  <dimension ref="B1:AH64"/>
  <sheetViews>
    <sheetView zoomScaleNormal="100" zoomScaleSheetLayoutView="90" workbookViewId="0">
      <pane ySplit="6" topLeftCell="A7" activePane="bottomLeft" state="frozen"/>
      <selection pane="bottomLeft" activeCell="B17" sqref="B17"/>
    </sheetView>
  </sheetViews>
  <sheetFormatPr defaultRowHeight="15"/>
  <cols>
    <col min="1" max="1" width="2.7109375" style="1" bestFit="1" customWidth="1"/>
    <col min="2" max="2" width="67.5703125" style="1" bestFit="1" customWidth="1"/>
    <col min="3" max="3" width="16.5703125" style="1" customWidth="1"/>
    <col min="4" max="24" width="13.7109375" style="1" customWidth="1"/>
    <col min="25" max="25" width="11.7109375" style="205" customWidth="1"/>
    <col min="26" max="16384" width="9.140625" style="1"/>
  </cols>
  <sheetData>
    <row r="1" spans="2:34" ht="15.75">
      <c r="B1" s="196" t="s">
        <v>901</v>
      </c>
      <c r="C1" s="469"/>
      <c r="F1" s="1028" t="s">
        <v>1624</v>
      </c>
    </row>
    <row r="2" spans="2:34" ht="15.75">
      <c r="B2" s="196"/>
    </row>
    <row r="3" spans="2:34" ht="16.5" thickBot="1">
      <c r="B3" s="196" t="s">
        <v>470</v>
      </c>
      <c r="E3" s="254"/>
      <c r="F3" s="254"/>
      <c r="G3" s="254"/>
      <c r="H3" s="254"/>
    </row>
    <row r="4" spans="2:34">
      <c r="B4" s="461" t="s">
        <v>697</v>
      </c>
      <c r="C4" s="460"/>
      <c r="D4" s="707"/>
      <c r="E4" s="1260" t="s">
        <v>420</v>
      </c>
      <c r="F4" s="1260"/>
      <c r="G4" s="1260"/>
      <c r="H4" s="1260"/>
      <c r="I4" s="1260"/>
      <c r="J4" s="458"/>
      <c r="K4" s="458"/>
      <c r="L4" s="458"/>
      <c r="M4" s="458"/>
      <c r="N4" s="458"/>
      <c r="O4" s="458"/>
      <c r="P4" s="458"/>
      <c r="Q4" s="458"/>
      <c r="R4" s="458"/>
      <c r="S4" s="458"/>
      <c r="T4" s="458"/>
      <c r="U4" s="458"/>
      <c r="V4" s="458"/>
      <c r="W4" s="458"/>
      <c r="X4" s="457"/>
    </row>
    <row r="5" spans="2:34" s="453" customFormat="1">
      <c r="B5" s="456"/>
      <c r="D5" s="450">
        <v>2012</v>
      </c>
      <c r="E5" s="452">
        <f t="shared" ref="E5:X5" si="0">D5+1</f>
        <v>2013</v>
      </c>
      <c r="F5" s="452">
        <f t="shared" si="0"/>
        <v>2014</v>
      </c>
      <c r="G5" s="452">
        <f t="shared" si="0"/>
        <v>2015</v>
      </c>
      <c r="H5" s="452">
        <f t="shared" si="0"/>
        <v>2016</v>
      </c>
      <c r="I5" s="452">
        <f t="shared" si="0"/>
        <v>2017</v>
      </c>
      <c r="J5" s="452">
        <f t="shared" si="0"/>
        <v>2018</v>
      </c>
      <c r="K5" s="452">
        <f t="shared" si="0"/>
        <v>2019</v>
      </c>
      <c r="L5" s="452">
        <f t="shared" si="0"/>
        <v>2020</v>
      </c>
      <c r="M5" s="452">
        <f t="shared" si="0"/>
        <v>2021</v>
      </c>
      <c r="N5" s="452">
        <f t="shared" si="0"/>
        <v>2022</v>
      </c>
      <c r="O5" s="452">
        <f t="shared" si="0"/>
        <v>2023</v>
      </c>
      <c r="P5" s="452">
        <f t="shared" si="0"/>
        <v>2024</v>
      </c>
      <c r="Q5" s="452">
        <f t="shared" si="0"/>
        <v>2025</v>
      </c>
      <c r="R5" s="452">
        <f t="shared" si="0"/>
        <v>2026</v>
      </c>
      <c r="S5" s="452">
        <f t="shared" si="0"/>
        <v>2027</v>
      </c>
      <c r="T5" s="452">
        <f t="shared" si="0"/>
        <v>2028</v>
      </c>
      <c r="U5" s="452">
        <f t="shared" si="0"/>
        <v>2029</v>
      </c>
      <c r="V5" s="452">
        <f t="shared" si="0"/>
        <v>2030</v>
      </c>
      <c r="W5" s="452">
        <f t="shared" si="0"/>
        <v>2031</v>
      </c>
      <c r="X5" s="1231">
        <f t="shared" si="0"/>
        <v>2032</v>
      </c>
      <c r="Y5" s="452"/>
      <c r="Z5" s="454"/>
      <c r="AA5" s="454"/>
      <c r="AB5" s="454"/>
      <c r="AC5" s="454"/>
    </row>
    <row r="6" spans="2:34" s="3" customFormat="1">
      <c r="B6" s="449"/>
      <c r="D6" s="450">
        <v>0</v>
      </c>
      <c r="E6" s="450">
        <v>1</v>
      </c>
      <c r="F6" s="452">
        <f t="shared" ref="F6:X6" si="1">E6+1</f>
        <v>2</v>
      </c>
      <c r="G6" s="201">
        <f t="shared" si="1"/>
        <v>3</v>
      </c>
      <c r="H6" s="201">
        <f t="shared" si="1"/>
        <v>4</v>
      </c>
      <c r="I6" s="201">
        <f t="shared" si="1"/>
        <v>5</v>
      </c>
      <c r="J6" s="201">
        <f t="shared" si="1"/>
        <v>6</v>
      </c>
      <c r="K6" s="201">
        <f t="shared" si="1"/>
        <v>7</v>
      </c>
      <c r="L6" s="201">
        <f t="shared" si="1"/>
        <v>8</v>
      </c>
      <c r="M6" s="201">
        <f t="shared" si="1"/>
        <v>9</v>
      </c>
      <c r="N6" s="201">
        <f t="shared" si="1"/>
        <v>10</v>
      </c>
      <c r="O6" s="201">
        <f t="shared" si="1"/>
        <v>11</v>
      </c>
      <c r="P6" s="201">
        <f t="shared" si="1"/>
        <v>12</v>
      </c>
      <c r="Q6" s="201">
        <f t="shared" si="1"/>
        <v>13</v>
      </c>
      <c r="R6" s="201">
        <f t="shared" si="1"/>
        <v>14</v>
      </c>
      <c r="S6" s="201">
        <f t="shared" si="1"/>
        <v>15</v>
      </c>
      <c r="T6" s="201">
        <f t="shared" si="1"/>
        <v>16</v>
      </c>
      <c r="U6" s="201">
        <f t="shared" si="1"/>
        <v>17</v>
      </c>
      <c r="V6" s="201">
        <f t="shared" si="1"/>
        <v>18</v>
      </c>
      <c r="W6" s="201">
        <f t="shared" si="1"/>
        <v>19</v>
      </c>
      <c r="X6" s="1225">
        <f t="shared" si="1"/>
        <v>20</v>
      </c>
      <c r="Y6" s="450"/>
      <c r="Z6" s="3" t="s">
        <v>877</v>
      </c>
    </row>
    <row r="7" spans="2:34" s="3" customFormat="1">
      <c r="B7" s="449"/>
      <c r="C7" s="450"/>
      <c r="D7" s="450"/>
      <c r="E7" s="201"/>
      <c r="F7" s="201"/>
      <c r="G7" s="201"/>
      <c r="H7" s="201"/>
      <c r="I7" s="201"/>
      <c r="J7" s="201"/>
      <c r="K7" s="201"/>
      <c r="L7" s="201"/>
      <c r="M7" s="201"/>
      <c r="N7" s="201"/>
      <c r="O7" s="201"/>
      <c r="P7" s="201"/>
      <c r="Q7" s="201"/>
      <c r="R7" s="201"/>
      <c r="S7" s="201"/>
      <c r="T7" s="201"/>
      <c r="U7" s="201"/>
      <c r="V7" s="201"/>
      <c r="W7" s="201"/>
      <c r="X7" s="1225"/>
      <c r="Y7" s="450"/>
    </row>
    <row r="8" spans="2:34" s="72" customFormat="1">
      <c r="B8" s="120" t="s">
        <v>900</v>
      </c>
      <c r="C8" s="72" t="s">
        <v>693</v>
      </c>
      <c r="D8" s="440">
        <f>$D$55*(D39-D25-D42)/1000000</f>
        <v>0</v>
      </c>
      <c r="E8" s="440">
        <f t="shared" ref="E8:X8" si="2">$D$55*(E39-E25-E42)/1000000</f>
        <v>0</v>
      </c>
      <c r="F8" s="440">
        <f t="shared" si="2"/>
        <v>2.1444862902911797</v>
      </c>
      <c r="G8" s="440">
        <f t="shared" si="2"/>
        <v>4.6409950226088439</v>
      </c>
      <c r="H8" s="440">
        <f t="shared" si="2"/>
        <v>8.3217931435828003</v>
      </c>
      <c r="I8" s="440">
        <f t="shared" si="2"/>
        <v>10.639745941391466</v>
      </c>
      <c r="J8" s="440">
        <f t="shared" si="2"/>
        <v>10.602307402047547</v>
      </c>
      <c r="K8" s="440">
        <f t="shared" si="2"/>
        <v>10.602307402047547</v>
      </c>
      <c r="L8" s="440">
        <f t="shared" si="2"/>
        <v>10.602307402047547</v>
      </c>
      <c r="M8" s="440">
        <f t="shared" si="2"/>
        <v>10.602307402047547</v>
      </c>
      <c r="N8" s="440">
        <f t="shared" si="2"/>
        <v>10.602307402047547</v>
      </c>
      <c r="O8" s="440">
        <f t="shared" si="2"/>
        <v>10.602307402047547</v>
      </c>
      <c r="P8" s="440">
        <f t="shared" si="2"/>
        <v>10.602307402047547</v>
      </c>
      <c r="Q8" s="440">
        <f t="shared" si="2"/>
        <v>10.602307402047547</v>
      </c>
      <c r="R8" s="440">
        <f t="shared" si="2"/>
        <v>10.602307402047547</v>
      </c>
      <c r="S8" s="440">
        <f t="shared" si="2"/>
        <v>10.602307402047547</v>
      </c>
      <c r="T8" s="440">
        <f t="shared" si="2"/>
        <v>10.602307402047547</v>
      </c>
      <c r="U8" s="440">
        <f t="shared" si="2"/>
        <v>10.602307402047547</v>
      </c>
      <c r="V8" s="440">
        <f t="shared" si="2"/>
        <v>10.602307402047547</v>
      </c>
      <c r="W8" s="440">
        <f t="shared" si="2"/>
        <v>10.602307402047547</v>
      </c>
      <c r="X8" s="1232">
        <f t="shared" si="2"/>
        <v>10.602307402047547</v>
      </c>
      <c r="Y8" s="440"/>
      <c r="Z8" s="444">
        <f>NPV(0.1,E8:X8)</f>
        <v>67.621825806335892</v>
      </c>
    </row>
    <row r="9" spans="2:34" s="72" customFormat="1" ht="15.75" thickBot="1">
      <c r="B9" s="439"/>
      <c r="C9" s="438"/>
      <c r="D9" s="438"/>
      <c r="E9" s="437"/>
      <c r="F9" s="437"/>
      <c r="G9" s="437"/>
      <c r="H9" s="437"/>
      <c r="I9" s="437"/>
      <c r="J9" s="437"/>
      <c r="K9" s="437"/>
      <c r="L9" s="437"/>
      <c r="M9" s="437"/>
      <c r="N9" s="437"/>
      <c r="O9" s="437"/>
      <c r="P9" s="437"/>
      <c r="Q9" s="437"/>
      <c r="R9" s="437"/>
      <c r="S9" s="437"/>
      <c r="T9" s="437"/>
      <c r="U9" s="437"/>
      <c r="V9" s="437"/>
      <c r="W9" s="437"/>
      <c r="X9" s="117"/>
      <c r="Y9" s="205"/>
      <c r="AB9" s="72" t="s">
        <v>80</v>
      </c>
    </row>
    <row r="10" spans="2:34" s="72" customFormat="1">
      <c r="B10" s="256"/>
      <c r="X10" s="1217"/>
      <c r="Y10" s="205"/>
    </row>
    <row r="11" spans="2:34" s="72" customFormat="1">
      <c r="B11" s="256"/>
      <c r="X11" s="1217"/>
      <c r="Y11" s="205"/>
    </row>
    <row r="12" spans="2:34" s="72" customFormat="1" ht="15.75">
      <c r="B12" s="196" t="s">
        <v>899</v>
      </c>
      <c r="X12" s="1217"/>
      <c r="Y12" s="205"/>
    </row>
    <row r="13" spans="2:34" s="72" customFormat="1">
      <c r="B13" s="733"/>
      <c r="X13" s="1217"/>
      <c r="Y13" s="205"/>
    </row>
    <row r="14" spans="2:34">
      <c r="B14" s="732" t="s">
        <v>898</v>
      </c>
      <c r="C14" s="72"/>
      <c r="D14" s="72"/>
      <c r="E14" s="72"/>
      <c r="F14" s="209"/>
      <c r="G14" s="72"/>
      <c r="H14" s="72"/>
      <c r="I14" s="378"/>
      <c r="J14" s="378"/>
      <c r="K14" s="378"/>
      <c r="L14" s="378"/>
      <c r="M14" s="378"/>
      <c r="N14" s="378"/>
      <c r="O14" s="378"/>
      <c r="P14" s="378"/>
      <c r="Q14" s="378"/>
      <c r="R14" s="378"/>
      <c r="S14" s="378"/>
      <c r="T14" s="378"/>
      <c r="U14" s="378"/>
      <c r="V14" s="378"/>
      <c r="W14" s="378"/>
      <c r="X14" s="1233"/>
      <c r="Y14" s="724"/>
      <c r="Z14" s="2"/>
      <c r="AA14" s="2"/>
      <c r="AB14" s="2"/>
      <c r="AC14" s="2"/>
      <c r="AD14" s="2"/>
      <c r="AE14" s="2"/>
      <c r="AF14" s="2"/>
      <c r="AG14" s="2"/>
      <c r="AH14" s="2"/>
    </row>
    <row r="15" spans="2:34">
      <c r="B15" s="449" t="s">
        <v>390</v>
      </c>
      <c r="C15" s="72"/>
      <c r="D15" s="72"/>
      <c r="E15" s="72"/>
      <c r="F15" s="72"/>
      <c r="G15" s="72"/>
      <c r="H15" s="72"/>
      <c r="I15" s="72"/>
      <c r="J15" s="72"/>
      <c r="K15" s="72"/>
      <c r="L15" s="72"/>
      <c r="M15" s="72"/>
      <c r="N15" s="72"/>
      <c r="O15" s="72"/>
      <c r="P15" s="72"/>
      <c r="Q15" s="72"/>
      <c r="R15" s="72"/>
      <c r="S15" s="72"/>
      <c r="T15" s="72"/>
      <c r="U15" s="72"/>
      <c r="V15" s="72"/>
      <c r="W15" s="72"/>
      <c r="X15" s="1217"/>
    </row>
    <row r="16" spans="2:34">
      <c r="B16" s="611" t="s">
        <v>897</v>
      </c>
      <c r="C16" s="363" t="s">
        <v>890</v>
      </c>
      <c r="D16" s="725">
        <v>97409240.790100008</v>
      </c>
      <c r="E16" s="725">
        <v>97409240.790100008</v>
      </c>
      <c r="F16" s="725">
        <v>97409240.790100008</v>
      </c>
      <c r="G16" s="116">
        <f t="shared" ref="G16:X16" si="3">F16</f>
        <v>97409240.790100008</v>
      </c>
      <c r="H16" s="116">
        <f t="shared" si="3"/>
        <v>97409240.790100008</v>
      </c>
      <c r="I16" s="116">
        <f t="shared" si="3"/>
        <v>97409240.790100008</v>
      </c>
      <c r="J16" s="116">
        <f t="shared" si="3"/>
        <v>97409240.790100008</v>
      </c>
      <c r="K16" s="116">
        <f t="shared" si="3"/>
        <v>97409240.790100008</v>
      </c>
      <c r="L16" s="116">
        <f t="shared" si="3"/>
        <v>97409240.790100008</v>
      </c>
      <c r="M16" s="116">
        <f t="shared" si="3"/>
        <v>97409240.790100008</v>
      </c>
      <c r="N16" s="116">
        <f t="shared" si="3"/>
        <v>97409240.790100008</v>
      </c>
      <c r="O16" s="116">
        <f t="shared" si="3"/>
        <v>97409240.790100008</v>
      </c>
      <c r="P16" s="116">
        <f t="shared" si="3"/>
        <v>97409240.790100008</v>
      </c>
      <c r="Q16" s="116">
        <f t="shared" si="3"/>
        <v>97409240.790100008</v>
      </c>
      <c r="R16" s="116">
        <f t="shared" si="3"/>
        <v>97409240.790100008</v>
      </c>
      <c r="S16" s="116">
        <f t="shared" si="3"/>
        <v>97409240.790100008</v>
      </c>
      <c r="T16" s="116">
        <f t="shared" si="3"/>
        <v>97409240.790100008</v>
      </c>
      <c r="U16" s="116">
        <f t="shared" si="3"/>
        <v>97409240.790100008</v>
      </c>
      <c r="V16" s="116">
        <f t="shared" si="3"/>
        <v>97409240.790100008</v>
      </c>
      <c r="W16" s="116">
        <f t="shared" si="3"/>
        <v>97409240.790100008</v>
      </c>
      <c r="X16" s="1234">
        <f t="shared" si="3"/>
        <v>97409240.790100008</v>
      </c>
    </row>
    <row r="17" spans="2:34">
      <c r="B17" s="120"/>
      <c r="X17" s="1217"/>
    </row>
    <row r="18" spans="2:34">
      <c r="B18" s="611" t="s">
        <v>896</v>
      </c>
      <c r="C18" s="363" t="s">
        <v>227</v>
      </c>
      <c r="D18" s="211">
        <v>0.48</v>
      </c>
      <c r="E18" s="211">
        <v>0.48</v>
      </c>
      <c r="F18" s="211">
        <v>0.48</v>
      </c>
      <c r="G18" s="211">
        <f t="shared" ref="G18:X18" si="4">F18</f>
        <v>0.48</v>
      </c>
      <c r="H18" s="211">
        <f t="shared" si="4"/>
        <v>0.48</v>
      </c>
      <c r="I18" s="211">
        <f t="shared" si="4"/>
        <v>0.48</v>
      </c>
      <c r="J18" s="211">
        <f t="shared" si="4"/>
        <v>0.48</v>
      </c>
      <c r="K18" s="211">
        <f t="shared" si="4"/>
        <v>0.48</v>
      </c>
      <c r="L18" s="211">
        <f t="shared" si="4"/>
        <v>0.48</v>
      </c>
      <c r="M18" s="211">
        <f t="shared" si="4"/>
        <v>0.48</v>
      </c>
      <c r="N18" s="211">
        <f t="shared" si="4"/>
        <v>0.48</v>
      </c>
      <c r="O18" s="211">
        <f t="shared" si="4"/>
        <v>0.48</v>
      </c>
      <c r="P18" s="211">
        <f t="shared" si="4"/>
        <v>0.48</v>
      </c>
      <c r="Q18" s="211">
        <f t="shared" si="4"/>
        <v>0.48</v>
      </c>
      <c r="R18" s="211">
        <f t="shared" si="4"/>
        <v>0.48</v>
      </c>
      <c r="S18" s="211">
        <f t="shared" si="4"/>
        <v>0.48</v>
      </c>
      <c r="T18" s="211">
        <f t="shared" si="4"/>
        <v>0.48</v>
      </c>
      <c r="U18" s="211">
        <f t="shared" si="4"/>
        <v>0.48</v>
      </c>
      <c r="V18" s="211">
        <f t="shared" si="4"/>
        <v>0.48</v>
      </c>
      <c r="W18" s="211">
        <f t="shared" si="4"/>
        <v>0.48</v>
      </c>
      <c r="X18" s="1229">
        <f t="shared" si="4"/>
        <v>0.48</v>
      </c>
      <c r="Y18" s="249"/>
      <c r="Z18" s="378"/>
      <c r="AA18" s="2"/>
      <c r="AB18" s="2"/>
      <c r="AC18" s="2"/>
      <c r="AD18" s="2"/>
      <c r="AE18" s="2"/>
      <c r="AF18" s="2"/>
      <c r="AG18" s="2"/>
      <c r="AH18" s="2"/>
    </row>
    <row r="19" spans="2:34">
      <c r="B19" s="726" t="s">
        <v>895</v>
      </c>
      <c r="C19" s="363" t="s">
        <v>227</v>
      </c>
      <c r="D19" s="709">
        <f t="shared" ref="D19:X19" si="5">D18*(1-$D$46)</f>
        <v>0.38400000000000001</v>
      </c>
      <c r="E19" s="709">
        <f t="shared" si="5"/>
        <v>0.38400000000000001</v>
      </c>
      <c r="F19" s="709">
        <f t="shared" si="5"/>
        <v>0.38400000000000001</v>
      </c>
      <c r="G19" s="709">
        <f t="shared" si="5"/>
        <v>0.38400000000000001</v>
      </c>
      <c r="H19" s="709">
        <f t="shared" si="5"/>
        <v>0.38400000000000001</v>
      </c>
      <c r="I19" s="709">
        <f t="shared" si="5"/>
        <v>0.38400000000000001</v>
      </c>
      <c r="J19" s="709">
        <f t="shared" si="5"/>
        <v>0.38400000000000001</v>
      </c>
      <c r="K19" s="709">
        <f t="shared" si="5"/>
        <v>0.38400000000000001</v>
      </c>
      <c r="L19" s="709">
        <f t="shared" si="5"/>
        <v>0.38400000000000001</v>
      </c>
      <c r="M19" s="709">
        <f t="shared" si="5"/>
        <v>0.38400000000000001</v>
      </c>
      <c r="N19" s="709">
        <f t="shared" si="5"/>
        <v>0.38400000000000001</v>
      </c>
      <c r="O19" s="709">
        <f t="shared" si="5"/>
        <v>0.38400000000000001</v>
      </c>
      <c r="P19" s="709">
        <f t="shared" si="5"/>
        <v>0.38400000000000001</v>
      </c>
      <c r="Q19" s="709">
        <f t="shared" si="5"/>
        <v>0.38400000000000001</v>
      </c>
      <c r="R19" s="709">
        <f t="shared" si="5"/>
        <v>0.38400000000000001</v>
      </c>
      <c r="S19" s="709">
        <f t="shared" si="5"/>
        <v>0.38400000000000001</v>
      </c>
      <c r="T19" s="709">
        <f t="shared" si="5"/>
        <v>0.38400000000000001</v>
      </c>
      <c r="U19" s="709">
        <f t="shared" si="5"/>
        <v>0.38400000000000001</v>
      </c>
      <c r="V19" s="709">
        <f t="shared" si="5"/>
        <v>0.38400000000000001</v>
      </c>
      <c r="W19" s="709">
        <f t="shared" si="5"/>
        <v>0.38400000000000001</v>
      </c>
      <c r="X19" s="1235">
        <f t="shared" si="5"/>
        <v>0.38400000000000001</v>
      </c>
      <c r="Y19" s="249"/>
      <c r="Z19" s="378"/>
      <c r="AA19" s="2"/>
      <c r="AB19" s="2"/>
      <c r="AC19" s="2"/>
      <c r="AD19" s="2"/>
      <c r="AE19" s="2"/>
      <c r="AF19" s="2"/>
      <c r="AG19" s="2"/>
      <c r="AH19" s="2"/>
    </row>
    <row r="20" spans="2:34">
      <c r="B20" s="726" t="s">
        <v>894</v>
      </c>
      <c r="C20" s="363" t="s">
        <v>227</v>
      </c>
      <c r="D20" s="709">
        <f t="shared" ref="D20:X20" si="6">D18*$D$46</f>
        <v>9.6000000000000002E-2</v>
      </c>
      <c r="E20" s="709">
        <f t="shared" si="6"/>
        <v>9.6000000000000002E-2</v>
      </c>
      <c r="F20" s="709">
        <f t="shared" si="6"/>
        <v>9.6000000000000002E-2</v>
      </c>
      <c r="G20" s="709">
        <f t="shared" si="6"/>
        <v>9.6000000000000002E-2</v>
      </c>
      <c r="H20" s="709">
        <f t="shared" si="6"/>
        <v>9.6000000000000002E-2</v>
      </c>
      <c r="I20" s="709">
        <f t="shared" si="6"/>
        <v>9.6000000000000002E-2</v>
      </c>
      <c r="J20" s="709">
        <f t="shared" si="6"/>
        <v>9.6000000000000002E-2</v>
      </c>
      <c r="K20" s="709">
        <f t="shared" si="6"/>
        <v>9.6000000000000002E-2</v>
      </c>
      <c r="L20" s="709">
        <f t="shared" si="6"/>
        <v>9.6000000000000002E-2</v>
      </c>
      <c r="M20" s="709">
        <f t="shared" si="6"/>
        <v>9.6000000000000002E-2</v>
      </c>
      <c r="N20" s="709">
        <f t="shared" si="6"/>
        <v>9.6000000000000002E-2</v>
      </c>
      <c r="O20" s="709">
        <f t="shared" si="6"/>
        <v>9.6000000000000002E-2</v>
      </c>
      <c r="P20" s="709">
        <f t="shared" si="6"/>
        <v>9.6000000000000002E-2</v>
      </c>
      <c r="Q20" s="709">
        <f t="shared" si="6"/>
        <v>9.6000000000000002E-2</v>
      </c>
      <c r="R20" s="709">
        <f t="shared" si="6"/>
        <v>9.6000000000000002E-2</v>
      </c>
      <c r="S20" s="709">
        <f t="shared" si="6"/>
        <v>9.6000000000000002E-2</v>
      </c>
      <c r="T20" s="709">
        <f t="shared" si="6"/>
        <v>9.6000000000000002E-2</v>
      </c>
      <c r="U20" s="709">
        <f t="shared" si="6"/>
        <v>9.6000000000000002E-2</v>
      </c>
      <c r="V20" s="709">
        <f t="shared" si="6"/>
        <v>9.6000000000000002E-2</v>
      </c>
      <c r="W20" s="709">
        <f t="shared" si="6"/>
        <v>9.6000000000000002E-2</v>
      </c>
      <c r="X20" s="1235">
        <f t="shared" si="6"/>
        <v>9.6000000000000002E-2</v>
      </c>
      <c r="Y20" s="249"/>
      <c r="Z20" s="378"/>
      <c r="AA20" s="2"/>
      <c r="AB20" s="2"/>
      <c r="AC20" s="2"/>
      <c r="AD20" s="2"/>
      <c r="AE20" s="2"/>
      <c r="AF20" s="2"/>
      <c r="AG20" s="2"/>
      <c r="AH20" s="2"/>
    </row>
    <row r="21" spans="2:34">
      <c r="B21" s="611" t="s">
        <v>896</v>
      </c>
      <c r="C21" s="363" t="s">
        <v>890</v>
      </c>
      <c r="D21" s="712">
        <f t="shared" ref="D21:X21" si="7">D$16*D18</f>
        <v>46756435.579248004</v>
      </c>
      <c r="E21" s="712">
        <f t="shared" si="7"/>
        <v>46756435.579248004</v>
      </c>
      <c r="F21" s="712">
        <f t="shared" si="7"/>
        <v>46756435.579248004</v>
      </c>
      <c r="G21" s="712">
        <f t="shared" si="7"/>
        <v>46756435.579248004</v>
      </c>
      <c r="H21" s="712">
        <f t="shared" si="7"/>
        <v>46756435.579248004</v>
      </c>
      <c r="I21" s="712">
        <f t="shared" si="7"/>
        <v>46756435.579248004</v>
      </c>
      <c r="J21" s="712">
        <f t="shared" si="7"/>
        <v>46756435.579248004</v>
      </c>
      <c r="K21" s="712">
        <f t="shared" si="7"/>
        <v>46756435.579248004</v>
      </c>
      <c r="L21" s="712">
        <f t="shared" si="7"/>
        <v>46756435.579248004</v>
      </c>
      <c r="M21" s="712">
        <f t="shared" si="7"/>
        <v>46756435.579248004</v>
      </c>
      <c r="N21" s="712">
        <f t="shared" si="7"/>
        <v>46756435.579248004</v>
      </c>
      <c r="O21" s="712">
        <f t="shared" si="7"/>
        <v>46756435.579248004</v>
      </c>
      <c r="P21" s="712">
        <f t="shared" si="7"/>
        <v>46756435.579248004</v>
      </c>
      <c r="Q21" s="712">
        <f t="shared" si="7"/>
        <v>46756435.579248004</v>
      </c>
      <c r="R21" s="712">
        <f t="shared" si="7"/>
        <v>46756435.579248004</v>
      </c>
      <c r="S21" s="712">
        <f t="shared" si="7"/>
        <v>46756435.579248004</v>
      </c>
      <c r="T21" s="712">
        <f t="shared" si="7"/>
        <v>46756435.579248004</v>
      </c>
      <c r="U21" s="712">
        <f t="shared" si="7"/>
        <v>46756435.579248004</v>
      </c>
      <c r="V21" s="712">
        <f t="shared" si="7"/>
        <v>46756435.579248004</v>
      </c>
      <c r="W21" s="712">
        <f t="shared" si="7"/>
        <v>46756435.579248004</v>
      </c>
      <c r="X21" s="1236">
        <f t="shared" si="7"/>
        <v>46756435.579248004</v>
      </c>
      <c r="Y21" s="249"/>
      <c r="Z21" s="378"/>
      <c r="AA21" s="2"/>
      <c r="AB21" s="2"/>
      <c r="AC21" s="2"/>
      <c r="AD21" s="2"/>
      <c r="AE21" s="2"/>
      <c r="AF21" s="2"/>
      <c r="AG21" s="2"/>
      <c r="AH21" s="2"/>
    </row>
    <row r="22" spans="2:34">
      <c r="B22" s="726" t="s">
        <v>895</v>
      </c>
      <c r="C22" s="363" t="s">
        <v>890</v>
      </c>
      <c r="D22" s="712">
        <f t="shared" ref="D22:X22" si="8">D$16*D19</f>
        <v>37405148.463398404</v>
      </c>
      <c r="E22" s="712">
        <f t="shared" si="8"/>
        <v>37405148.463398404</v>
      </c>
      <c r="F22" s="712">
        <f t="shared" si="8"/>
        <v>37405148.463398404</v>
      </c>
      <c r="G22" s="712">
        <f t="shared" si="8"/>
        <v>37405148.463398404</v>
      </c>
      <c r="H22" s="712">
        <f t="shared" si="8"/>
        <v>37405148.463398404</v>
      </c>
      <c r="I22" s="712">
        <f t="shared" si="8"/>
        <v>37405148.463398404</v>
      </c>
      <c r="J22" s="712">
        <f t="shared" si="8"/>
        <v>37405148.463398404</v>
      </c>
      <c r="K22" s="712">
        <f t="shared" si="8"/>
        <v>37405148.463398404</v>
      </c>
      <c r="L22" s="712">
        <f t="shared" si="8"/>
        <v>37405148.463398404</v>
      </c>
      <c r="M22" s="712">
        <f t="shared" si="8"/>
        <v>37405148.463398404</v>
      </c>
      <c r="N22" s="712">
        <f t="shared" si="8"/>
        <v>37405148.463398404</v>
      </c>
      <c r="O22" s="712">
        <f t="shared" si="8"/>
        <v>37405148.463398404</v>
      </c>
      <c r="P22" s="712">
        <f t="shared" si="8"/>
        <v>37405148.463398404</v>
      </c>
      <c r="Q22" s="712">
        <f t="shared" si="8"/>
        <v>37405148.463398404</v>
      </c>
      <c r="R22" s="712">
        <f t="shared" si="8"/>
        <v>37405148.463398404</v>
      </c>
      <c r="S22" s="712">
        <f t="shared" si="8"/>
        <v>37405148.463398404</v>
      </c>
      <c r="T22" s="712">
        <f t="shared" si="8"/>
        <v>37405148.463398404</v>
      </c>
      <c r="U22" s="712">
        <f t="shared" si="8"/>
        <v>37405148.463398404</v>
      </c>
      <c r="V22" s="712">
        <f t="shared" si="8"/>
        <v>37405148.463398404</v>
      </c>
      <c r="W22" s="712">
        <f t="shared" si="8"/>
        <v>37405148.463398404</v>
      </c>
      <c r="X22" s="1236">
        <f t="shared" si="8"/>
        <v>37405148.463398404</v>
      </c>
      <c r="Y22" s="249"/>
      <c r="Z22" s="378"/>
      <c r="AA22" s="2"/>
      <c r="AB22" s="2"/>
      <c r="AC22" s="2"/>
      <c r="AD22" s="2"/>
      <c r="AE22" s="2"/>
      <c r="AF22" s="2"/>
      <c r="AG22" s="2"/>
      <c r="AH22" s="2"/>
    </row>
    <row r="23" spans="2:34">
      <c r="B23" s="726" t="s">
        <v>894</v>
      </c>
      <c r="C23" s="363" t="s">
        <v>890</v>
      </c>
      <c r="D23" s="712">
        <f t="shared" ref="D23:X23" si="9">D$16*D20</f>
        <v>9351287.1158496011</v>
      </c>
      <c r="E23" s="712">
        <f t="shared" si="9"/>
        <v>9351287.1158496011</v>
      </c>
      <c r="F23" s="712">
        <f t="shared" si="9"/>
        <v>9351287.1158496011</v>
      </c>
      <c r="G23" s="712">
        <f t="shared" si="9"/>
        <v>9351287.1158496011</v>
      </c>
      <c r="H23" s="712">
        <f t="shared" si="9"/>
        <v>9351287.1158496011</v>
      </c>
      <c r="I23" s="712">
        <f t="shared" si="9"/>
        <v>9351287.1158496011</v>
      </c>
      <c r="J23" s="712">
        <f t="shared" si="9"/>
        <v>9351287.1158496011</v>
      </c>
      <c r="K23" s="712">
        <f t="shared" si="9"/>
        <v>9351287.1158496011</v>
      </c>
      <c r="L23" s="712">
        <f t="shared" si="9"/>
        <v>9351287.1158496011</v>
      </c>
      <c r="M23" s="712">
        <f t="shared" si="9"/>
        <v>9351287.1158496011</v>
      </c>
      <c r="N23" s="712">
        <f t="shared" si="9"/>
        <v>9351287.1158496011</v>
      </c>
      <c r="O23" s="712">
        <f t="shared" si="9"/>
        <v>9351287.1158496011</v>
      </c>
      <c r="P23" s="712">
        <f t="shared" si="9"/>
        <v>9351287.1158496011</v>
      </c>
      <c r="Q23" s="712">
        <f t="shared" si="9"/>
        <v>9351287.1158496011</v>
      </c>
      <c r="R23" s="712">
        <f t="shared" si="9"/>
        <v>9351287.1158496011</v>
      </c>
      <c r="S23" s="712">
        <f t="shared" si="9"/>
        <v>9351287.1158496011</v>
      </c>
      <c r="T23" s="712">
        <f t="shared" si="9"/>
        <v>9351287.1158496011</v>
      </c>
      <c r="U23" s="712">
        <f t="shared" si="9"/>
        <v>9351287.1158496011</v>
      </c>
      <c r="V23" s="712">
        <f t="shared" si="9"/>
        <v>9351287.1158496011</v>
      </c>
      <c r="W23" s="712">
        <f t="shared" si="9"/>
        <v>9351287.1158496011</v>
      </c>
      <c r="X23" s="1236">
        <f t="shared" si="9"/>
        <v>9351287.1158496011</v>
      </c>
      <c r="Y23" s="249"/>
      <c r="Z23" s="378"/>
      <c r="AA23" s="2"/>
      <c r="AB23" s="2"/>
      <c r="AC23" s="2"/>
      <c r="AD23" s="2"/>
      <c r="AE23" s="2"/>
      <c r="AF23" s="2"/>
      <c r="AG23" s="2"/>
      <c r="AH23" s="2"/>
    </row>
    <row r="24" spans="2:34">
      <c r="B24" s="726"/>
      <c r="C24" s="363"/>
      <c r="D24" s="712"/>
      <c r="E24" s="712"/>
      <c r="F24" s="712"/>
      <c r="G24" s="712"/>
      <c r="H24" s="712"/>
      <c r="I24" s="712"/>
      <c r="J24" s="712"/>
      <c r="K24" s="712"/>
      <c r="L24" s="712"/>
      <c r="M24" s="712"/>
      <c r="N24" s="712"/>
      <c r="O24" s="712"/>
      <c r="P24" s="712"/>
      <c r="Q24" s="712"/>
      <c r="R24" s="712"/>
      <c r="S24" s="712"/>
      <c r="T24" s="712"/>
      <c r="U24" s="712"/>
      <c r="V24" s="712"/>
      <c r="W24" s="712"/>
      <c r="X24" s="1236"/>
      <c r="Y24" s="249"/>
      <c r="Z24" s="378"/>
      <c r="AA24" s="2"/>
      <c r="AB24" s="2"/>
      <c r="AC24" s="2"/>
      <c r="AD24" s="2"/>
      <c r="AE24" s="2"/>
      <c r="AF24" s="2"/>
      <c r="AG24" s="2"/>
      <c r="AH24" s="2"/>
    </row>
    <row r="25" spans="2:34">
      <c r="B25" s="611" t="s">
        <v>893</v>
      </c>
      <c r="C25" s="363" t="s">
        <v>890</v>
      </c>
      <c r="D25" s="725">
        <f t="shared" ref="D25:X25" si="10">D16-D22</f>
        <v>60004092.326701604</v>
      </c>
      <c r="E25" s="725">
        <f t="shared" si="10"/>
        <v>60004092.326701604</v>
      </c>
      <c r="F25" s="725">
        <f t="shared" si="10"/>
        <v>60004092.326701604</v>
      </c>
      <c r="G25" s="725">
        <f t="shared" si="10"/>
        <v>60004092.326701604</v>
      </c>
      <c r="H25" s="725">
        <f t="shared" si="10"/>
        <v>60004092.326701604</v>
      </c>
      <c r="I25" s="725">
        <f t="shared" si="10"/>
        <v>60004092.326701604</v>
      </c>
      <c r="J25" s="725">
        <f t="shared" si="10"/>
        <v>60004092.326701604</v>
      </c>
      <c r="K25" s="725">
        <f t="shared" si="10"/>
        <v>60004092.326701604</v>
      </c>
      <c r="L25" s="725">
        <f t="shared" si="10"/>
        <v>60004092.326701604</v>
      </c>
      <c r="M25" s="725">
        <f t="shared" si="10"/>
        <v>60004092.326701604</v>
      </c>
      <c r="N25" s="725">
        <f t="shared" si="10"/>
        <v>60004092.326701604</v>
      </c>
      <c r="O25" s="725">
        <f t="shared" si="10"/>
        <v>60004092.326701604</v>
      </c>
      <c r="P25" s="725">
        <f t="shared" si="10"/>
        <v>60004092.326701604</v>
      </c>
      <c r="Q25" s="725">
        <f t="shared" si="10"/>
        <v>60004092.326701604</v>
      </c>
      <c r="R25" s="725">
        <f t="shared" si="10"/>
        <v>60004092.326701604</v>
      </c>
      <c r="S25" s="725">
        <f t="shared" si="10"/>
        <v>60004092.326701604</v>
      </c>
      <c r="T25" s="725">
        <f t="shared" si="10"/>
        <v>60004092.326701604</v>
      </c>
      <c r="U25" s="725">
        <f t="shared" si="10"/>
        <v>60004092.326701604</v>
      </c>
      <c r="V25" s="725">
        <f t="shared" si="10"/>
        <v>60004092.326701604</v>
      </c>
      <c r="W25" s="725">
        <f t="shared" si="10"/>
        <v>60004092.326701604</v>
      </c>
      <c r="X25" s="1237">
        <f t="shared" si="10"/>
        <v>60004092.326701604</v>
      </c>
    </row>
    <row r="26" spans="2:34">
      <c r="B26" s="611" t="s">
        <v>892</v>
      </c>
      <c r="C26" s="363" t="s">
        <v>890</v>
      </c>
      <c r="D26" s="723">
        <f t="shared" ref="D26:X26" si="11">D16-D21</f>
        <v>50652805.210852005</v>
      </c>
      <c r="E26" s="723">
        <f t="shared" si="11"/>
        <v>50652805.210852005</v>
      </c>
      <c r="F26" s="723">
        <f t="shared" si="11"/>
        <v>50652805.210852005</v>
      </c>
      <c r="G26" s="723">
        <f t="shared" si="11"/>
        <v>50652805.210852005</v>
      </c>
      <c r="H26" s="723">
        <f t="shared" si="11"/>
        <v>50652805.210852005</v>
      </c>
      <c r="I26" s="723">
        <f t="shared" si="11"/>
        <v>50652805.210852005</v>
      </c>
      <c r="J26" s="723">
        <f t="shared" si="11"/>
        <v>50652805.210852005</v>
      </c>
      <c r="K26" s="723">
        <f t="shared" si="11"/>
        <v>50652805.210852005</v>
      </c>
      <c r="L26" s="723">
        <f t="shared" si="11"/>
        <v>50652805.210852005</v>
      </c>
      <c r="M26" s="723">
        <f t="shared" si="11"/>
        <v>50652805.210852005</v>
      </c>
      <c r="N26" s="723">
        <f t="shared" si="11"/>
        <v>50652805.210852005</v>
      </c>
      <c r="O26" s="723">
        <f t="shared" si="11"/>
        <v>50652805.210852005</v>
      </c>
      <c r="P26" s="723">
        <f t="shared" si="11"/>
        <v>50652805.210852005</v>
      </c>
      <c r="Q26" s="723">
        <f t="shared" si="11"/>
        <v>50652805.210852005</v>
      </c>
      <c r="R26" s="723">
        <f t="shared" si="11"/>
        <v>50652805.210852005</v>
      </c>
      <c r="S26" s="723">
        <f t="shared" si="11"/>
        <v>50652805.210852005</v>
      </c>
      <c r="T26" s="723">
        <f t="shared" si="11"/>
        <v>50652805.210852005</v>
      </c>
      <c r="U26" s="723">
        <f t="shared" si="11"/>
        <v>50652805.210852005</v>
      </c>
      <c r="V26" s="723">
        <f t="shared" si="11"/>
        <v>50652805.210852005</v>
      </c>
      <c r="W26" s="723">
        <f t="shared" si="11"/>
        <v>50652805.210852005</v>
      </c>
      <c r="X26" s="1238">
        <f t="shared" si="11"/>
        <v>50652805.210852005</v>
      </c>
      <c r="Y26" s="731"/>
      <c r="Z26" s="378"/>
      <c r="AA26" s="2"/>
      <c r="AB26" s="2"/>
      <c r="AC26" s="2"/>
      <c r="AD26" s="2"/>
      <c r="AE26" s="2"/>
      <c r="AF26" s="2"/>
      <c r="AG26" s="2"/>
      <c r="AH26" s="2"/>
    </row>
    <row r="27" spans="2:34">
      <c r="B27" s="611"/>
      <c r="C27" s="363"/>
      <c r="D27" s="723"/>
      <c r="E27" s="723"/>
      <c r="F27" s="723"/>
      <c r="G27" s="723"/>
      <c r="H27" s="723"/>
      <c r="I27" s="723"/>
      <c r="J27" s="723"/>
      <c r="K27" s="723"/>
      <c r="L27" s="723"/>
      <c r="M27" s="723"/>
      <c r="N27" s="723"/>
      <c r="O27" s="723"/>
      <c r="P27" s="723"/>
      <c r="Q27" s="723"/>
      <c r="R27" s="723"/>
      <c r="S27" s="723"/>
      <c r="T27" s="723"/>
      <c r="U27" s="723"/>
      <c r="V27" s="723"/>
      <c r="W27" s="723"/>
      <c r="X27" s="1238"/>
      <c r="Y27" s="731"/>
      <c r="Z27" s="378"/>
      <c r="AA27" s="2"/>
      <c r="AB27" s="2"/>
      <c r="AC27" s="2"/>
      <c r="AD27" s="2"/>
      <c r="AE27" s="2"/>
      <c r="AF27" s="2"/>
      <c r="AG27" s="2"/>
      <c r="AH27" s="2"/>
    </row>
    <row r="28" spans="2:34">
      <c r="B28" s="730"/>
      <c r="C28" s="729"/>
      <c r="D28" s="729"/>
      <c r="E28" s="72"/>
      <c r="F28" s="72"/>
      <c r="G28" s="72"/>
      <c r="H28" s="72"/>
      <c r="I28" s="378"/>
      <c r="J28" s="378"/>
      <c r="K28" s="378"/>
      <c r="L28" s="378"/>
      <c r="M28" s="378"/>
      <c r="N28" s="378"/>
      <c r="O28" s="378"/>
      <c r="P28" s="378"/>
      <c r="Q28" s="378"/>
      <c r="R28" s="378"/>
      <c r="S28" s="378"/>
      <c r="T28" s="378"/>
      <c r="U28" s="378"/>
      <c r="V28" s="378"/>
      <c r="W28" s="378"/>
      <c r="X28" s="1233"/>
      <c r="Y28" s="724"/>
      <c r="Z28" s="378"/>
      <c r="AA28" s="2"/>
      <c r="AB28" s="2"/>
      <c r="AC28" s="2"/>
      <c r="AD28" s="2"/>
      <c r="AE28" s="2"/>
      <c r="AF28" s="2"/>
      <c r="AG28" s="2"/>
      <c r="AH28" s="2"/>
    </row>
    <row r="29" spans="2:34">
      <c r="B29" s="447" t="s">
        <v>393</v>
      </c>
      <c r="C29" s="729"/>
      <c r="D29" s="729"/>
      <c r="E29" s="72"/>
      <c r="F29" s="72"/>
      <c r="G29" s="72"/>
      <c r="H29" s="72"/>
      <c r="I29" s="378"/>
      <c r="J29" s="378"/>
      <c r="K29" s="378"/>
      <c r="L29" s="378"/>
      <c r="M29" s="378"/>
      <c r="N29" s="378"/>
      <c r="O29" s="378"/>
      <c r="P29" s="378"/>
      <c r="Q29" s="378"/>
      <c r="R29" s="378"/>
      <c r="S29" s="378"/>
      <c r="T29" s="378"/>
      <c r="U29" s="378"/>
      <c r="V29" s="378"/>
      <c r="W29" s="378"/>
      <c r="X29" s="1233"/>
      <c r="Y29" s="724"/>
      <c r="Z29" s="378"/>
      <c r="AA29" s="2"/>
      <c r="AB29" s="2"/>
      <c r="AC29" s="2"/>
      <c r="AD29" s="2"/>
      <c r="AE29" s="2"/>
      <c r="AF29" s="2"/>
      <c r="AG29" s="2"/>
      <c r="AH29" s="2"/>
    </row>
    <row r="30" spans="2:34">
      <c r="B30" s="611" t="s">
        <v>897</v>
      </c>
      <c r="C30" s="363" t="s">
        <v>890</v>
      </c>
      <c r="D30" s="725">
        <v>97409240.790100008</v>
      </c>
      <c r="E30" s="725">
        <v>97409240.790100008</v>
      </c>
      <c r="F30" s="725">
        <v>97409240.790100008</v>
      </c>
      <c r="G30" s="725">
        <v>98756090.790100008</v>
      </c>
      <c r="H30" s="725">
        <v>103470065.79010001</v>
      </c>
      <c r="I30" s="725">
        <v>104143490.79010001</v>
      </c>
      <c r="J30" s="725">
        <v>104143490.79010001</v>
      </c>
      <c r="K30" s="725">
        <v>104143490.79010001</v>
      </c>
      <c r="L30" s="725">
        <v>104143490.79010001</v>
      </c>
      <c r="M30" s="378">
        <f t="shared" ref="M30:X30" si="12">L30</f>
        <v>104143490.79010001</v>
      </c>
      <c r="N30" s="378">
        <f t="shared" si="12"/>
        <v>104143490.79010001</v>
      </c>
      <c r="O30" s="378">
        <f t="shared" si="12"/>
        <v>104143490.79010001</v>
      </c>
      <c r="P30" s="378">
        <f t="shared" si="12"/>
        <v>104143490.79010001</v>
      </c>
      <c r="Q30" s="378">
        <f t="shared" si="12"/>
        <v>104143490.79010001</v>
      </c>
      <c r="R30" s="378">
        <f t="shared" si="12"/>
        <v>104143490.79010001</v>
      </c>
      <c r="S30" s="378">
        <f t="shared" si="12"/>
        <v>104143490.79010001</v>
      </c>
      <c r="T30" s="378">
        <f t="shared" si="12"/>
        <v>104143490.79010001</v>
      </c>
      <c r="U30" s="378">
        <f t="shared" si="12"/>
        <v>104143490.79010001</v>
      </c>
      <c r="V30" s="378">
        <f t="shared" si="12"/>
        <v>104143490.79010001</v>
      </c>
      <c r="W30" s="378">
        <f t="shared" si="12"/>
        <v>104143490.79010001</v>
      </c>
      <c r="X30" s="1233">
        <f t="shared" si="12"/>
        <v>104143490.79010001</v>
      </c>
      <c r="Z30" s="378"/>
      <c r="AA30" s="2"/>
      <c r="AB30" s="2"/>
      <c r="AC30" s="2"/>
      <c r="AD30" s="2"/>
      <c r="AE30" s="2"/>
      <c r="AF30" s="2"/>
      <c r="AG30" s="2"/>
      <c r="AH30" s="2"/>
    </row>
    <row r="31" spans="2:34">
      <c r="B31" s="120"/>
      <c r="X31" s="1217"/>
    </row>
    <row r="32" spans="2:34">
      <c r="B32" s="611" t="s">
        <v>896</v>
      </c>
      <c r="C32" s="363" t="s">
        <v>227</v>
      </c>
      <c r="D32" s="728">
        <v>0.48</v>
      </c>
      <c r="E32" s="711">
        <v>0.48</v>
      </c>
      <c r="F32" s="211">
        <f>E32-($E$32-$I$32)/($J$5-$F$5)</f>
        <v>0.42249999999999999</v>
      </c>
      <c r="G32" s="211">
        <f>F32-($E$32-$I$32)/($J$5-$F$5)</f>
        <v>0.36499999999999999</v>
      </c>
      <c r="H32" s="211">
        <f>G32-($E$32-$I$32)/($J$5-$F$5)</f>
        <v>0.3075</v>
      </c>
      <c r="I32" s="1191">
        <f>'ERR &amp; Sensitivity Analysis'!G13*K44</f>
        <v>0.25</v>
      </c>
      <c r="J32" s="727">
        <f t="shared" ref="J32:X32" si="13">I32</f>
        <v>0.25</v>
      </c>
      <c r="K32" s="727">
        <f t="shared" si="13"/>
        <v>0.25</v>
      </c>
      <c r="L32" s="727">
        <f t="shared" si="13"/>
        <v>0.25</v>
      </c>
      <c r="M32" s="727">
        <f t="shared" si="13"/>
        <v>0.25</v>
      </c>
      <c r="N32" s="727">
        <f t="shared" si="13"/>
        <v>0.25</v>
      </c>
      <c r="O32" s="727">
        <f t="shared" si="13"/>
        <v>0.25</v>
      </c>
      <c r="P32" s="727">
        <f t="shared" si="13"/>
        <v>0.25</v>
      </c>
      <c r="Q32" s="727">
        <f t="shared" si="13"/>
        <v>0.25</v>
      </c>
      <c r="R32" s="727">
        <f t="shared" si="13"/>
        <v>0.25</v>
      </c>
      <c r="S32" s="727">
        <f t="shared" si="13"/>
        <v>0.25</v>
      </c>
      <c r="T32" s="727">
        <f t="shared" si="13"/>
        <v>0.25</v>
      </c>
      <c r="U32" s="727">
        <f t="shared" si="13"/>
        <v>0.25</v>
      </c>
      <c r="V32" s="727">
        <f t="shared" si="13"/>
        <v>0.25</v>
      </c>
      <c r="W32" s="727">
        <f t="shared" si="13"/>
        <v>0.25</v>
      </c>
      <c r="X32" s="1239">
        <f t="shared" si="13"/>
        <v>0.25</v>
      </c>
      <c r="Y32" s="249"/>
      <c r="Z32" s="711"/>
      <c r="AA32" s="711"/>
      <c r="AB32" s="711"/>
      <c r="AC32" s="711"/>
      <c r="AD32" s="2"/>
      <c r="AE32" s="2"/>
      <c r="AF32" s="2"/>
      <c r="AG32" s="2"/>
      <c r="AH32" s="2"/>
    </row>
    <row r="33" spans="2:34">
      <c r="B33" s="726" t="s">
        <v>895</v>
      </c>
      <c r="C33" s="363" t="s">
        <v>227</v>
      </c>
      <c r="D33" s="709">
        <f t="shared" ref="D33:X33" si="14">D32*(1-$D$46)</f>
        <v>0.38400000000000001</v>
      </c>
      <c r="E33" s="709">
        <f t="shared" si="14"/>
        <v>0.38400000000000001</v>
      </c>
      <c r="F33" s="709">
        <f t="shared" si="14"/>
        <v>0.33800000000000002</v>
      </c>
      <c r="G33" s="709">
        <f t="shared" si="14"/>
        <v>0.29199999999999998</v>
      </c>
      <c r="H33" s="709">
        <f t="shared" si="14"/>
        <v>0.246</v>
      </c>
      <c r="I33" s="709">
        <f>I32*(1-$D$46)</f>
        <v>0.2</v>
      </c>
      <c r="J33" s="709">
        <f t="shared" si="14"/>
        <v>0.2</v>
      </c>
      <c r="K33" s="709">
        <f t="shared" si="14"/>
        <v>0.2</v>
      </c>
      <c r="L33" s="709">
        <f t="shared" si="14"/>
        <v>0.2</v>
      </c>
      <c r="M33" s="709">
        <f t="shared" si="14"/>
        <v>0.2</v>
      </c>
      <c r="N33" s="709">
        <f t="shared" si="14"/>
        <v>0.2</v>
      </c>
      <c r="O33" s="709">
        <f t="shared" si="14"/>
        <v>0.2</v>
      </c>
      <c r="P33" s="709">
        <f t="shared" si="14"/>
        <v>0.2</v>
      </c>
      <c r="Q33" s="709">
        <f t="shared" si="14"/>
        <v>0.2</v>
      </c>
      <c r="R33" s="709">
        <f t="shared" si="14"/>
        <v>0.2</v>
      </c>
      <c r="S33" s="709">
        <f t="shared" si="14"/>
        <v>0.2</v>
      </c>
      <c r="T33" s="709">
        <f t="shared" si="14"/>
        <v>0.2</v>
      </c>
      <c r="U33" s="709">
        <f t="shared" si="14"/>
        <v>0.2</v>
      </c>
      <c r="V33" s="709">
        <f t="shared" si="14"/>
        <v>0.2</v>
      </c>
      <c r="W33" s="709">
        <f t="shared" si="14"/>
        <v>0.2</v>
      </c>
      <c r="X33" s="1235">
        <f t="shared" si="14"/>
        <v>0.2</v>
      </c>
      <c r="Y33" s="716"/>
      <c r="Z33" s="711"/>
      <c r="AA33" s="711"/>
      <c r="AB33" s="711"/>
      <c r="AC33" s="711"/>
      <c r="AD33" s="2"/>
      <c r="AE33" s="2"/>
      <c r="AF33" s="2"/>
      <c r="AG33" s="2"/>
      <c r="AH33" s="2"/>
    </row>
    <row r="34" spans="2:34">
      <c r="B34" s="726" t="s">
        <v>894</v>
      </c>
      <c r="C34" s="363" t="s">
        <v>227</v>
      </c>
      <c r="D34" s="709">
        <f t="shared" ref="D34:X34" si="15">D32*$D$46</f>
        <v>9.6000000000000002E-2</v>
      </c>
      <c r="E34" s="709">
        <f t="shared" si="15"/>
        <v>9.6000000000000002E-2</v>
      </c>
      <c r="F34" s="709">
        <f t="shared" si="15"/>
        <v>8.4500000000000006E-2</v>
      </c>
      <c r="G34" s="709">
        <f t="shared" si="15"/>
        <v>7.2999999999999995E-2</v>
      </c>
      <c r="H34" s="709">
        <f t="shared" si="15"/>
        <v>6.1499999999999999E-2</v>
      </c>
      <c r="I34" s="409">
        <f>I32*$D$46</f>
        <v>0.05</v>
      </c>
      <c r="J34" s="709">
        <f t="shared" si="15"/>
        <v>0.05</v>
      </c>
      <c r="K34" s="709">
        <f t="shared" si="15"/>
        <v>0.05</v>
      </c>
      <c r="L34" s="709">
        <f t="shared" si="15"/>
        <v>0.05</v>
      </c>
      <c r="M34" s="709">
        <f t="shared" si="15"/>
        <v>0.05</v>
      </c>
      <c r="N34" s="709">
        <f t="shared" si="15"/>
        <v>0.05</v>
      </c>
      <c r="O34" s="709">
        <f t="shared" si="15"/>
        <v>0.05</v>
      </c>
      <c r="P34" s="709">
        <f t="shared" si="15"/>
        <v>0.05</v>
      </c>
      <c r="Q34" s="709">
        <f t="shared" si="15"/>
        <v>0.05</v>
      </c>
      <c r="R34" s="709">
        <f t="shared" si="15"/>
        <v>0.05</v>
      </c>
      <c r="S34" s="709">
        <f t="shared" si="15"/>
        <v>0.05</v>
      </c>
      <c r="T34" s="709">
        <f t="shared" si="15"/>
        <v>0.05</v>
      </c>
      <c r="U34" s="709">
        <f t="shared" si="15"/>
        <v>0.05</v>
      </c>
      <c r="V34" s="709">
        <f t="shared" si="15"/>
        <v>0.05</v>
      </c>
      <c r="W34" s="709">
        <f t="shared" si="15"/>
        <v>0.05</v>
      </c>
      <c r="X34" s="1235">
        <f t="shared" si="15"/>
        <v>0.05</v>
      </c>
      <c r="Y34" s="716"/>
      <c r="Z34" s="711"/>
      <c r="AA34" s="711"/>
      <c r="AB34" s="711"/>
      <c r="AC34" s="711"/>
      <c r="AD34" s="2"/>
      <c r="AE34" s="2"/>
      <c r="AF34" s="2"/>
      <c r="AG34" s="2"/>
      <c r="AH34" s="2"/>
    </row>
    <row r="35" spans="2:34">
      <c r="B35" s="611" t="s">
        <v>896</v>
      </c>
      <c r="C35" s="363" t="s">
        <v>890</v>
      </c>
      <c r="D35" s="725">
        <f t="shared" ref="D35:X35" si="16">D$30*D32</f>
        <v>46756435.579248004</v>
      </c>
      <c r="E35" s="725">
        <f t="shared" si="16"/>
        <v>46756435.579248004</v>
      </c>
      <c r="F35" s="725">
        <f t="shared" si="16"/>
        <v>41155404.23381725</v>
      </c>
      <c r="G35" s="725">
        <f t="shared" si="16"/>
        <v>36045973.138386503</v>
      </c>
      <c r="H35" s="725">
        <f t="shared" si="16"/>
        <v>31817045.230455752</v>
      </c>
      <c r="I35" s="725">
        <f t="shared" si="16"/>
        <v>26035872.697525002</v>
      </c>
      <c r="J35" s="725">
        <f t="shared" si="16"/>
        <v>26035872.697525002</v>
      </c>
      <c r="K35" s="725">
        <f t="shared" si="16"/>
        <v>26035872.697525002</v>
      </c>
      <c r="L35" s="725">
        <f t="shared" si="16"/>
        <v>26035872.697525002</v>
      </c>
      <c r="M35" s="725">
        <f t="shared" si="16"/>
        <v>26035872.697525002</v>
      </c>
      <c r="N35" s="725">
        <f t="shared" si="16"/>
        <v>26035872.697525002</v>
      </c>
      <c r="O35" s="725">
        <f t="shared" si="16"/>
        <v>26035872.697525002</v>
      </c>
      <c r="P35" s="725">
        <f t="shared" si="16"/>
        <v>26035872.697525002</v>
      </c>
      <c r="Q35" s="725">
        <f t="shared" si="16"/>
        <v>26035872.697525002</v>
      </c>
      <c r="R35" s="725">
        <f t="shared" si="16"/>
        <v>26035872.697525002</v>
      </c>
      <c r="S35" s="725">
        <f t="shared" si="16"/>
        <v>26035872.697525002</v>
      </c>
      <c r="T35" s="725">
        <f t="shared" si="16"/>
        <v>26035872.697525002</v>
      </c>
      <c r="U35" s="725">
        <f t="shared" si="16"/>
        <v>26035872.697525002</v>
      </c>
      <c r="V35" s="725">
        <f t="shared" si="16"/>
        <v>26035872.697525002</v>
      </c>
      <c r="W35" s="725">
        <f t="shared" si="16"/>
        <v>26035872.697525002</v>
      </c>
      <c r="X35" s="1237">
        <f t="shared" si="16"/>
        <v>26035872.697525002</v>
      </c>
      <c r="Y35" s="716"/>
      <c r="Z35" s="711"/>
      <c r="AA35" s="711"/>
      <c r="AB35" s="711"/>
      <c r="AC35" s="711"/>
      <c r="AD35" s="2"/>
      <c r="AE35" s="2"/>
      <c r="AF35" s="2"/>
      <c r="AG35" s="2"/>
      <c r="AH35" s="2"/>
    </row>
    <row r="36" spans="2:34">
      <c r="B36" s="726" t="s">
        <v>895</v>
      </c>
      <c r="C36" s="363" t="s">
        <v>890</v>
      </c>
      <c r="D36" s="725">
        <f t="shared" ref="D36:X36" si="17">D$30*D33</f>
        <v>37405148.463398404</v>
      </c>
      <c r="E36" s="725">
        <f t="shared" si="17"/>
        <v>37405148.463398404</v>
      </c>
      <c r="F36" s="725">
        <f t="shared" si="17"/>
        <v>32924323.387053806</v>
      </c>
      <c r="G36" s="725">
        <f t="shared" si="17"/>
        <v>28836778.5107092</v>
      </c>
      <c r="H36" s="725">
        <f t="shared" si="17"/>
        <v>25453636.184364602</v>
      </c>
      <c r="I36" s="725">
        <f t="shared" si="17"/>
        <v>20828698.158020005</v>
      </c>
      <c r="J36" s="725">
        <f t="shared" si="17"/>
        <v>20828698.158020005</v>
      </c>
      <c r="K36" s="725">
        <f t="shared" si="17"/>
        <v>20828698.158020005</v>
      </c>
      <c r="L36" s="725">
        <f t="shared" si="17"/>
        <v>20828698.158020005</v>
      </c>
      <c r="M36" s="725">
        <f t="shared" si="17"/>
        <v>20828698.158020005</v>
      </c>
      <c r="N36" s="725">
        <f t="shared" si="17"/>
        <v>20828698.158020005</v>
      </c>
      <c r="O36" s="725">
        <f t="shared" si="17"/>
        <v>20828698.158020005</v>
      </c>
      <c r="P36" s="725">
        <f t="shared" si="17"/>
        <v>20828698.158020005</v>
      </c>
      <c r="Q36" s="725">
        <f t="shared" si="17"/>
        <v>20828698.158020005</v>
      </c>
      <c r="R36" s="725">
        <f t="shared" si="17"/>
        <v>20828698.158020005</v>
      </c>
      <c r="S36" s="725">
        <f t="shared" si="17"/>
        <v>20828698.158020005</v>
      </c>
      <c r="T36" s="725">
        <f t="shared" si="17"/>
        <v>20828698.158020005</v>
      </c>
      <c r="U36" s="725">
        <f t="shared" si="17"/>
        <v>20828698.158020005</v>
      </c>
      <c r="V36" s="725">
        <f t="shared" si="17"/>
        <v>20828698.158020005</v>
      </c>
      <c r="W36" s="725">
        <f t="shared" si="17"/>
        <v>20828698.158020005</v>
      </c>
      <c r="X36" s="1237">
        <f t="shared" si="17"/>
        <v>20828698.158020005</v>
      </c>
      <c r="Y36" s="716"/>
      <c r="Z36" s="711"/>
      <c r="AA36" s="711"/>
      <c r="AB36" s="711"/>
      <c r="AC36" s="711"/>
      <c r="AD36" s="2"/>
      <c r="AE36" s="2"/>
      <c r="AF36" s="2"/>
      <c r="AG36" s="2"/>
      <c r="AH36" s="2"/>
    </row>
    <row r="37" spans="2:34">
      <c r="B37" s="726" t="s">
        <v>894</v>
      </c>
      <c r="C37" s="363" t="s">
        <v>890</v>
      </c>
      <c r="D37" s="725">
        <f t="shared" ref="D37:X37" si="18">D$30*D34</f>
        <v>9351287.1158496011</v>
      </c>
      <c r="E37" s="725">
        <f t="shared" si="18"/>
        <v>9351287.1158496011</v>
      </c>
      <c r="F37" s="725">
        <f t="shared" si="18"/>
        <v>8231080.8467634516</v>
      </c>
      <c r="G37" s="725">
        <f t="shared" si="18"/>
        <v>7209194.6276773</v>
      </c>
      <c r="H37" s="725">
        <f t="shared" si="18"/>
        <v>6363409.0460911505</v>
      </c>
      <c r="I37" s="725">
        <f t="shared" si="18"/>
        <v>5207174.5395050012</v>
      </c>
      <c r="J37" s="725">
        <f t="shared" si="18"/>
        <v>5207174.5395050012</v>
      </c>
      <c r="K37" s="725">
        <f t="shared" si="18"/>
        <v>5207174.5395050012</v>
      </c>
      <c r="L37" s="725">
        <f t="shared" si="18"/>
        <v>5207174.5395050012</v>
      </c>
      <c r="M37" s="725">
        <f t="shared" si="18"/>
        <v>5207174.5395050012</v>
      </c>
      <c r="N37" s="725">
        <f t="shared" si="18"/>
        <v>5207174.5395050012</v>
      </c>
      <c r="O37" s="725">
        <f t="shared" si="18"/>
        <v>5207174.5395050012</v>
      </c>
      <c r="P37" s="725">
        <f t="shared" si="18"/>
        <v>5207174.5395050012</v>
      </c>
      <c r="Q37" s="725">
        <f t="shared" si="18"/>
        <v>5207174.5395050012</v>
      </c>
      <c r="R37" s="725">
        <f t="shared" si="18"/>
        <v>5207174.5395050012</v>
      </c>
      <c r="S37" s="725">
        <f t="shared" si="18"/>
        <v>5207174.5395050012</v>
      </c>
      <c r="T37" s="725">
        <f t="shared" si="18"/>
        <v>5207174.5395050012</v>
      </c>
      <c r="U37" s="725">
        <f t="shared" si="18"/>
        <v>5207174.5395050012</v>
      </c>
      <c r="V37" s="725">
        <f t="shared" si="18"/>
        <v>5207174.5395050012</v>
      </c>
      <c r="W37" s="725">
        <f t="shared" si="18"/>
        <v>5207174.5395050012</v>
      </c>
      <c r="X37" s="1237">
        <f t="shared" si="18"/>
        <v>5207174.5395050012</v>
      </c>
      <c r="Y37" s="716"/>
      <c r="Z37" s="711"/>
      <c r="AA37" s="711"/>
      <c r="AB37" s="711"/>
      <c r="AC37" s="711"/>
      <c r="AD37" s="2"/>
      <c r="AE37" s="2"/>
      <c r="AF37" s="2"/>
      <c r="AG37" s="2"/>
      <c r="AH37" s="2"/>
    </row>
    <row r="38" spans="2:34">
      <c r="B38" s="726"/>
      <c r="C38" s="363"/>
      <c r="D38" s="712"/>
      <c r="E38" s="712"/>
      <c r="F38" s="712"/>
      <c r="G38" s="712"/>
      <c r="H38" s="712"/>
      <c r="I38" s="712"/>
      <c r="J38" s="712"/>
      <c r="K38" s="712"/>
      <c r="L38" s="712"/>
      <c r="M38" s="712"/>
      <c r="N38" s="712"/>
      <c r="O38" s="712"/>
      <c r="P38" s="712"/>
      <c r="Q38" s="712"/>
      <c r="R38" s="712"/>
      <c r="S38" s="712"/>
      <c r="T38" s="712"/>
      <c r="U38" s="712"/>
      <c r="V38" s="712"/>
      <c r="W38" s="712"/>
      <c r="X38" s="1236"/>
      <c r="Y38" s="716"/>
      <c r="Z38" s="711"/>
      <c r="AA38" s="711"/>
      <c r="AB38" s="711"/>
      <c r="AC38" s="711"/>
      <c r="AD38" s="2"/>
      <c r="AE38" s="2"/>
      <c r="AF38" s="2"/>
      <c r="AG38" s="2"/>
      <c r="AH38" s="2"/>
    </row>
    <row r="39" spans="2:34">
      <c r="B39" s="611" t="s">
        <v>893</v>
      </c>
      <c r="C39" s="363" t="s">
        <v>890</v>
      </c>
      <c r="D39" s="725">
        <f t="shared" ref="D39:X39" si="19">D30-D36</f>
        <v>60004092.326701604</v>
      </c>
      <c r="E39" s="725">
        <f t="shared" si="19"/>
        <v>60004092.326701604</v>
      </c>
      <c r="F39" s="725">
        <f t="shared" si="19"/>
        <v>64484917.403046206</v>
      </c>
      <c r="G39" s="725">
        <f t="shared" si="19"/>
        <v>69919312.279390812</v>
      </c>
      <c r="H39" s="725">
        <f t="shared" si="19"/>
        <v>78016429.605735406</v>
      </c>
      <c r="I39" s="725">
        <f t="shared" si="19"/>
        <v>83314792.632080004</v>
      </c>
      <c r="J39" s="725">
        <f t="shared" si="19"/>
        <v>83314792.632080004</v>
      </c>
      <c r="K39" s="725">
        <f t="shared" si="19"/>
        <v>83314792.632080004</v>
      </c>
      <c r="L39" s="725">
        <f t="shared" si="19"/>
        <v>83314792.632080004</v>
      </c>
      <c r="M39" s="725">
        <f t="shared" si="19"/>
        <v>83314792.632080004</v>
      </c>
      <c r="N39" s="725">
        <f t="shared" si="19"/>
        <v>83314792.632080004</v>
      </c>
      <c r="O39" s="725">
        <f t="shared" si="19"/>
        <v>83314792.632080004</v>
      </c>
      <c r="P39" s="725">
        <f t="shared" si="19"/>
        <v>83314792.632080004</v>
      </c>
      <c r="Q39" s="725">
        <f t="shared" si="19"/>
        <v>83314792.632080004</v>
      </c>
      <c r="R39" s="725">
        <f t="shared" si="19"/>
        <v>83314792.632080004</v>
      </c>
      <c r="S39" s="725">
        <f t="shared" si="19"/>
        <v>83314792.632080004</v>
      </c>
      <c r="T39" s="725">
        <f t="shared" si="19"/>
        <v>83314792.632080004</v>
      </c>
      <c r="U39" s="725">
        <f t="shared" si="19"/>
        <v>83314792.632080004</v>
      </c>
      <c r="V39" s="725">
        <f t="shared" si="19"/>
        <v>83314792.632080004</v>
      </c>
      <c r="W39" s="725">
        <f t="shared" si="19"/>
        <v>83314792.632080004</v>
      </c>
      <c r="X39" s="1237">
        <f t="shared" si="19"/>
        <v>83314792.632080004</v>
      </c>
      <c r="Y39" s="724"/>
      <c r="Z39" s="378"/>
      <c r="AA39" s="2"/>
      <c r="AB39" s="2"/>
      <c r="AC39" s="2"/>
      <c r="AD39" s="2"/>
      <c r="AE39" s="2"/>
      <c r="AF39" s="2"/>
      <c r="AG39" s="2"/>
      <c r="AH39" s="2"/>
    </row>
    <row r="40" spans="2:34" s="254" customFormat="1">
      <c r="B40" s="611" t="s">
        <v>892</v>
      </c>
      <c r="C40" s="363" t="s">
        <v>890</v>
      </c>
      <c r="D40" s="723">
        <f t="shared" ref="D40:X40" si="20">D30-D35</f>
        <v>50652805.210852005</v>
      </c>
      <c r="E40" s="723">
        <f t="shared" si="20"/>
        <v>50652805.210852005</v>
      </c>
      <c r="F40" s="723">
        <f t="shared" si="20"/>
        <v>56253836.556282759</v>
      </c>
      <c r="G40" s="723">
        <f t="shared" si="20"/>
        <v>62710117.651713505</v>
      </c>
      <c r="H40" s="723">
        <f t="shared" si="20"/>
        <v>71653020.559644252</v>
      </c>
      <c r="I40" s="723">
        <f t="shared" si="20"/>
        <v>78107618.092575014</v>
      </c>
      <c r="J40" s="723">
        <f t="shared" si="20"/>
        <v>78107618.092575014</v>
      </c>
      <c r="K40" s="723">
        <f t="shared" si="20"/>
        <v>78107618.092575014</v>
      </c>
      <c r="L40" s="723">
        <f t="shared" si="20"/>
        <v>78107618.092575014</v>
      </c>
      <c r="M40" s="723">
        <f t="shared" si="20"/>
        <v>78107618.092575014</v>
      </c>
      <c r="N40" s="723">
        <f t="shared" si="20"/>
        <v>78107618.092575014</v>
      </c>
      <c r="O40" s="723">
        <f t="shared" si="20"/>
        <v>78107618.092575014</v>
      </c>
      <c r="P40" s="723">
        <f t="shared" si="20"/>
        <v>78107618.092575014</v>
      </c>
      <c r="Q40" s="723">
        <f t="shared" si="20"/>
        <v>78107618.092575014</v>
      </c>
      <c r="R40" s="723">
        <f t="shared" si="20"/>
        <v>78107618.092575014</v>
      </c>
      <c r="S40" s="723">
        <f t="shared" si="20"/>
        <v>78107618.092575014</v>
      </c>
      <c r="T40" s="723">
        <f t="shared" si="20"/>
        <v>78107618.092575014</v>
      </c>
      <c r="U40" s="723">
        <f t="shared" si="20"/>
        <v>78107618.092575014</v>
      </c>
      <c r="V40" s="723">
        <f t="shared" si="20"/>
        <v>78107618.092575014</v>
      </c>
      <c r="W40" s="723">
        <f t="shared" si="20"/>
        <v>78107618.092575014</v>
      </c>
      <c r="X40" s="1238">
        <f t="shared" si="20"/>
        <v>78107618.092575014</v>
      </c>
      <c r="Y40" s="722"/>
      <c r="Z40" s="380"/>
      <c r="AA40" s="721"/>
      <c r="AB40" s="721"/>
      <c r="AC40" s="721"/>
      <c r="AD40" s="721"/>
      <c r="AE40" s="721"/>
      <c r="AF40" s="721"/>
      <c r="AG40" s="721"/>
      <c r="AH40" s="721"/>
    </row>
    <row r="41" spans="2:34">
      <c r="B41" s="120"/>
      <c r="C41" s="499" t="s">
        <v>80</v>
      </c>
      <c r="X41" s="1217"/>
    </row>
    <row r="42" spans="2:34">
      <c r="B42" s="611" t="s">
        <v>891</v>
      </c>
      <c r="C42" s="363" t="s">
        <v>890</v>
      </c>
      <c r="D42" s="712">
        <f>'Time Savings'!E18*'Time Savings'!$N$181</f>
        <v>0</v>
      </c>
      <c r="E42" s="712">
        <f>'Time Savings'!F18*'Time Savings'!$N$181</f>
        <v>0</v>
      </c>
      <c r="F42" s="712">
        <f>'Time Savings'!G18*'Time Savings'!$N$181</f>
        <v>76884.200425000003</v>
      </c>
      <c r="G42" s="712">
        <f>'Time Savings'!H18*'Time Savings'!$N$181</f>
        <v>384421.002125</v>
      </c>
      <c r="H42" s="712">
        <f>'Time Savings'!I18*'Time Savings'!$N$181</f>
        <v>922610.40509999997</v>
      </c>
      <c r="I42" s="712">
        <f>'Time Savings'!J18*'Time Savings'!$N$181</f>
        <v>1460799.8080749998</v>
      </c>
      <c r="J42" s="712">
        <f>'Time Savings'!K18*'Time Savings'!$N$181</f>
        <v>1537684.0085</v>
      </c>
      <c r="K42" s="712">
        <f>'Time Savings'!L18*'Time Savings'!$N$181</f>
        <v>1537684.0085</v>
      </c>
      <c r="L42" s="712">
        <f>'Time Savings'!M18*'Time Savings'!$N$181</f>
        <v>1537684.0085</v>
      </c>
      <c r="M42" s="712">
        <f>'Time Savings'!N18*'Time Savings'!$N$181</f>
        <v>1537684.0085</v>
      </c>
      <c r="N42" s="712">
        <f>'Time Savings'!O18*'Time Savings'!$N$181</f>
        <v>1537684.0085</v>
      </c>
      <c r="O42" s="712">
        <f>'Time Savings'!P18*'Time Savings'!$N$181</f>
        <v>1537684.0085</v>
      </c>
      <c r="P42" s="712">
        <f>'Time Savings'!Q18*'Time Savings'!$N$181</f>
        <v>1537684.0085</v>
      </c>
      <c r="Q42" s="712">
        <f>'Time Savings'!R18*'Time Savings'!$N$181</f>
        <v>1537684.0085</v>
      </c>
      <c r="R42" s="712">
        <f>'Time Savings'!S18*'Time Savings'!$N$181</f>
        <v>1537684.0085</v>
      </c>
      <c r="S42" s="712">
        <f>'Time Savings'!T18*'Time Savings'!$N$181</f>
        <v>1537684.0085</v>
      </c>
      <c r="T42" s="712">
        <f>'Time Savings'!U18*'Time Savings'!$N$181</f>
        <v>1537684.0085</v>
      </c>
      <c r="U42" s="712">
        <f>'Time Savings'!V18*'Time Savings'!$N$181</f>
        <v>1537684.0085</v>
      </c>
      <c r="V42" s="712">
        <f>'Time Savings'!W18*'Time Savings'!$N$181</f>
        <v>1537684.0085</v>
      </c>
      <c r="W42" s="712">
        <f>'Time Savings'!X18*'Time Savings'!$N$181</f>
        <v>1537684.0085</v>
      </c>
      <c r="X42" s="1236">
        <f>'Time Savings'!Y18*'Time Savings'!$N$181</f>
        <v>1537684.0085</v>
      </c>
      <c r="Y42" s="716"/>
      <c r="Z42" s="711"/>
      <c r="AA42" s="711"/>
      <c r="AB42" s="711"/>
      <c r="AC42" s="711"/>
      <c r="AD42" s="2"/>
      <c r="AE42" s="2"/>
      <c r="AF42" s="2"/>
      <c r="AG42" s="2"/>
      <c r="AH42" s="2"/>
    </row>
    <row r="43" spans="2:34" ht="15.75" thickBot="1">
      <c r="B43" s="720"/>
      <c r="C43" s="719"/>
      <c r="D43" s="718"/>
      <c r="E43" s="718"/>
      <c r="F43" s="718"/>
      <c r="G43" s="718"/>
      <c r="H43" s="718"/>
      <c r="I43" s="718"/>
      <c r="J43" s="718"/>
      <c r="K43" s="718"/>
      <c r="L43" s="718"/>
      <c r="M43" s="718"/>
      <c r="N43" s="718"/>
      <c r="O43" s="718"/>
      <c r="P43" s="718"/>
      <c r="Q43" s="718"/>
      <c r="R43" s="718"/>
      <c r="S43" s="718"/>
      <c r="T43" s="718"/>
      <c r="U43" s="718"/>
      <c r="V43" s="718"/>
      <c r="W43" s="718"/>
      <c r="X43" s="717"/>
      <c r="Y43" s="716"/>
      <c r="Z43" s="711"/>
      <c r="AA43" s="711"/>
      <c r="AB43" s="711"/>
      <c r="AC43" s="711"/>
      <c r="AD43" s="2"/>
      <c r="AE43" s="2"/>
      <c r="AF43" s="2"/>
      <c r="AG43" s="2"/>
      <c r="AH43" s="2"/>
    </row>
    <row r="44" spans="2:34">
      <c r="B44" s="364"/>
      <c r="C44" s="363"/>
      <c r="D44" s="712"/>
      <c r="E44" s="712"/>
      <c r="F44" s="712"/>
      <c r="G44" s="712"/>
      <c r="H44" s="712"/>
      <c r="I44" s="712"/>
      <c r="J44" s="712"/>
      <c r="K44" s="713">
        <v>1</v>
      </c>
      <c r="L44" s="712" t="s">
        <v>426</v>
      </c>
      <c r="M44" s="712"/>
      <c r="N44" s="712"/>
      <c r="O44" s="712"/>
      <c r="P44" s="712"/>
      <c r="Q44" s="712"/>
      <c r="R44" s="712"/>
      <c r="S44" s="712"/>
      <c r="T44" s="712"/>
      <c r="U44" s="712"/>
      <c r="V44" s="712"/>
      <c r="W44" s="712"/>
      <c r="X44" s="712"/>
      <c r="Y44" s="716"/>
      <c r="Z44" s="711"/>
      <c r="AA44" s="711"/>
      <c r="AB44" s="711"/>
      <c r="AC44" s="711"/>
      <c r="AD44" s="2"/>
      <c r="AE44" s="2"/>
      <c r="AF44" s="2"/>
      <c r="AG44" s="2"/>
      <c r="AH44" s="2"/>
    </row>
    <row r="45" spans="2:34" s="3" customFormat="1">
      <c r="B45" s="3" t="s">
        <v>889</v>
      </c>
      <c r="C45" s="3" t="s">
        <v>605</v>
      </c>
      <c r="D45" s="225" t="s">
        <v>604</v>
      </c>
      <c r="E45" s="3" t="s">
        <v>352</v>
      </c>
      <c r="M45" s="711">
        <v>0.25</v>
      </c>
      <c r="Y45" s="450"/>
    </row>
    <row r="46" spans="2:34">
      <c r="B46" s="1" t="s">
        <v>888</v>
      </c>
      <c r="C46" s="12" t="s">
        <v>227</v>
      </c>
      <c r="D46" s="13">
        <v>0.2</v>
      </c>
      <c r="E46" s="1" t="s">
        <v>1282</v>
      </c>
      <c r="M46" s="227">
        <v>0.29832539938211194</v>
      </c>
    </row>
    <row r="47" spans="2:34">
      <c r="B47" s="309" t="s">
        <v>887</v>
      </c>
      <c r="C47" s="206" t="s">
        <v>539</v>
      </c>
      <c r="D47" s="715">
        <f>'Time Savings'!E115+'Time Savings'!E156+'Time Savings'!E115</f>
        <v>542325.84339326853</v>
      </c>
      <c r="E47" s="7" t="s">
        <v>1283</v>
      </c>
      <c r="H47" s="7"/>
      <c r="I47" s="7"/>
      <c r="J47" s="7"/>
      <c r="K47" s="7"/>
      <c r="L47" s="72" t="s">
        <v>423</v>
      </c>
      <c r="M47" s="709">
        <f>(M46-M45)/M45</f>
        <v>0.19330159752844778</v>
      </c>
      <c r="N47" s="7"/>
      <c r="O47" s="7"/>
      <c r="P47" s="7"/>
    </row>
    <row r="48" spans="2:34">
      <c r="B48" s="309" t="s">
        <v>886</v>
      </c>
      <c r="C48" s="206" t="s">
        <v>539</v>
      </c>
      <c r="D48" s="715">
        <f>'Time Savings'!E112+'Time Savings'!E153+'Time Savings'!E132</f>
        <v>462054.3685983934</v>
      </c>
      <c r="E48" s="7" t="s">
        <v>1283</v>
      </c>
      <c r="H48" s="7"/>
      <c r="I48" s="7"/>
      <c r="J48" s="7"/>
      <c r="K48" s="7"/>
      <c r="L48" s="7"/>
      <c r="M48" s="7"/>
      <c r="N48" s="7"/>
      <c r="O48" s="7"/>
      <c r="P48" s="7"/>
    </row>
    <row r="49" spans="2:16">
      <c r="B49" s="309"/>
      <c r="C49" s="206"/>
      <c r="D49" s="715"/>
      <c r="E49" s="7"/>
      <c r="H49" s="7"/>
      <c r="I49" s="7"/>
      <c r="J49" s="7"/>
      <c r="K49" s="7"/>
      <c r="L49" s="7"/>
      <c r="M49" s="7"/>
      <c r="N49" s="7"/>
      <c r="O49" s="7"/>
      <c r="P49" s="7"/>
    </row>
    <row r="50" spans="2:16" ht="17.25">
      <c r="B50" s="309" t="s">
        <v>885</v>
      </c>
      <c r="C50" s="206" t="s">
        <v>880</v>
      </c>
      <c r="D50" s="146">
        <v>0.25</v>
      </c>
      <c r="E50" s="7" t="s">
        <v>1285</v>
      </c>
      <c r="H50" s="7"/>
      <c r="I50" s="7"/>
      <c r="J50" s="7"/>
      <c r="K50" s="7"/>
      <c r="L50" s="7"/>
      <c r="M50" s="7"/>
      <c r="N50" s="7"/>
      <c r="O50" s="7"/>
      <c r="P50" s="7"/>
    </row>
    <row r="51" spans="2:16" ht="17.25">
      <c r="B51" s="1" t="s">
        <v>883</v>
      </c>
      <c r="C51" s="12" t="s">
        <v>884</v>
      </c>
      <c r="D51" s="714">
        <f>427749200/201108</f>
        <v>2126.9626270461645</v>
      </c>
      <c r="E51" s="7" t="s">
        <v>1284</v>
      </c>
      <c r="H51" s="7"/>
      <c r="I51" s="7"/>
      <c r="J51" s="7"/>
      <c r="K51" s="7"/>
      <c r="L51" s="7"/>
      <c r="M51" s="7"/>
      <c r="N51" s="7"/>
      <c r="O51" s="7"/>
      <c r="P51" s="7"/>
    </row>
    <row r="52" spans="2:16" ht="17.25">
      <c r="B52" s="1" t="s">
        <v>882</v>
      </c>
      <c r="C52" s="12" t="s">
        <v>884</v>
      </c>
      <c r="D52" s="714">
        <f>816105000/414133</f>
        <v>1970.6350375362504</v>
      </c>
      <c r="E52" s="7" t="s">
        <v>1284</v>
      </c>
      <c r="F52" s="713">
        <v>1</v>
      </c>
      <c r="G52" s="712" t="s">
        <v>426</v>
      </c>
      <c r="H52" s="712"/>
      <c r="I52" s="7"/>
      <c r="J52" s="7"/>
      <c r="K52" s="7"/>
      <c r="L52" s="7"/>
      <c r="M52" s="7"/>
      <c r="N52" s="7"/>
      <c r="O52" s="7"/>
      <c r="P52" s="7"/>
    </row>
    <row r="53" spans="2:16" ht="17.25">
      <c r="B53" s="1" t="s">
        <v>883</v>
      </c>
      <c r="C53" s="12" t="s">
        <v>880</v>
      </c>
      <c r="D53" s="710">
        <f>D51*(Assumptions!$O$49/Assumptions!$O$47)/Assumptions!$E$43</f>
        <v>0.50398794620744025</v>
      </c>
      <c r="F53" s="3"/>
      <c r="G53" s="3"/>
      <c r="H53" s="711">
        <v>0.48822607516825617</v>
      </c>
      <c r="I53" s="7"/>
      <c r="J53" s="7"/>
      <c r="K53" s="7"/>
      <c r="L53" s="7"/>
      <c r="M53" s="7"/>
      <c r="N53" s="7"/>
      <c r="O53" s="7"/>
      <c r="P53" s="7"/>
    </row>
    <row r="54" spans="2:16" ht="17.25">
      <c r="B54" s="1" t="s">
        <v>882</v>
      </c>
      <c r="C54" s="12" t="s">
        <v>880</v>
      </c>
      <c r="D54" s="710">
        <f>D52*(Assumptions!$O$49/Assumptions!$O$47)/Assumptions!$E$43</f>
        <v>0.46694581872912255</v>
      </c>
      <c r="H54" s="227">
        <v>0.39931229218588715</v>
      </c>
      <c r="I54" s="7"/>
      <c r="J54" s="7"/>
      <c r="K54" s="7"/>
      <c r="L54" s="7"/>
      <c r="M54" s="7"/>
      <c r="N54" s="7"/>
      <c r="O54" s="7"/>
      <c r="P54" s="7"/>
    </row>
    <row r="55" spans="2:16" ht="17.25">
      <c r="B55" s="309" t="s">
        <v>881</v>
      </c>
      <c r="C55" s="206" t="s">
        <v>880</v>
      </c>
      <c r="D55" s="146">
        <f>(D47*D53+D48*D54)/SUM(D47:D48)*F52</f>
        <v>0.48694711185090145</v>
      </c>
      <c r="E55" s="7"/>
      <c r="F55" s="7"/>
      <c r="G55" s="72" t="s">
        <v>423</v>
      </c>
      <c r="H55" s="709">
        <f>(H54-H53)/H53</f>
        <v>-0.18211600630246322</v>
      </c>
      <c r="I55" s="7"/>
      <c r="J55" s="7"/>
      <c r="K55" s="7"/>
      <c r="L55" s="7"/>
      <c r="M55" s="7"/>
      <c r="N55" s="7"/>
      <c r="O55" s="7"/>
      <c r="P55" s="7"/>
    </row>
    <row r="56" spans="2:16">
      <c r="B56" s="309"/>
      <c r="D56" s="206"/>
      <c r="E56" s="146"/>
      <c r="F56" s="7"/>
      <c r="H56" s="7"/>
      <c r="I56" s="7"/>
      <c r="J56" s="7"/>
      <c r="K56" s="7"/>
      <c r="L56" s="7"/>
      <c r="M56" s="7"/>
      <c r="N56" s="7"/>
      <c r="O56" s="7"/>
      <c r="P56" s="7"/>
    </row>
    <row r="57" spans="2:16">
      <c r="E57" s="146"/>
    </row>
    <row r="58" spans="2:16">
      <c r="D58" s="12"/>
      <c r="E58" s="154"/>
    </row>
    <row r="59" spans="2:16">
      <c r="D59" s="12"/>
      <c r="E59" s="154"/>
    </row>
    <row r="60" spans="2:16">
      <c r="E60" s="12"/>
      <c r="F60" s="12"/>
    </row>
    <row r="61" spans="2:16">
      <c r="D61" s="12"/>
      <c r="E61" s="154"/>
      <c r="F61" s="154"/>
    </row>
    <row r="62" spans="2:16">
      <c r="B62" s="136"/>
      <c r="D62" s="12"/>
      <c r="E62" s="223"/>
      <c r="F62" s="223"/>
    </row>
    <row r="63" spans="2:16">
      <c r="B63" s="136"/>
      <c r="D63" s="12"/>
      <c r="E63" s="223"/>
      <c r="F63" s="223"/>
    </row>
    <row r="64" spans="2:16">
      <c r="B64" s="136"/>
      <c r="D64" s="12"/>
      <c r="E64" s="223"/>
      <c r="F64" s="223"/>
    </row>
  </sheetData>
  <autoFilter ref="A1:A40"/>
  <mergeCells count="1">
    <mergeCell ref="E4:I4"/>
  </mergeCells>
  <pageMargins left="0.25" right="0.25" top="0.75" bottom="0.75" header="0.3" footer="0.3"/>
  <pageSetup paperSize="3" scale="3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0"/>
  <sheetViews>
    <sheetView zoomScaleNormal="100" workbookViewId="0"/>
  </sheetViews>
  <sheetFormatPr defaultRowHeight="15"/>
  <cols>
    <col min="1" max="1" width="27.7109375" style="1" customWidth="1"/>
    <col min="2" max="2" width="17.28515625" style="1" customWidth="1"/>
    <col min="3" max="3" width="15.5703125" style="1" customWidth="1"/>
    <col min="4" max="4" width="15.85546875" style="1" customWidth="1"/>
    <col min="5" max="5" width="12.7109375" style="1" customWidth="1"/>
    <col min="6" max="6" width="12.7109375" style="1" bestFit="1" customWidth="1"/>
    <col min="7" max="7" width="12.7109375" style="1" customWidth="1"/>
    <col min="8" max="10" width="12.7109375" style="1" bestFit="1" customWidth="1"/>
    <col min="11" max="11" width="12.7109375" style="1" customWidth="1"/>
    <col min="12" max="12" width="12.85546875" style="1" bestFit="1" customWidth="1"/>
    <col min="13" max="16" width="13.28515625" style="1" bestFit="1" customWidth="1"/>
    <col min="17" max="20" width="12.7109375" style="1" bestFit="1" customWidth="1"/>
    <col min="21" max="21" width="12.7109375" style="1" customWidth="1"/>
    <col min="22" max="24" width="12.7109375" style="1" bestFit="1" customWidth="1"/>
    <col min="25" max="25" width="12.7109375" style="1" customWidth="1"/>
    <col min="26" max="26" width="11.140625" style="1" bestFit="1" customWidth="1"/>
    <col min="27" max="30" width="10.140625" style="1" bestFit="1" customWidth="1"/>
    <col min="31" max="16384" width="9.140625" style="1"/>
  </cols>
  <sheetData>
    <row r="1" spans="1:25" ht="15.75">
      <c r="A1" s="196" t="s">
        <v>1044</v>
      </c>
      <c r="H1" s="1028" t="s">
        <v>1624</v>
      </c>
    </row>
    <row r="2" spans="1:25" ht="15.75">
      <c r="A2" s="196"/>
      <c r="E2" s="3" t="s">
        <v>1043</v>
      </c>
    </row>
    <row r="3" spans="1:25">
      <c r="D3" s="280" t="s">
        <v>93</v>
      </c>
      <c r="E3" s="123"/>
    </row>
    <row r="4" spans="1:25">
      <c r="D4" s="278" t="s">
        <v>1042</v>
      </c>
      <c r="E4" s="476">
        <v>1</v>
      </c>
      <c r="F4" s="225">
        <v>2</v>
      </c>
      <c r="G4" s="225">
        <v>3</v>
      </c>
      <c r="H4" s="225">
        <v>4</v>
      </c>
      <c r="I4" s="225">
        <v>5</v>
      </c>
      <c r="J4" s="225">
        <v>6</v>
      </c>
      <c r="K4" s="225">
        <v>7</v>
      </c>
      <c r="L4" s="225">
        <v>8</v>
      </c>
      <c r="M4" s="225">
        <v>9</v>
      </c>
      <c r="N4" s="225">
        <v>10</v>
      </c>
      <c r="O4" s="225">
        <v>11</v>
      </c>
      <c r="P4" s="225">
        <v>12</v>
      </c>
      <c r="Q4" s="225">
        <v>13</v>
      </c>
      <c r="R4" s="225">
        <v>14</v>
      </c>
      <c r="S4" s="225">
        <v>15</v>
      </c>
      <c r="T4" s="225">
        <v>16</v>
      </c>
      <c r="U4" s="225">
        <v>17</v>
      </c>
      <c r="V4" s="225">
        <v>18</v>
      </c>
      <c r="W4" s="225">
        <v>19</v>
      </c>
      <c r="X4" s="225">
        <v>20</v>
      </c>
    </row>
    <row r="5" spans="1:25">
      <c r="C5" s="259" t="s">
        <v>1041</v>
      </c>
      <c r="D5" s="809" t="s">
        <v>1040</v>
      </c>
      <c r="E5" s="808">
        <v>2012</v>
      </c>
      <c r="F5" s="675">
        <v>2013</v>
      </c>
      <c r="G5" s="675">
        <v>2014</v>
      </c>
      <c r="H5" s="675">
        <v>2015</v>
      </c>
      <c r="I5" s="675">
        <v>2016</v>
      </c>
      <c r="J5" s="675">
        <v>2017</v>
      </c>
      <c r="K5" s="675">
        <v>2018</v>
      </c>
      <c r="L5" s="675">
        <v>2019</v>
      </c>
      <c r="M5" s="675">
        <v>2020</v>
      </c>
      <c r="N5" s="675">
        <v>2021</v>
      </c>
      <c r="O5" s="675">
        <v>2022</v>
      </c>
      <c r="P5" s="675">
        <v>2023</v>
      </c>
      <c r="Q5" s="675">
        <v>2024</v>
      </c>
      <c r="R5" s="675">
        <v>2025</v>
      </c>
      <c r="S5" s="675">
        <v>2026</v>
      </c>
      <c r="T5" s="675">
        <v>2027</v>
      </c>
      <c r="U5" s="675">
        <v>2028</v>
      </c>
      <c r="V5" s="675">
        <v>2029</v>
      </c>
      <c r="W5" s="675">
        <v>2030</v>
      </c>
      <c r="X5" s="675">
        <v>2031</v>
      </c>
      <c r="Y5" s="214"/>
    </row>
    <row r="6" spans="1:25">
      <c r="C6" s="1" t="s">
        <v>1277</v>
      </c>
      <c r="E6" s="807">
        <f t="shared" ref="E6:X6" si="0">E82/1000000</f>
        <v>2.2903906740573872</v>
      </c>
      <c r="F6" s="806">
        <f t="shared" si="0"/>
        <v>2.4093940015088515</v>
      </c>
      <c r="G6" s="806">
        <f t="shared" si="0"/>
        <v>2.5345804627396009</v>
      </c>
      <c r="H6" s="806">
        <f t="shared" si="0"/>
        <v>2.6662713188786391</v>
      </c>
      <c r="I6" s="806">
        <f t="shared" si="0"/>
        <v>2.8048045230297372</v>
      </c>
      <c r="J6" s="806">
        <f t="shared" si="0"/>
        <v>2.9505355875472903</v>
      </c>
      <c r="K6" s="806">
        <f t="shared" si="0"/>
        <v>3.1038384963737924</v>
      </c>
      <c r="L6" s="806">
        <f t="shared" si="0"/>
        <v>3.265106664780236</v>
      </c>
      <c r="M6" s="806">
        <f t="shared" si="0"/>
        <v>3.4347539489723591</v>
      </c>
      <c r="N6" s="806">
        <f t="shared" si="0"/>
        <v>3.6132157081536787</v>
      </c>
      <c r="O6" s="806">
        <f t="shared" si="0"/>
        <v>3.8009499217708167</v>
      </c>
      <c r="P6" s="806">
        <f t="shared" si="0"/>
        <v>3.9984383648082775</v>
      </c>
      <c r="Q6" s="806">
        <f t="shared" si="0"/>
        <v>4.2061878441487863</v>
      </c>
      <c r="R6" s="806">
        <f t="shared" si="0"/>
        <v>4.4247314991720117</v>
      </c>
      <c r="S6" s="806">
        <f t="shared" si="0"/>
        <v>4.6546301699293418</v>
      </c>
      <c r="T6" s="806">
        <f t="shared" si="0"/>
        <v>4.8964738364058187</v>
      </c>
      <c r="U6" s="806">
        <f t="shared" si="0"/>
        <v>5.1508831325627478</v>
      </c>
      <c r="V6" s="806">
        <f t="shared" si="0"/>
        <v>5.4185109390463984</v>
      </c>
      <c r="W6" s="806">
        <f t="shared" si="0"/>
        <v>5.7000440586501373</v>
      </c>
      <c r="X6" s="806">
        <f t="shared" si="0"/>
        <v>5.9962049788296108</v>
      </c>
      <c r="Y6" s="378"/>
    </row>
    <row r="7" spans="1:25">
      <c r="C7" s="1" t="s">
        <v>1039</v>
      </c>
      <c r="E7" s="802">
        <f t="shared" ref="E7:X7" si="1">E91/1000000</f>
        <v>0.80753222126935198</v>
      </c>
      <c r="F7" s="805">
        <f>F91/1000000</f>
        <v>0.84948970146860858</v>
      </c>
      <c r="G7" s="805">
        <f t="shared" si="1"/>
        <v>0.89362719393029166</v>
      </c>
      <c r="H7" s="805">
        <f t="shared" si="1"/>
        <v>0.94005796697846888</v>
      </c>
      <c r="I7" s="805">
        <f t="shared" si="1"/>
        <v>0.98890117409366407</v>
      </c>
      <c r="J7" s="805">
        <f t="shared" si="1"/>
        <v>1.0402821596917824</v>
      </c>
      <c r="K7" s="805">
        <f t="shared" si="1"/>
        <v>1.09433278079059</v>
      </c>
      <c r="L7" s="805">
        <f t="shared" si="1"/>
        <v>1.1511917453892346</v>
      </c>
      <c r="M7" s="805">
        <f t="shared" si="1"/>
        <v>1.2110049684291682</v>
      </c>
      <c r="N7" s="805">
        <f t="shared" si="1"/>
        <v>1.2739259462499664</v>
      </c>
      <c r="O7" s="805">
        <f t="shared" si="1"/>
        <v>1.340116150500992</v>
      </c>
      <c r="P7" s="805">
        <f t="shared" si="1"/>
        <v>1.4097454425197866</v>
      </c>
      <c r="Q7" s="805">
        <f t="shared" si="1"/>
        <v>1.4829925092405924</v>
      </c>
      <c r="R7" s="805">
        <f t="shared" si="1"/>
        <v>1.5600453217516541</v>
      </c>
      <c r="S7" s="805">
        <f t="shared" si="1"/>
        <v>1.6411016176780875</v>
      </c>
      <c r="T7" s="805">
        <f t="shared" si="1"/>
        <v>1.7263694086282264</v>
      </c>
      <c r="U7" s="805">
        <f t="shared" si="1"/>
        <v>1.8160675140056974</v>
      </c>
      <c r="V7" s="805">
        <f t="shared" si="1"/>
        <v>1.9104261225571106</v>
      </c>
      <c r="W7" s="805">
        <f t="shared" si="1"/>
        <v>2.0096873830964554</v>
      </c>
      <c r="X7" s="805">
        <f t="shared" si="1"/>
        <v>2.114106025922152</v>
      </c>
      <c r="Y7" s="378"/>
    </row>
    <row r="8" spans="1:25">
      <c r="C8" s="1" t="s">
        <v>1038</v>
      </c>
      <c r="E8" s="802">
        <f t="shared" ref="E8:X8" si="2">E130/1000000</f>
        <v>2.4769547640352612E-3</v>
      </c>
      <c r="F8" s="805">
        <f t="shared" si="2"/>
        <v>2.514701575972304E-3</v>
      </c>
      <c r="G8" s="805">
        <f t="shared" si="2"/>
        <v>2.5553526020221716E-3</v>
      </c>
      <c r="H8" s="805">
        <f t="shared" si="2"/>
        <v>2.5991373712016294E-3</v>
      </c>
      <c r="I8" s="805">
        <f t="shared" si="2"/>
        <v>2.6463035529149907E-3</v>
      </c>
      <c r="J8" s="805">
        <f t="shared" si="2"/>
        <v>2.697118390645013E-3</v>
      </c>
      <c r="K8" s="805">
        <f t="shared" si="2"/>
        <v>2.7518702489528059E-3</v>
      </c>
      <c r="L8" s="805">
        <f t="shared" si="2"/>
        <v>2.8108702827419306E-3</v>
      </c>
      <c r="M8" s="805">
        <f t="shared" si="2"/>
        <v>2.8744542384495958E-3</v>
      </c>
      <c r="N8" s="805">
        <f t="shared" si="2"/>
        <v>2.9429843975915622E-3</v>
      </c>
      <c r="O8" s="805">
        <f t="shared" si="2"/>
        <v>3.0168516739114059E-3</v>
      </c>
      <c r="P8" s="805">
        <f t="shared" si="2"/>
        <v>3.0964778762739707E-3</v>
      </c>
      <c r="Q8" s="805">
        <f t="shared" si="2"/>
        <v>3.1823181504022822E-3</v>
      </c>
      <c r="R8" s="805">
        <f t="shared" si="2"/>
        <v>3.2748636135924783E-3</v>
      </c>
      <c r="S8" s="805">
        <f t="shared" si="2"/>
        <v>3.3746441976584001E-3</v>
      </c>
      <c r="T8" s="805">
        <f t="shared" si="2"/>
        <v>3.4822317165628825E-3</v>
      </c>
      <c r="U8" s="805">
        <f t="shared" si="2"/>
        <v>3.5982431764934259E-3</v>
      </c>
      <c r="V8" s="805">
        <f t="shared" si="2"/>
        <v>3.7233443475433751E-3</v>
      </c>
      <c r="W8" s="805">
        <f t="shared" si="2"/>
        <v>3.858253617674107E-3</v>
      </c>
      <c r="X8" s="805">
        <f t="shared" si="2"/>
        <v>4.0037461512677499E-3</v>
      </c>
      <c r="Y8" s="378"/>
    </row>
    <row r="9" spans="1:25">
      <c r="C9" s="69" t="s">
        <v>1037</v>
      </c>
      <c r="D9" s="69"/>
      <c r="E9" s="804">
        <f>E149/1000000</f>
        <v>5.8984796375593666E-2</v>
      </c>
      <c r="F9" s="803">
        <f t="shared" ref="F9:X9" si="3">F149/1000000</f>
        <v>6.1850041844334507E-2</v>
      </c>
      <c r="G9" s="803">
        <f t="shared" si="3"/>
        <v>6.3334442848598543E-2</v>
      </c>
      <c r="H9" s="803">
        <f t="shared" si="3"/>
        <v>6.485446947696491E-2</v>
      </c>
      <c r="I9" s="803">
        <f t="shared" si="3"/>
        <v>6.641097674441207E-2</v>
      </c>
      <c r="J9" s="803">
        <f t="shared" si="3"/>
        <v>6.8004840186277962E-2</v>
      </c>
      <c r="K9" s="803">
        <f t="shared" si="3"/>
        <v>6.9636956350748624E-2</v>
      </c>
      <c r="L9" s="803">
        <f t="shared" si="3"/>
        <v>7.1308243303166596E-2</v>
      </c>
      <c r="M9" s="803">
        <f t="shared" si="3"/>
        <v>7.3019641142442596E-2</v>
      </c>
      <c r="N9" s="803">
        <f t="shared" si="3"/>
        <v>7.4772112529861212E-2</v>
      </c>
      <c r="O9" s="803">
        <f t="shared" si="3"/>
        <v>7.6566643230577894E-2</v>
      </c>
      <c r="P9" s="803">
        <f t="shared" si="3"/>
        <v>7.8404242668111759E-2</v>
      </c>
      <c r="Q9" s="803">
        <f t="shared" si="3"/>
        <v>8.0285944492146447E-2</v>
      </c>
      <c r="R9" s="803">
        <f t="shared" si="3"/>
        <v>8.2212807159957962E-2</v>
      </c>
      <c r="S9" s="803">
        <f t="shared" si="3"/>
        <v>8.4185914531796968E-2</v>
      </c>
      <c r="T9" s="803">
        <f t="shared" si="3"/>
        <v>8.6206376480560079E-2</v>
      </c>
      <c r="U9" s="803">
        <f t="shared" si="3"/>
        <v>8.8275329516093543E-2</v>
      </c>
      <c r="V9" s="803">
        <f t="shared" si="3"/>
        <v>9.0393937424479778E-2</v>
      </c>
      <c r="W9" s="803">
        <f t="shared" si="3"/>
        <v>9.2563391922667299E-2</v>
      </c>
      <c r="X9" s="803">
        <f t="shared" si="3"/>
        <v>9.4784913328811296E-2</v>
      </c>
      <c r="Y9" s="378"/>
    </row>
    <row r="10" spans="1:25">
      <c r="C10" s="1" t="s">
        <v>135</v>
      </c>
      <c r="E10" s="802">
        <f>SUM(E6:E9)</f>
        <v>3.1593846464663677</v>
      </c>
      <c r="F10" s="801">
        <f>SUM(F6:F9)</f>
        <v>3.3232484463977667</v>
      </c>
      <c r="G10" s="801">
        <f t="shared" ref="G10:X10" si="4">SUM(G6:G9)</f>
        <v>3.4940974521205135</v>
      </c>
      <c r="H10" s="801">
        <f t="shared" si="4"/>
        <v>3.6737828927052743</v>
      </c>
      <c r="I10" s="801">
        <f t="shared" si="4"/>
        <v>3.8627629774207284</v>
      </c>
      <c r="J10" s="801">
        <f t="shared" si="4"/>
        <v>4.0615197058159955</v>
      </c>
      <c r="K10" s="801">
        <f t="shared" si="4"/>
        <v>4.2705601037640841</v>
      </c>
      <c r="L10" s="801">
        <f t="shared" si="4"/>
        <v>4.4904175237553794</v>
      </c>
      <c r="M10" s="801">
        <f t="shared" si="4"/>
        <v>4.7216530127824194</v>
      </c>
      <c r="N10" s="801">
        <f t="shared" si="4"/>
        <v>4.9648567513310979</v>
      </c>
      <c r="O10" s="801">
        <f t="shared" si="4"/>
        <v>5.2206495671762978</v>
      </c>
      <c r="P10" s="801">
        <f t="shared" si="4"/>
        <v>5.4896845278724502</v>
      </c>
      <c r="Q10" s="801">
        <f t="shared" si="4"/>
        <v>5.7726486160319279</v>
      </c>
      <c r="R10" s="801">
        <f t="shared" si="4"/>
        <v>6.0702644916972162</v>
      </c>
      <c r="S10" s="801">
        <f t="shared" si="4"/>
        <v>6.3832923463368845</v>
      </c>
      <c r="T10" s="801">
        <f t="shared" si="4"/>
        <v>6.7125318532311686</v>
      </c>
      <c r="U10" s="801">
        <f t="shared" si="4"/>
        <v>7.0588242192610329</v>
      </c>
      <c r="V10" s="801">
        <f t="shared" si="4"/>
        <v>7.423054343375532</v>
      </c>
      <c r="W10" s="801">
        <f t="shared" si="4"/>
        <v>7.8061530872869334</v>
      </c>
      <c r="X10" s="801">
        <f t="shared" si="4"/>
        <v>8.2090996642318412</v>
      </c>
      <c r="Y10" s="378"/>
    </row>
    <row r="12" spans="1:25">
      <c r="C12" s="3" t="s">
        <v>1036</v>
      </c>
    </row>
    <row r="13" spans="1:25">
      <c r="A13" s="1" t="s">
        <v>1035</v>
      </c>
      <c r="D13" s="3" t="s">
        <v>923</v>
      </c>
    </row>
    <row r="14" spans="1:25" ht="30" customHeight="1">
      <c r="A14" s="189" t="s">
        <v>1034</v>
      </c>
      <c r="B14" s="12" t="s">
        <v>179</v>
      </c>
      <c r="C14" s="225" t="s">
        <v>1033</v>
      </c>
      <c r="D14" s="800" t="s">
        <v>983</v>
      </c>
      <c r="E14" s="800" t="s">
        <v>982</v>
      </c>
      <c r="F14" s="800" t="s">
        <v>981</v>
      </c>
      <c r="G14" s="800" t="s">
        <v>980</v>
      </c>
      <c r="H14" s="800" t="s">
        <v>979</v>
      </c>
      <c r="I14" s="800" t="s">
        <v>922</v>
      </c>
      <c r="J14" s="800" t="s">
        <v>921</v>
      </c>
      <c r="K14" s="800" t="s">
        <v>920</v>
      </c>
      <c r="L14" s="800" t="s">
        <v>978</v>
      </c>
      <c r="M14" s="800" t="s">
        <v>72</v>
      </c>
    </row>
    <row r="15" spans="1:25">
      <c r="A15" s="12">
        <v>1</v>
      </c>
      <c r="B15" s="12" t="s">
        <v>1032</v>
      </c>
      <c r="C15" s="3" t="s">
        <v>1031</v>
      </c>
      <c r="D15" s="2">
        <v>1722</v>
      </c>
      <c r="E15" s="2">
        <v>95</v>
      </c>
      <c r="F15" s="2">
        <v>170</v>
      </c>
      <c r="G15" s="2">
        <v>32</v>
      </c>
      <c r="H15" s="2">
        <v>40</v>
      </c>
      <c r="I15" s="2">
        <v>611</v>
      </c>
      <c r="J15" s="2">
        <v>215</v>
      </c>
      <c r="K15" s="2">
        <v>40</v>
      </c>
      <c r="L15" s="2">
        <v>26</v>
      </c>
      <c r="M15" s="2">
        <f t="shared" ref="M15:M24" si="5">SUM(D15:L15)</f>
        <v>2951</v>
      </c>
    </row>
    <row r="16" spans="1:25">
      <c r="A16" s="12">
        <v>1</v>
      </c>
      <c r="B16" s="12" t="s">
        <v>1030</v>
      </c>
      <c r="C16" s="3" t="s">
        <v>1029</v>
      </c>
      <c r="D16" s="2">
        <v>100</v>
      </c>
      <c r="E16" s="2">
        <v>21</v>
      </c>
      <c r="F16" s="2">
        <v>27</v>
      </c>
      <c r="G16" s="2">
        <v>5</v>
      </c>
      <c r="H16" s="2">
        <v>0</v>
      </c>
      <c r="I16" s="2">
        <v>90</v>
      </c>
      <c r="J16" s="2">
        <v>118</v>
      </c>
      <c r="K16" s="2">
        <v>13</v>
      </c>
      <c r="L16" s="2">
        <v>10</v>
      </c>
      <c r="M16" s="2">
        <f t="shared" si="5"/>
        <v>384</v>
      </c>
    </row>
    <row r="17" spans="1:30">
      <c r="A17" s="12">
        <v>1</v>
      </c>
      <c r="B17" s="12" t="s">
        <v>1028</v>
      </c>
      <c r="C17" s="3" t="s">
        <v>1027</v>
      </c>
      <c r="D17" s="2">
        <v>6362</v>
      </c>
      <c r="E17" s="2">
        <v>198</v>
      </c>
      <c r="F17" s="2">
        <v>358</v>
      </c>
      <c r="G17" s="2">
        <v>60</v>
      </c>
      <c r="H17" s="2">
        <v>6</v>
      </c>
      <c r="I17" s="2">
        <v>782</v>
      </c>
      <c r="J17" s="2">
        <v>421</v>
      </c>
      <c r="K17" s="2">
        <v>86</v>
      </c>
      <c r="L17" s="2">
        <v>30</v>
      </c>
      <c r="M17" s="2">
        <f t="shared" si="5"/>
        <v>8303</v>
      </c>
    </row>
    <row r="18" spans="1:30">
      <c r="A18" s="12">
        <v>1</v>
      </c>
      <c r="B18" s="12" t="s">
        <v>1026</v>
      </c>
      <c r="C18" s="3" t="s">
        <v>1025</v>
      </c>
      <c r="D18" s="2">
        <v>8443</v>
      </c>
      <c r="E18" s="2">
        <v>176</v>
      </c>
      <c r="F18" s="2">
        <v>328</v>
      </c>
      <c r="G18" s="2">
        <v>51</v>
      </c>
      <c r="H18" s="2">
        <v>13</v>
      </c>
      <c r="I18" s="2">
        <v>637</v>
      </c>
      <c r="J18" s="2">
        <v>297</v>
      </c>
      <c r="K18" s="2">
        <v>124</v>
      </c>
      <c r="L18" s="2">
        <v>33</v>
      </c>
      <c r="M18" s="2">
        <f t="shared" si="5"/>
        <v>10102</v>
      </c>
    </row>
    <row r="19" spans="1:30">
      <c r="A19" s="12">
        <v>1</v>
      </c>
      <c r="B19" s="12" t="s">
        <v>1024</v>
      </c>
      <c r="C19" s="3" t="s">
        <v>1023</v>
      </c>
      <c r="D19" s="2">
        <v>5971</v>
      </c>
      <c r="E19" s="2">
        <v>319</v>
      </c>
      <c r="F19" s="2">
        <v>316</v>
      </c>
      <c r="G19" s="2">
        <v>84</v>
      </c>
      <c r="H19" s="2">
        <v>76</v>
      </c>
      <c r="I19" s="2">
        <v>221</v>
      </c>
      <c r="J19" s="2">
        <v>182</v>
      </c>
      <c r="K19" s="2">
        <v>19</v>
      </c>
      <c r="L19" s="2">
        <v>37</v>
      </c>
      <c r="M19" s="2">
        <f t="shared" si="5"/>
        <v>7225</v>
      </c>
    </row>
    <row r="20" spans="1:30">
      <c r="A20" s="12">
        <v>1</v>
      </c>
      <c r="B20" s="12" t="s">
        <v>1022</v>
      </c>
      <c r="C20" s="3" t="s">
        <v>1021</v>
      </c>
      <c r="D20" s="2">
        <v>22691</v>
      </c>
      <c r="E20" s="2">
        <v>569</v>
      </c>
      <c r="F20" s="2">
        <v>4247</v>
      </c>
      <c r="G20" s="2">
        <v>1415</v>
      </c>
      <c r="H20" s="2">
        <v>74</v>
      </c>
      <c r="I20" s="2">
        <v>1382</v>
      </c>
      <c r="J20" s="2">
        <v>495</v>
      </c>
      <c r="K20" s="2">
        <v>148</v>
      </c>
      <c r="L20" s="2">
        <v>35</v>
      </c>
      <c r="M20" s="2">
        <f t="shared" si="5"/>
        <v>31056</v>
      </c>
    </row>
    <row r="21" spans="1:30">
      <c r="A21" s="12">
        <v>1</v>
      </c>
      <c r="B21" s="12" t="s">
        <v>1020</v>
      </c>
      <c r="C21" s="3" t="s">
        <v>1019</v>
      </c>
      <c r="D21" s="2">
        <v>24402</v>
      </c>
      <c r="E21" s="2">
        <v>1074</v>
      </c>
      <c r="F21" s="2">
        <v>708</v>
      </c>
      <c r="G21" s="2">
        <v>256</v>
      </c>
      <c r="H21" s="2">
        <v>230</v>
      </c>
      <c r="I21" s="2">
        <v>677</v>
      </c>
      <c r="J21" s="2">
        <v>271</v>
      </c>
      <c r="K21" s="2">
        <v>64</v>
      </c>
      <c r="L21" s="2">
        <v>47</v>
      </c>
      <c r="M21" s="2">
        <f t="shared" si="5"/>
        <v>27729</v>
      </c>
    </row>
    <row r="22" spans="1:30">
      <c r="A22" s="12">
        <v>1</v>
      </c>
      <c r="B22" s="12" t="s">
        <v>1018</v>
      </c>
      <c r="C22" s="3" t="s">
        <v>164</v>
      </c>
      <c r="D22" s="2">
        <v>33628</v>
      </c>
      <c r="E22" s="2">
        <v>1210</v>
      </c>
      <c r="F22" s="2">
        <v>8962</v>
      </c>
      <c r="G22" s="2">
        <v>633</v>
      </c>
      <c r="H22" s="2">
        <v>132</v>
      </c>
      <c r="I22" s="2">
        <v>1576</v>
      </c>
      <c r="J22" s="2">
        <v>611</v>
      </c>
      <c r="K22" s="2">
        <v>107</v>
      </c>
      <c r="L22" s="2">
        <v>21</v>
      </c>
      <c r="M22" s="2">
        <f t="shared" si="5"/>
        <v>46880</v>
      </c>
    </row>
    <row r="23" spans="1:30">
      <c r="A23" s="12">
        <v>1</v>
      </c>
      <c r="B23" s="12" t="s">
        <v>1017</v>
      </c>
      <c r="C23" s="3" t="s">
        <v>1016</v>
      </c>
      <c r="D23" s="2">
        <v>3996</v>
      </c>
      <c r="E23" s="2">
        <v>244</v>
      </c>
      <c r="F23" s="2">
        <v>807</v>
      </c>
      <c r="G23" s="2">
        <v>50</v>
      </c>
      <c r="H23" s="2">
        <v>8</v>
      </c>
      <c r="I23" s="2">
        <v>723</v>
      </c>
      <c r="J23" s="2">
        <v>571</v>
      </c>
      <c r="K23" s="2">
        <v>129</v>
      </c>
      <c r="L23" s="2">
        <v>7</v>
      </c>
      <c r="M23" s="2">
        <f t="shared" si="5"/>
        <v>6535</v>
      </c>
    </row>
    <row r="24" spans="1:30">
      <c r="A24" s="12">
        <v>1</v>
      </c>
      <c r="B24" s="12" t="s">
        <v>1015</v>
      </c>
      <c r="C24" s="3" t="s">
        <v>1014</v>
      </c>
      <c r="D24" s="2">
        <v>427</v>
      </c>
      <c r="E24" s="2">
        <v>22</v>
      </c>
      <c r="F24" s="2">
        <v>313</v>
      </c>
      <c r="G24" s="2">
        <v>65</v>
      </c>
      <c r="H24" s="2">
        <v>5</v>
      </c>
      <c r="I24" s="2">
        <v>194</v>
      </c>
      <c r="J24" s="2">
        <v>186</v>
      </c>
      <c r="K24" s="2">
        <v>4</v>
      </c>
      <c r="L24" s="2">
        <v>3</v>
      </c>
      <c r="M24" s="2">
        <f t="shared" si="5"/>
        <v>1219</v>
      </c>
    </row>
    <row r="25" spans="1:30">
      <c r="A25" s="799" t="s">
        <v>1013</v>
      </c>
    </row>
    <row r="26" spans="1:30">
      <c r="A26" s="799"/>
      <c r="K26" s="249">
        <v>0</v>
      </c>
      <c r="L26" s="249">
        <v>0.05</v>
      </c>
      <c r="M26" s="249">
        <v>0.25</v>
      </c>
      <c r="N26" s="249">
        <v>0.6</v>
      </c>
      <c r="O26" s="249">
        <v>0.95</v>
      </c>
      <c r="P26" s="249">
        <v>1</v>
      </c>
    </row>
    <row r="27" spans="1:30">
      <c r="A27" s="127"/>
      <c r="B27" s="127"/>
      <c r="C27" s="127"/>
      <c r="D27" s="568" t="s">
        <v>1012</v>
      </c>
      <c r="E27" s="127"/>
      <c r="F27" s="127"/>
      <c r="G27" s="127"/>
      <c r="H27" s="127"/>
      <c r="I27" s="127"/>
      <c r="J27" s="127"/>
      <c r="K27" s="127"/>
      <c r="L27" s="127"/>
      <c r="M27" s="127"/>
      <c r="N27" s="127"/>
      <c r="O27" s="127"/>
      <c r="P27" s="127"/>
      <c r="Q27" s="127"/>
      <c r="R27" s="127"/>
      <c r="S27" s="127"/>
      <c r="T27" s="127"/>
      <c r="U27" s="127"/>
      <c r="V27" s="127"/>
      <c r="W27" s="127"/>
      <c r="X27" s="127"/>
      <c r="Y27" s="127"/>
    </row>
    <row r="28" spans="1:30" ht="30">
      <c r="A28" s="758" t="s">
        <v>1011</v>
      </c>
      <c r="B28" s="792">
        <v>0.3</v>
      </c>
      <c r="C28" s="1" t="s">
        <v>1273</v>
      </c>
      <c r="D28" s="753" t="s">
        <v>923</v>
      </c>
      <c r="E28" s="753">
        <v>2007</v>
      </c>
      <c r="F28" s="753">
        <v>2008</v>
      </c>
      <c r="G28" s="753">
        <v>2009</v>
      </c>
      <c r="H28" s="753">
        <v>2010</v>
      </c>
      <c r="I28" s="753">
        <v>2011</v>
      </c>
      <c r="J28" s="753">
        <v>2012</v>
      </c>
      <c r="K28" s="753">
        <v>2013</v>
      </c>
      <c r="L28" s="753">
        <v>2014</v>
      </c>
      <c r="M28" s="753">
        <v>2015</v>
      </c>
      <c r="N28" s="753">
        <v>2016</v>
      </c>
      <c r="O28" s="753">
        <v>2017</v>
      </c>
      <c r="P28" s="753">
        <v>2018</v>
      </c>
      <c r="Q28" s="753">
        <v>2019</v>
      </c>
      <c r="R28" s="753">
        <v>2020</v>
      </c>
      <c r="S28" s="753">
        <v>2021</v>
      </c>
      <c r="T28" s="753">
        <v>2022</v>
      </c>
      <c r="U28" s="753">
        <v>2023</v>
      </c>
      <c r="V28" s="753">
        <v>2024</v>
      </c>
      <c r="W28" s="753">
        <v>2025</v>
      </c>
      <c r="X28" s="753">
        <v>2026</v>
      </c>
      <c r="Y28" s="753">
        <v>2027</v>
      </c>
      <c r="Z28" s="753">
        <v>2028</v>
      </c>
      <c r="AA28" s="753">
        <v>2029</v>
      </c>
      <c r="AB28" s="753">
        <v>2030</v>
      </c>
      <c r="AC28" s="753">
        <v>2031</v>
      </c>
      <c r="AD28" s="753"/>
    </row>
    <row r="29" spans="1:30">
      <c r="A29" s="1" t="s">
        <v>1010</v>
      </c>
      <c r="B29" s="12">
        <f>AVERAGE(1.018,1.03)</f>
        <v>1.024</v>
      </c>
      <c r="C29" s="1" t="s">
        <v>1274</v>
      </c>
      <c r="D29" s="3" t="s">
        <v>1006</v>
      </c>
      <c r="E29" s="2">
        <f>365*SUMPRODUCT($A$15:$A$24,D$15:D$24)*$B$28</f>
        <v>11797749</v>
      </c>
      <c r="F29" s="2">
        <f t="shared" ref="F29:AC29" si="6">E29*$B$29</f>
        <v>12080894.976</v>
      </c>
      <c r="G29" s="2">
        <f t="shared" si="6"/>
        <v>12370836.455424</v>
      </c>
      <c r="H29" s="2">
        <f t="shared" si="6"/>
        <v>12667736.530354176</v>
      </c>
      <c r="I29" s="2">
        <f t="shared" si="6"/>
        <v>12971762.207082676</v>
      </c>
      <c r="J29" s="2">
        <f t="shared" si="6"/>
        <v>13283084.500052661</v>
      </c>
      <c r="K29" s="2">
        <f t="shared" si="6"/>
        <v>13601878.528053924</v>
      </c>
      <c r="L29" s="2">
        <f t="shared" si="6"/>
        <v>13928323.612727219</v>
      </c>
      <c r="M29" s="2">
        <f t="shared" si="6"/>
        <v>14262603.379432673</v>
      </c>
      <c r="N29" s="2">
        <f t="shared" si="6"/>
        <v>14604905.860539056</v>
      </c>
      <c r="O29" s="2">
        <f t="shared" si="6"/>
        <v>14955423.601191994</v>
      </c>
      <c r="P29" s="2">
        <f t="shared" si="6"/>
        <v>15314353.767620603</v>
      </c>
      <c r="Q29" s="2">
        <f t="shared" si="6"/>
        <v>15681898.258043498</v>
      </c>
      <c r="R29" s="2">
        <f t="shared" si="6"/>
        <v>16058263.816236543</v>
      </c>
      <c r="S29" s="2">
        <f t="shared" si="6"/>
        <v>16443662.147826219</v>
      </c>
      <c r="T29" s="2">
        <f t="shared" si="6"/>
        <v>16838310.03937405</v>
      </c>
      <c r="U29" s="2">
        <f t="shared" si="6"/>
        <v>17242429.480319027</v>
      </c>
      <c r="V29" s="2">
        <f t="shared" si="6"/>
        <v>17656247.787846684</v>
      </c>
      <c r="W29" s="2">
        <f t="shared" si="6"/>
        <v>18079997.734755006</v>
      </c>
      <c r="X29" s="2">
        <f t="shared" si="6"/>
        <v>18513917.680389125</v>
      </c>
      <c r="Y29" s="2">
        <f t="shared" si="6"/>
        <v>18958251.704718463</v>
      </c>
      <c r="Z29" s="2">
        <f t="shared" si="6"/>
        <v>19413249.745631706</v>
      </c>
      <c r="AA29" s="2">
        <f t="shared" si="6"/>
        <v>19879167.739526868</v>
      </c>
      <c r="AB29" s="2">
        <f t="shared" si="6"/>
        <v>20356267.765275512</v>
      </c>
      <c r="AC29" s="2">
        <f t="shared" si="6"/>
        <v>20844818.191642124</v>
      </c>
      <c r="AD29" s="2"/>
    </row>
    <row r="30" spans="1:30">
      <c r="D30" s="3" t="s">
        <v>982</v>
      </c>
      <c r="E30" s="2">
        <f>365*SUMPRODUCT($A$15:$A$24,E$15:E$24)*$B$28</f>
        <v>430116</v>
      </c>
      <c r="F30" s="2">
        <f t="shared" ref="F30:AC30" si="7">E30*$B$29</f>
        <v>440438.78399999999</v>
      </c>
      <c r="G30" s="2">
        <f t="shared" si="7"/>
        <v>451009.314816</v>
      </c>
      <c r="H30" s="2">
        <f t="shared" si="7"/>
        <v>461833.53837158403</v>
      </c>
      <c r="I30" s="2">
        <f t="shared" si="7"/>
        <v>472917.54329250206</v>
      </c>
      <c r="J30" s="2">
        <f t="shared" si="7"/>
        <v>484267.5643315221</v>
      </c>
      <c r="K30" s="2">
        <f t="shared" si="7"/>
        <v>495889.98587547865</v>
      </c>
      <c r="L30" s="2">
        <f t="shared" si="7"/>
        <v>507791.34553649015</v>
      </c>
      <c r="M30" s="2">
        <f t="shared" si="7"/>
        <v>519978.33782936592</v>
      </c>
      <c r="N30" s="2">
        <f t="shared" si="7"/>
        <v>532457.81793727074</v>
      </c>
      <c r="O30" s="2">
        <f t="shared" si="7"/>
        <v>545236.80556776526</v>
      </c>
      <c r="P30" s="2">
        <f t="shared" si="7"/>
        <v>558322.48890139163</v>
      </c>
      <c r="Q30" s="2">
        <f t="shared" si="7"/>
        <v>571722.22863502509</v>
      </c>
      <c r="R30" s="2">
        <f t="shared" si="7"/>
        <v>585443.56212226569</v>
      </c>
      <c r="S30" s="2">
        <f t="shared" si="7"/>
        <v>599494.20761320007</v>
      </c>
      <c r="T30" s="2">
        <f t="shared" si="7"/>
        <v>613882.06859591685</v>
      </c>
      <c r="U30" s="2">
        <f t="shared" si="7"/>
        <v>628615.23824221885</v>
      </c>
      <c r="V30" s="2">
        <f t="shared" si="7"/>
        <v>643702.00396003213</v>
      </c>
      <c r="W30" s="2">
        <f t="shared" si="7"/>
        <v>659150.8520550729</v>
      </c>
      <c r="X30" s="2">
        <f t="shared" si="7"/>
        <v>674970.47250439471</v>
      </c>
      <c r="Y30" s="2">
        <f t="shared" si="7"/>
        <v>691169.76384450018</v>
      </c>
      <c r="Z30" s="2">
        <f t="shared" si="7"/>
        <v>707757.83817676816</v>
      </c>
      <c r="AA30" s="2">
        <f t="shared" si="7"/>
        <v>724744.02629301057</v>
      </c>
      <c r="AB30" s="2">
        <f t="shared" si="7"/>
        <v>742137.88292404287</v>
      </c>
      <c r="AC30" s="2">
        <f t="shared" si="7"/>
        <v>759949.19211421988</v>
      </c>
      <c r="AD30" s="2"/>
    </row>
    <row r="31" spans="1:30">
      <c r="D31" s="3" t="s">
        <v>981</v>
      </c>
      <c r="E31" s="2">
        <f>365*SUMPRODUCT($A$15:$A$24,F$15:F$24)*$B$28</f>
        <v>1777842</v>
      </c>
      <c r="F31" s="2">
        <f t="shared" ref="F31:AC31" si="8">E31*$B$29</f>
        <v>1820510.2080000001</v>
      </c>
      <c r="G31" s="2">
        <f t="shared" si="8"/>
        <v>1864202.4529920002</v>
      </c>
      <c r="H31" s="2">
        <f t="shared" si="8"/>
        <v>1908943.3118638082</v>
      </c>
      <c r="I31" s="2">
        <f t="shared" si="8"/>
        <v>1954757.9513485397</v>
      </c>
      <c r="J31" s="2">
        <f t="shared" si="8"/>
        <v>2001672.1421809047</v>
      </c>
      <c r="K31" s="2">
        <f t="shared" si="8"/>
        <v>2049712.2735932465</v>
      </c>
      <c r="L31" s="2">
        <f t="shared" si="8"/>
        <v>2098905.3681594846</v>
      </c>
      <c r="M31" s="2">
        <f t="shared" si="8"/>
        <v>2149279.0969953123</v>
      </c>
      <c r="N31" s="2">
        <f t="shared" si="8"/>
        <v>2200861.7953231996</v>
      </c>
      <c r="O31" s="2">
        <f t="shared" si="8"/>
        <v>2253682.4784109564</v>
      </c>
      <c r="P31" s="2">
        <f t="shared" si="8"/>
        <v>2307770.8578928197</v>
      </c>
      <c r="Q31" s="2">
        <f t="shared" si="8"/>
        <v>2363157.3584822472</v>
      </c>
      <c r="R31" s="2">
        <f t="shared" si="8"/>
        <v>2419873.1350858212</v>
      </c>
      <c r="S31" s="2">
        <f t="shared" si="8"/>
        <v>2477950.0903278808</v>
      </c>
      <c r="T31" s="2">
        <f t="shared" si="8"/>
        <v>2537420.89249575</v>
      </c>
      <c r="U31" s="2">
        <f t="shared" si="8"/>
        <v>2598318.9939156482</v>
      </c>
      <c r="V31" s="2">
        <f t="shared" si="8"/>
        <v>2660678.6497696238</v>
      </c>
      <c r="W31" s="2">
        <f t="shared" si="8"/>
        <v>2724534.9373640949</v>
      </c>
      <c r="X31" s="2">
        <f t="shared" si="8"/>
        <v>2789923.775860833</v>
      </c>
      <c r="Y31" s="2">
        <f t="shared" si="8"/>
        <v>2856881.9464814928</v>
      </c>
      <c r="Z31" s="2">
        <f t="shared" si="8"/>
        <v>2925447.1131970487</v>
      </c>
      <c r="AA31" s="2">
        <f t="shared" si="8"/>
        <v>2995657.8439137777</v>
      </c>
      <c r="AB31" s="2">
        <f t="shared" si="8"/>
        <v>3067553.6321677086</v>
      </c>
      <c r="AC31" s="2">
        <f t="shared" si="8"/>
        <v>3141174.9193397337</v>
      </c>
      <c r="AD31" s="2"/>
    </row>
    <row r="32" spans="1:30">
      <c r="D32" s="3" t="s">
        <v>980</v>
      </c>
      <c r="E32" s="2">
        <f>365*SUMPRODUCT($A$15:$A$24,G$15:G$24)*$B$28</f>
        <v>290284.5</v>
      </c>
      <c r="F32" s="2">
        <f t="shared" ref="F32:AC32" si="9">E32*$B$29</f>
        <v>297251.32799999998</v>
      </c>
      <c r="G32" s="2">
        <f t="shared" si="9"/>
        <v>304385.359872</v>
      </c>
      <c r="H32" s="2">
        <f t="shared" si="9"/>
        <v>311690.60850892798</v>
      </c>
      <c r="I32" s="2">
        <f t="shared" si="9"/>
        <v>319171.18311314227</v>
      </c>
      <c r="J32" s="2">
        <f t="shared" si="9"/>
        <v>326831.29150785768</v>
      </c>
      <c r="K32" s="2">
        <f t="shared" si="9"/>
        <v>334675.24250404624</v>
      </c>
      <c r="L32" s="2">
        <f t="shared" si="9"/>
        <v>342707.44832414336</v>
      </c>
      <c r="M32" s="2">
        <f t="shared" si="9"/>
        <v>350932.42708392278</v>
      </c>
      <c r="N32" s="2">
        <f t="shared" si="9"/>
        <v>359354.80533393694</v>
      </c>
      <c r="O32" s="2">
        <f t="shared" si="9"/>
        <v>367979.32066195144</v>
      </c>
      <c r="P32" s="2">
        <f t="shared" si="9"/>
        <v>376810.82435783825</v>
      </c>
      <c r="Q32" s="2">
        <f t="shared" si="9"/>
        <v>385854.28414242639</v>
      </c>
      <c r="R32" s="2">
        <f t="shared" si="9"/>
        <v>395114.78696184466</v>
      </c>
      <c r="S32" s="2">
        <f t="shared" si="9"/>
        <v>404597.54184892896</v>
      </c>
      <c r="T32" s="2">
        <f t="shared" si="9"/>
        <v>414307.88285330328</v>
      </c>
      <c r="U32" s="2">
        <f t="shared" si="9"/>
        <v>424251.27204178256</v>
      </c>
      <c r="V32" s="2">
        <f t="shared" si="9"/>
        <v>434433.30257078534</v>
      </c>
      <c r="W32" s="2">
        <f t="shared" si="9"/>
        <v>444859.70183248422</v>
      </c>
      <c r="X32" s="2">
        <f t="shared" si="9"/>
        <v>455536.33467646386</v>
      </c>
      <c r="Y32" s="2">
        <f t="shared" si="9"/>
        <v>466469.206708699</v>
      </c>
      <c r="Z32" s="2">
        <f t="shared" si="9"/>
        <v>477664.46766970778</v>
      </c>
      <c r="AA32" s="2">
        <f t="shared" si="9"/>
        <v>489128.41489378078</v>
      </c>
      <c r="AB32" s="2">
        <f t="shared" si="9"/>
        <v>500867.49685123155</v>
      </c>
      <c r="AC32" s="2">
        <f t="shared" si="9"/>
        <v>512888.31677566114</v>
      </c>
      <c r="AD32" s="2"/>
    </row>
    <row r="33" spans="1:30">
      <c r="D33" s="3" t="s">
        <v>979</v>
      </c>
      <c r="E33" s="2">
        <f>365*SUMPRODUCT($A$15:$A$24,H$15:H$24)*$B$28</f>
        <v>63948</v>
      </c>
      <c r="F33" s="2">
        <f t="shared" ref="F33:AC33" si="10">E33*$B$29</f>
        <v>65482.752</v>
      </c>
      <c r="G33" s="2">
        <f t="shared" si="10"/>
        <v>67054.338048000005</v>
      </c>
      <c r="H33" s="2">
        <f t="shared" si="10"/>
        <v>68663.642161152005</v>
      </c>
      <c r="I33" s="2">
        <f t="shared" si="10"/>
        <v>70311.56957301966</v>
      </c>
      <c r="J33" s="2">
        <f t="shared" si="10"/>
        <v>71999.04724277214</v>
      </c>
      <c r="K33" s="2">
        <f t="shared" si="10"/>
        <v>73727.024376598667</v>
      </c>
      <c r="L33" s="2">
        <f t="shared" si="10"/>
        <v>75496.472961637031</v>
      </c>
      <c r="M33" s="2">
        <f t="shared" si="10"/>
        <v>77308.388312716328</v>
      </c>
      <c r="N33" s="2">
        <f t="shared" si="10"/>
        <v>79163.789632221524</v>
      </c>
      <c r="O33" s="2">
        <f t="shared" si="10"/>
        <v>81063.720583394839</v>
      </c>
      <c r="P33" s="2">
        <f t="shared" si="10"/>
        <v>83009.249877396316</v>
      </c>
      <c r="Q33" s="2">
        <f t="shared" si="10"/>
        <v>85001.471874453826</v>
      </c>
      <c r="R33" s="2">
        <f t="shared" si="10"/>
        <v>87041.507199440719</v>
      </c>
      <c r="S33" s="2">
        <f t="shared" si="10"/>
        <v>89130.503372227293</v>
      </c>
      <c r="T33" s="2">
        <f t="shared" si="10"/>
        <v>91269.63545316075</v>
      </c>
      <c r="U33" s="2">
        <f t="shared" si="10"/>
        <v>93460.106704036603</v>
      </c>
      <c r="V33" s="2">
        <f t="shared" si="10"/>
        <v>95703.149264933483</v>
      </c>
      <c r="W33" s="2">
        <f t="shared" si="10"/>
        <v>98000.02484729189</v>
      </c>
      <c r="X33" s="2">
        <f t="shared" si="10"/>
        <v>100352.0254436269</v>
      </c>
      <c r="Y33" s="2">
        <f t="shared" si="10"/>
        <v>102760.47405427395</v>
      </c>
      <c r="Z33" s="2">
        <f t="shared" si="10"/>
        <v>105226.72543157652</v>
      </c>
      <c r="AA33" s="2">
        <f t="shared" si="10"/>
        <v>107752.16684193436</v>
      </c>
      <c r="AB33" s="2">
        <f t="shared" si="10"/>
        <v>110338.21884614079</v>
      </c>
      <c r="AC33" s="2">
        <f t="shared" si="10"/>
        <v>112986.33609844817</v>
      </c>
      <c r="AD33" s="2"/>
    </row>
    <row r="34" spans="1:30">
      <c r="D34" s="3" t="s">
        <v>922</v>
      </c>
      <c r="E34" s="2">
        <f>365*SUMPRODUCT($A$15:$A$24,I$15:I$24)*$B$28</f>
        <v>754783.5</v>
      </c>
      <c r="F34" s="2">
        <f t="shared" ref="F34:AC34" si="11">E34*$B$29</f>
        <v>772898.304</v>
      </c>
      <c r="G34" s="2">
        <f t="shared" si="11"/>
        <v>791447.86329600005</v>
      </c>
      <c r="H34" s="2">
        <f t="shared" si="11"/>
        <v>810442.61201510404</v>
      </c>
      <c r="I34" s="2">
        <f t="shared" si="11"/>
        <v>829893.23470346653</v>
      </c>
      <c r="J34" s="2">
        <f t="shared" si="11"/>
        <v>849810.67233634973</v>
      </c>
      <c r="K34" s="2">
        <f t="shared" si="11"/>
        <v>870206.12847242213</v>
      </c>
      <c r="L34" s="2">
        <f t="shared" si="11"/>
        <v>891091.0755557603</v>
      </c>
      <c r="M34" s="2">
        <f t="shared" si="11"/>
        <v>912477.26136909856</v>
      </c>
      <c r="N34" s="2">
        <f t="shared" si="11"/>
        <v>934376.71564195689</v>
      </c>
      <c r="O34" s="2">
        <f t="shared" si="11"/>
        <v>956801.7568173639</v>
      </c>
      <c r="P34" s="2">
        <f t="shared" si="11"/>
        <v>979764.9989809806</v>
      </c>
      <c r="Q34" s="2">
        <f t="shared" si="11"/>
        <v>1003279.3589565242</v>
      </c>
      <c r="R34" s="2">
        <f t="shared" si="11"/>
        <v>1027358.0635714808</v>
      </c>
      <c r="S34" s="2">
        <f t="shared" si="11"/>
        <v>1052014.6570971964</v>
      </c>
      <c r="T34" s="2">
        <f t="shared" si="11"/>
        <v>1077263.0088675292</v>
      </c>
      <c r="U34" s="2">
        <f t="shared" si="11"/>
        <v>1103117.3210803499</v>
      </c>
      <c r="V34" s="2">
        <f t="shared" si="11"/>
        <v>1129592.1367862783</v>
      </c>
      <c r="W34" s="2">
        <f t="shared" si="11"/>
        <v>1156702.3480691491</v>
      </c>
      <c r="X34" s="2">
        <f t="shared" si="11"/>
        <v>1184463.2044228087</v>
      </c>
      <c r="Y34" s="2">
        <f t="shared" si="11"/>
        <v>1212890.3213289562</v>
      </c>
      <c r="Z34" s="2">
        <f t="shared" si="11"/>
        <v>1241999.6890408511</v>
      </c>
      <c r="AA34" s="2">
        <f t="shared" si="11"/>
        <v>1271807.6815778315</v>
      </c>
      <c r="AB34" s="2">
        <f t="shared" si="11"/>
        <v>1302331.0659356995</v>
      </c>
      <c r="AC34" s="2">
        <f t="shared" si="11"/>
        <v>1333587.0115181564</v>
      </c>
      <c r="AD34" s="2"/>
    </row>
    <row r="35" spans="1:30">
      <c r="D35" s="3" t="s">
        <v>921</v>
      </c>
      <c r="E35" s="2">
        <f>365*SUMPRODUCT($A$15:$A$24,J$15:J$24)*$B$28</f>
        <v>368686.5</v>
      </c>
      <c r="F35" s="2">
        <f t="shared" ref="F35:AC35" si="12">E35*$B$29</f>
        <v>377534.97600000002</v>
      </c>
      <c r="G35" s="2">
        <f t="shared" si="12"/>
        <v>386595.81542400003</v>
      </c>
      <c r="H35" s="2">
        <f t="shared" si="12"/>
        <v>395874.11499417602</v>
      </c>
      <c r="I35" s="2">
        <f t="shared" si="12"/>
        <v>405375.09375403624</v>
      </c>
      <c r="J35" s="2">
        <f t="shared" si="12"/>
        <v>415104.09600413311</v>
      </c>
      <c r="K35" s="2">
        <f t="shared" si="12"/>
        <v>425066.59430823231</v>
      </c>
      <c r="L35" s="2">
        <f t="shared" si="12"/>
        <v>435268.19257162989</v>
      </c>
      <c r="M35" s="2">
        <f t="shared" si="12"/>
        <v>445714.62919334898</v>
      </c>
      <c r="N35" s="2">
        <f t="shared" si="12"/>
        <v>456411.78029398934</v>
      </c>
      <c r="O35" s="2">
        <f t="shared" si="12"/>
        <v>467365.6630210451</v>
      </c>
      <c r="P35" s="2">
        <f t="shared" si="12"/>
        <v>478582.43893355021</v>
      </c>
      <c r="Q35" s="2">
        <f t="shared" si="12"/>
        <v>490068.41746795544</v>
      </c>
      <c r="R35" s="2">
        <f t="shared" si="12"/>
        <v>501830.05948718637</v>
      </c>
      <c r="S35" s="2">
        <f t="shared" si="12"/>
        <v>513873.98091487883</v>
      </c>
      <c r="T35" s="2">
        <f t="shared" si="12"/>
        <v>526206.95645683596</v>
      </c>
      <c r="U35" s="2">
        <f t="shared" si="12"/>
        <v>538835.92341180006</v>
      </c>
      <c r="V35" s="2">
        <f t="shared" si="12"/>
        <v>551767.98557368328</v>
      </c>
      <c r="W35" s="2">
        <f t="shared" si="12"/>
        <v>565010.41722745169</v>
      </c>
      <c r="X35" s="2">
        <f t="shared" si="12"/>
        <v>578570.66724091058</v>
      </c>
      <c r="Y35" s="2">
        <f t="shared" si="12"/>
        <v>592456.36325469241</v>
      </c>
      <c r="Z35" s="2">
        <f t="shared" si="12"/>
        <v>606675.31597280502</v>
      </c>
      <c r="AA35" s="2">
        <f t="shared" si="12"/>
        <v>621235.52355615236</v>
      </c>
      <c r="AB35" s="2">
        <f t="shared" si="12"/>
        <v>636145.17612149997</v>
      </c>
      <c r="AC35" s="2">
        <f t="shared" si="12"/>
        <v>651412.66034841596</v>
      </c>
      <c r="AD35" s="2"/>
    </row>
    <row r="36" spans="1:30">
      <c r="D36" s="3" t="s">
        <v>920</v>
      </c>
      <c r="E36" s="2">
        <f>365*SUMPRODUCT($A$15:$A$24,K$15:K$24)*$B$28</f>
        <v>80373</v>
      </c>
      <c r="F36" s="2">
        <f t="shared" ref="F36:AC36" si="13">E36*$B$29</f>
        <v>82301.952000000005</v>
      </c>
      <c r="G36" s="2">
        <f t="shared" si="13"/>
        <v>84277.198848</v>
      </c>
      <c r="H36" s="2">
        <f t="shared" si="13"/>
        <v>86299.851620351998</v>
      </c>
      <c r="I36" s="2">
        <f t="shared" si="13"/>
        <v>88371.048059240449</v>
      </c>
      <c r="J36" s="2">
        <f t="shared" si="13"/>
        <v>90491.953212662222</v>
      </c>
      <c r="K36" s="2">
        <f t="shared" si="13"/>
        <v>92663.760089766118</v>
      </c>
      <c r="L36" s="2">
        <f t="shared" si="13"/>
        <v>94887.690331920501</v>
      </c>
      <c r="M36" s="2">
        <f t="shared" si="13"/>
        <v>97164.994899886602</v>
      </c>
      <c r="N36" s="2">
        <f t="shared" si="13"/>
        <v>99496.954777483887</v>
      </c>
      <c r="O36" s="2">
        <f t="shared" si="13"/>
        <v>101884.88169214351</v>
      </c>
      <c r="P36" s="2">
        <f t="shared" si="13"/>
        <v>104330.11885275495</v>
      </c>
      <c r="Q36" s="2">
        <f t="shared" si="13"/>
        <v>106834.04170522107</v>
      </c>
      <c r="R36" s="2">
        <f t="shared" si="13"/>
        <v>109398.05870614637</v>
      </c>
      <c r="S36" s="2">
        <f t="shared" si="13"/>
        <v>112023.61211509389</v>
      </c>
      <c r="T36" s="2">
        <f t="shared" si="13"/>
        <v>114712.17880585614</v>
      </c>
      <c r="U36" s="2">
        <f t="shared" si="13"/>
        <v>117465.27109719669</v>
      </c>
      <c r="V36" s="2">
        <f t="shared" si="13"/>
        <v>120284.43760352941</v>
      </c>
      <c r="W36" s="2">
        <f t="shared" si="13"/>
        <v>123171.26410601412</v>
      </c>
      <c r="X36" s="2">
        <f t="shared" si="13"/>
        <v>126127.37444455846</v>
      </c>
      <c r="Y36" s="2">
        <f t="shared" si="13"/>
        <v>129154.43143122786</v>
      </c>
      <c r="Z36" s="2">
        <f t="shared" si="13"/>
        <v>132254.13778557733</v>
      </c>
      <c r="AA36" s="2">
        <f t="shared" si="13"/>
        <v>135428.2370924312</v>
      </c>
      <c r="AB36" s="2">
        <f t="shared" si="13"/>
        <v>138678.51478264955</v>
      </c>
      <c r="AC36" s="2">
        <f t="shared" si="13"/>
        <v>142006.79913743315</v>
      </c>
      <c r="AD36" s="2"/>
    </row>
    <row r="37" spans="1:30">
      <c r="D37" s="3" t="s">
        <v>978</v>
      </c>
      <c r="E37" s="2">
        <f>365*SUMPRODUCT($A$15:$A$24,L$15:L$24)*$B$28</f>
        <v>27265.5</v>
      </c>
      <c r="F37" s="2">
        <f t="shared" ref="F37:AC37" si="14">E37*$B$29</f>
        <v>27919.871999999999</v>
      </c>
      <c r="G37" s="2">
        <f t="shared" si="14"/>
        <v>28589.948928000002</v>
      </c>
      <c r="H37" s="2">
        <f t="shared" si="14"/>
        <v>29276.107702272002</v>
      </c>
      <c r="I37" s="2">
        <f t="shared" si="14"/>
        <v>29978.734287126532</v>
      </c>
      <c r="J37" s="2">
        <f t="shared" si="14"/>
        <v>30698.223910017568</v>
      </c>
      <c r="K37" s="2">
        <f t="shared" si="14"/>
        <v>31434.981283857989</v>
      </c>
      <c r="L37" s="2">
        <f t="shared" si="14"/>
        <v>32189.420834670582</v>
      </c>
      <c r="M37" s="2">
        <f t="shared" si="14"/>
        <v>32961.966934702679</v>
      </c>
      <c r="N37" s="2">
        <f t="shared" si="14"/>
        <v>33753.054141135544</v>
      </c>
      <c r="O37" s="2">
        <f t="shared" si="14"/>
        <v>34563.127440522796</v>
      </c>
      <c r="P37" s="2">
        <f t="shared" si="14"/>
        <v>35392.642499095346</v>
      </c>
      <c r="Q37" s="2">
        <f t="shared" si="14"/>
        <v>36242.065919073633</v>
      </c>
      <c r="R37" s="2">
        <f t="shared" si="14"/>
        <v>37111.875501131399</v>
      </c>
      <c r="S37" s="2">
        <f t="shared" si="14"/>
        <v>38002.560513158554</v>
      </c>
      <c r="T37" s="2">
        <f t="shared" si="14"/>
        <v>38914.621965474362</v>
      </c>
      <c r="U37" s="2">
        <f t="shared" si="14"/>
        <v>39848.572892645745</v>
      </c>
      <c r="V37" s="2">
        <f t="shared" si="14"/>
        <v>40804.938642069246</v>
      </c>
      <c r="W37" s="2">
        <f t="shared" si="14"/>
        <v>41784.257169478908</v>
      </c>
      <c r="X37" s="2">
        <f t="shared" si="14"/>
        <v>42787.0793415464</v>
      </c>
      <c r="Y37" s="2">
        <f t="shared" si="14"/>
        <v>43813.969245743516</v>
      </c>
      <c r="Z37" s="2">
        <f t="shared" si="14"/>
        <v>44865.504507641359</v>
      </c>
      <c r="AA37" s="2">
        <f t="shared" si="14"/>
        <v>45942.276615824754</v>
      </c>
      <c r="AB37" s="2">
        <f t="shared" si="14"/>
        <v>47044.891254604547</v>
      </c>
      <c r="AC37" s="2">
        <f t="shared" si="14"/>
        <v>48173.96864471506</v>
      </c>
      <c r="AD37" s="2"/>
    </row>
    <row r="38" spans="1:30" s="914" customFormat="1">
      <c r="C38" s="914" t="s">
        <v>1420</v>
      </c>
      <c r="D38" s="3" t="s">
        <v>1006</v>
      </c>
      <c r="E38" s="2"/>
      <c r="F38" s="2"/>
      <c r="G38" s="2"/>
      <c r="H38" s="2"/>
      <c r="I38" s="2"/>
      <c r="J38" s="2"/>
      <c r="K38" s="2">
        <f>K29-K29*K$26</f>
        <v>13601878.528053924</v>
      </c>
      <c r="L38" s="2">
        <f t="shared" ref="L38:P38" si="15">L29-L29*L$26</f>
        <v>13231907.432090858</v>
      </c>
      <c r="M38" s="2">
        <f t="shared" si="15"/>
        <v>10696952.534574505</v>
      </c>
      <c r="N38" s="2">
        <f t="shared" si="15"/>
        <v>5841962.3442156222</v>
      </c>
      <c r="O38" s="2">
        <f t="shared" si="15"/>
        <v>747771.18005960062</v>
      </c>
      <c r="P38" s="2">
        <f t="shared" si="15"/>
        <v>0</v>
      </c>
      <c r="Q38" s="2"/>
      <c r="R38" s="2"/>
      <c r="S38" s="2"/>
      <c r="T38" s="2"/>
      <c r="U38" s="2"/>
      <c r="V38" s="2"/>
      <c r="W38" s="2"/>
      <c r="X38" s="2"/>
      <c r="Y38" s="2"/>
      <c r="Z38" s="2"/>
      <c r="AA38" s="2"/>
      <c r="AB38" s="2"/>
      <c r="AC38" s="2"/>
      <c r="AD38" s="2"/>
    </row>
    <row r="39" spans="1:30" s="914" customFormat="1">
      <c r="D39" s="3" t="s">
        <v>981</v>
      </c>
      <c r="E39" s="2"/>
      <c r="F39" s="2"/>
      <c r="G39" s="2"/>
      <c r="H39" s="2"/>
      <c r="I39" s="2"/>
      <c r="J39" s="2"/>
      <c r="K39" s="2">
        <f>K31-K31*K$26</f>
        <v>2049712.2735932465</v>
      </c>
      <c r="L39" s="2">
        <f t="shared" ref="L39:P39" si="16">L31-L31*L$26</f>
        <v>1993960.0997515104</v>
      </c>
      <c r="M39" s="2">
        <f t="shared" si="16"/>
        <v>1611959.3227464841</v>
      </c>
      <c r="N39" s="2">
        <f t="shared" si="16"/>
        <v>880344.71812927979</v>
      </c>
      <c r="O39" s="2">
        <f t="shared" si="16"/>
        <v>112684.12392054778</v>
      </c>
      <c r="P39" s="2">
        <f t="shared" si="16"/>
        <v>0</v>
      </c>
      <c r="Q39" s="2"/>
      <c r="R39" s="2"/>
      <c r="S39" s="2"/>
      <c r="T39" s="2"/>
      <c r="U39" s="2"/>
      <c r="V39" s="2"/>
      <c r="W39" s="2"/>
      <c r="X39" s="2"/>
      <c r="Y39" s="2"/>
      <c r="Z39" s="2"/>
      <c r="AA39" s="2"/>
      <c r="AB39" s="2"/>
      <c r="AC39" s="2"/>
      <c r="AD39" s="2"/>
    </row>
    <row r="40" spans="1:30">
      <c r="D40" s="3" t="s">
        <v>1421</v>
      </c>
      <c r="K40" s="106">
        <f>SUM(K29:K37)-SUM(K29:K37)*K26-SUM(K38:K39)</f>
        <v>2323663.7169103995</v>
      </c>
      <c r="L40" s="106">
        <f t="shared" ref="L40:P40" si="17">SUM(L29:L37)-SUM(L29:L37)*L26-SUM(L38:L39)</f>
        <v>2260460.0638104435</v>
      </c>
      <c r="M40" s="106">
        <f t="shared" si="17"/>
        <v>1827403.5042172838</v>
      </c>
      <c r="N40" s="106">
        <f t="shared" si="17"/>
        <v>998005.96710319724</v>
      </c>
      <c r="O40" s="106">
        <f t="shared" si="17"/>
        <v>127744.76378920767</v>
      </c>
      <c r="P40" s="106">
        <f t="shared" si="17"/>
        <v>0</v>
      </c>
      <c r="Q40" s="2"/>
      <c r="R40" s="2"/>
      <c r="S40" s="2"/>
      <c r="T40" s="2"/>
      <c r="U40" s="2"/>
      <c r="V40" s="2"/>
      <c r="W40" s="2"/>
      <c r="X40" s="2"/>
      <c r="Y40" s="2"/>
      <c r="Z40" s="2"/>
      <c r="AA40" s="2"/>
      <c r="AB40" s="2"/>
      <c r="AC40" s="2"/>
    </row>
    <row r="41" spans="1:30">
      <c r="A41" s="127"/>
      <c r="B41" s="127"/>
      <c r="C41" s="127"/>
      <c r="D41" s="568" t="s">
        <v>1009</v>
      </c>
      <c r="E41" s="127"/>
      <c r="F41" s="127"/>
      <c r="G41" s="127"/>
      <c r="H41" s="127"/>
      <c r="I41" s="127"/>
      <c r="J41" s="127"/>
      <c r="K41" s="127"/>
      <c r="L41" s="127"/>
      <c r="M41" s="127"/>
      <c r="N41" s="127"/>
      <c r="O41" s="127"/>
      <c r="P41" s="127"/>
      <c r="Q41" s="127"/>
      <c r="R41" s="127"/>
      <c r="S41" s="127"/>
      <c r="T41" s="127"/>
      <c r="U41" s="127"/>
      <c r="V41" s="127"/>
      <c r="W41" s="127"/>
      <c r="X41" s="127"/>
      <c r="Y41" s="205"/>
    </row>
    <row r="42" spans="1:30">
      <c r="A42" s="225" t="s">
        <v>923</v>
      </c>
      <c r="B42" s="225" t="s">
        <v>1008</v>
      </c>
      <c r="C42" s="1" t="s">
        <v>1275</v>
      </c>
      <c r="D42" s="225" t="s">
        <v>923</v>
      </c>
      <c r="E42" s="225">
        <v>2012</v>
      </c>
      <c r="F42" s="225">
        <v>2013</v>
      </c>
      <c r="G42" s="225">
        <v>2014</v>
      </c>
      <c r="H42" s="225">
        <v>2015</v>
      </c>
      <c r="I42" s="225">
        <v>2016</v>
      </c>
      <c r="J42" s="225">
        <v>2017</v>
      </c>
      <c r="K42" s="225">
        <v>2018</v>
      </c>
      <c r="L42" s="225">
        <v>2019</v>
      </c>
      <c r="M42" s="225">
        <v>2020</v>
      </c>
      <c r="N42" s="225">
        <v>2021</v>
      </c>
      <c r="O42" s="225">
        <v>2022</v>
      </c>
      <c r="P42" s="225">
        <v>2023</v>
      </c>
      <c r="Q42" s="225">
        <v>2024</v>
      </c>
      <c r="R42" s="225">
        <v>2025</v>
      </c>
      <c r="S42" s="225">
        <v>2026</v>
      </c>
      <c r="T42" s="225">
        <v>2027</v>
      </c>
      <c r="U42" s="225">
        <v>2028</v>
      </c>
      <c r="V42" s="225">
        <v>2029</v>
      </c>
      <c r="W42" s="225">
        <v>2030</v>
      </c>
      <c r="X42" s="225">
        <v>2031</v>
      </c>
      <c r="Z42" s="724" t="s">
        <v>1007</v>
      </c>
    </row>
    <row r="43" spans="1:30">
      <c r="A43" s="1" t="s">
        <v>983</v>
      </c>
      <c r="B43" s="12">
        <v>2.5</v>
      </c>
      <c r="D43" s="3" t="s">
        <v>1006</v>
      </c>
      <c r="E43" s="2">
        <f t="shared" ref="E43:E51" si="18">J29*$B43</f>
        <v>33207711.250131652</v>
      </c>
      <c r="F43" s="2">
        <f t="shared" ref="F43:F51" si="19">K29*$B43</f>
        <v>34004696.320134811</v>
      </c>
      <c r="G43" s="2">
        <f t="shared" ref="G43:G51" si="20">L29*$B43</f>
        <v>34820809.031818047</v>
      </c>
      <c r="H43" s="2">
        <f t="shared" ref="H43:H51" si="21">M29*$B43</f>
        <v>35656508.448581681</v>
      </c>
      <c r="I43" s="2">
        <f t="shared" ref="I43:I51" si="22">N29*$B43</f>
        <v>36512264.651347637</v>
      </c>
      <c r="J43" s="2">
        <f t="shared" ref="J43:J51" si="23">O29*$B43</f>
        <v>37388559.002979986</v>
      </c>
      <c r="K43" s="2">
        <f t="shared" ref="K43:K51" si="24">P29*$B43</f>
        <v>38285884.419051506</v>
      </c>
      <c r="L43" s="2">
        <f t="shared" ref="L43:L51" si="25">Q29*$B43</f>
        <v>39204745.645108745</v>
      </c>
      <c r="M43" s="2">
        <f t="shared" ref="M43:M51" si="26">R29*$B43</f>
        <v>40145659.540591359</v>
      </c>
      <c r="N43" s="2">
        <f t="shared" ref="N43:N51" si="27">S29*$B43</f>
        <v>41109155.369565547</v>
      </c>
      <c r="O43" s="2">
        <f t="shared" ref="O43:O51" si="28">T29*$B43</f>
        <v>42095775.098435126</v>
      </c>
      <c r="P43" s="2">
        <f t="shared" ref="P43:P51" si="29">U29*$B43</f>
        <v>43106073.700797565</v>
      </c>
      <c r="Q43" s="2">
        <f t="shared" ref="Q43:Q51" si="30">V29*$B43</f>
        <v>44140619.469616711</v>
      </c>
      <c r="R43" s="2">
        <f t="shared" ref="R43:R51" si="31">W29*$B43</f>
        <v>45199994.336887516</v>
      </c>
      <c r="S43" s="2">
        <f t="shared" ref="S43:S51" si="32">X29*$B43</f>
        <v>46284794.20097281</v>
      </c>
      <c r="T43" s="2">
        <f t="shared" ref="T43:T51" si="33">Y29*$B43</f>
        <v>47395629.261796162</v>
      </c>
      <c r="U43" s="2">
        <f t="shared" ref="U43:U51" si="34">Z29*$B43</f>
        <v>48533124.364079267</v>
      </c>
      <c r="V43" s="2">
        <f t="shared" ref="V43:V51" si="35">AA29*$B43</f>
        <v>49697919.34881717</v>
      </c>
      <c r="W43" s="2">
        <f t="shared" ref="W43:W51" si="36">AB29*$B43</f>
        <v>50890669.413188778</v>
      </c>
      <c r="X43" s="2">
        <f t="shared" ref="X43:X51" si="37">AC29*$B43</f>
        <v>52112045.479105309</v>
      </c>
      <c r="Z43" s="2">
        <f>X52*(1+B85)</f>
        <v>335806031.72103554</v>
      </c>
      <c r="AA43" s="1" t="s">
        <v>1005</v>
      </c>
    </row>
    <row r="44" spans="1:30">
      <c r="A44" s="1" t="s">
        <v>982</v>
      </c>
      <c r="B44" s="12">
        <v>2.7</v>
      </c>
      <c r="D44" s="3" t="s">
        <v>982</v>
      </c>
      <c r="E44" s="2">
        <f t="shared" si="18"/>
        <v>1307522.4236951098</v>
      </c>
      <c r="F44" s="2">
        <f t="shared" si="19"/>
        <v>1338902.9618637925</v>
      </c>
      <c r="G44" s="2">
        <f t="shared" si="20"/>
        <v>1371036.6329485234</v>
      </c>
      <c r="H44" s="2">
        <f t="shared" si="21"/>
        <v>1403941.512139288</v>
      </c>
      <c r="I44" s="2">
        <f t="shared" si="22"/>
        <v>1437636.108430631</v>
      </c>
      <c r="J44" s="2">
        <f t="shared" si="23"/>
        <v>1472139.3750329663</v>
      </c>
      <c r="K44" s="2">
        <f t="shared" si="24"/>
        <v>1507470.7200337574</v>
      </c>
      <c r="L44" s="2">
        <f t="shared" si="25"/>
        <v>1543650.0173145679</v>
      </c>
      <c r="M44" s="2">
        <f t="shared" si="26"/>
        <v>1580697.6177301174</v>
      </c>
      <c r="N44" s="2">
        <f t="shared" si="27"/>
        <v>1618634.3605556402</v>
      </c>
      <c r="O44" s="2">
        <f t="shared" si="28"/>
        <v>1657481.5852089757</v>
      </c>
      <c r="P44" s="2">
        <f t="shared" si="29"/>
        <v>1697261.1432539909</v>
      </c>
      <c r="Q44" s="2">
        <f t="shared" si="30"/>
        <v>1737995.4106920869</v>
      </c>
      <c r="R44" s="2">
        <f t="shared" si="31"/>
        <v>1779707.3005486969</v>
      </c>
      <c r="S44" s="2">
        <f t="shared" si="32"/>
        <v>1822420.2757618658</v>
      </c>
      <c r="T44" s="2">
        <f t="shared" si="33"/>
        <v>1866158.3623801507</v>
      </c>
      <c r="U44" s="2">
        <f t="shared" si="34"/>
        <v>1910946.1630772741</v>
      </c>
      <c r="V44" s="2">
        <f t="shared" si="35"/>
        <v>1956808.8709911287</v>
      </c>
      <c r="W44" s="2">
        <f t="shared" si="36"/>
        <v>2003772.2838949158</v>
      </c>
      <c r="X44" s="2">
        <f t="shared" si="37"/>
        <v>2051862.8187083937</v>
      </c>
      <c r="Y44" s="724"/>
      <c r="Z44" s="724">
        <f>(AA45*2+AA46)*AA47</f>
        <v>528</v>
      </c>
      <c r="AA44" s="1" t="s">
        <v>1004</v>
      </c>
    </row>
    <row r="45" spans="1:30">
      <c r="A45" s="1" t="s">
        <v>981</v>
      </c>
      <c r="B45" s="9">
        <v>15</v>
      </c>
      <c r="C45" s="1" t="s">
        <v>1276</v>
      </c>
      <c r="D45" s="3" t="s">
        <v>981</v>
      </c>
      <c r="E45" s="2">
        <f t="shared" si="18"/>
        <v>30025082.132713571</v>
      </c>
      <c r="F45" s="2">
        <f t="shared" si="19"/>
        <v>30745684.103898697</v>
      </c>
      <c r="G45" s="2">
        <f t="shared" si="20"/>
        <v>31483580.522392269</v>
      </c>
      <c r="H45" s="2">
        <f t="shared" si="21"/>
        <v>32239186.454929683</v>
      </c>
      <c r="I45" s="2">
        <f t="shared" si="22"/>
        <v>33012926.929847993</v>
      </c>
      <c r="J45" s="2">
        <f t="shared" si="23"/>
        <v>33805237.176164344</v>
      </c>
      <c r="K45" s="2">
        <f t="shared" si="24"/>
        <v>34616562.868392296</v>
      </c>
      <c r="L45" s="2">
        <f t="shared" si="25"/>
        <v>35447360.377233706</v>
      </c>
      <c r="M45" s="2">
        <f t="shared" si="26"/>
        <v>36298097.026287317</v>
      </c>
      <c r="N45" s="2">
        <f t="shared" si="27"/>
        <v>37169251.354918212</v>
      </c>
      <c r="O45" s="2">
        <f t="shared" si="28"/>
        <v>38061313.387436248</v>
      </c>
      <c r="P45" s="2">
        <f t="shared" si="29"/>
        <v>38974784.908734724</v>
      </c>
      <c r="Q45" s="2">
        <f t="shared" si="30"/>
        <v>39910179.746544354</v>
      </c>
      <c r="R45" s="2">
        <f t="shared" si="31"/>
        <v>40868024.060461424</v>
      </c>
      <c r="S45" s="2">
        <f t="shared" si="32"/>
        <v>41848856.637912497</v>
      </c>
      <c r="T45" s="2">
        <f t="shared" si="33"/>
        <v>42853229.197222389</v>
      </c>
      <c r="U45" s="2">
        <f t="shared" si="34"/>
        <v>43881706.697955728</v>
      </c>
      <c r="V45" s="2">
        <f t="shared" si="35"/>
        <v>44934867.658706665</v>
      </c>
      <c r="W45" s="2">
        <f t="shared" si="36"/>
        <v>46013304.482515626</v>
      </c>
      <c r="X45" s="2">
        <f t="shared" si="37"/>
        <v>47117623.790096007</v>
      </c>
      <c r="Y45" s="724"/>
      <c r="AA45" s="12">
        <v>5</v>
      </c>
      <c r="AB45" s="1" t="s">
        <v>931</v>
      </c>
    </row>
    <row r="46" spans="1:30">
      <c r="A46" s="1" t="s">
        <v>980</v>
      </c>
      <c r="B46" s="9">
        <v>30</v>
      </c>
      <c r="C46" s="1" t="s">
        <v>1276</v>
      </c>
      <c r="D46" s="3" t="s">
        <v>980</v>
      </c>
      <c r="E46" s="2">
        <f t="shared" si="18"/>
        <v>9804938.74523573</v>
      </c>
      <c r="F46" s="2">
        <f t="shared" si="19"/>
        <v>10040257.275121387</v>
      </c>
      <c r="G46" s="2">
        <f t="shared" si="20"/>
        <v>10281223.449724302</v>
      </c>
      <c r="H46" s="2">
        <f t="shared" si="21"/>
        <v>10527972.812517684</v>
      </c>
      <c r="I46" s="2">
        <f t="shared" si="22"/>
        <v>10780644.160018109</v>
      </c>
      <c r="J46" s="2">
        <f t="shared" si="23"/>
        <v>11039379.619858542</v>
      </c>
      <c r="K46" s="2">
        <f t="shared" si="24"/>
        <v>11304324.730735147</v>
      </c>
      <c r="L46" s="2">
        <f t="shared" si="25"/>
        <v>11575628.524272792</v>
      </c>
      <c r="M46" s="2">
        <f t="shared" si="26"/>
        <v>11853443.608855341</v>
      </c>
      <c r="N46" s="2">
        <f t="shared" si="27"/>
        <v>12137926.255467869</v>
      </c>
      <c r="O46" s="2">
        <f t="shared" si="28"/>
        <v>12429236.485599099</v>
      </c>
      <c r="P46" s="2">
        <f t="shared" si="29"/>
        <v>12727538.161253477</v>
      </c>
      <c r="Q46" s="2">
        <f t="shared" si="30"/>
        <v>13032999.07712356</v>
      </c>
      <c r="R46" s="2">
        <f t="shared" si="31"/>
        <v>13345791.054974526</v>
      </c>
      <c r="S46" s="2">
        <f t="shared" si="32"/>
        <v>13666090.040293915</v>
      </c>
      <c r="T46" s="2">
        <f t="shared" si="33"/>
        <v>13994076.201260969</v>
      </c>
      <c r="U46" s="2">
        <f t="shared" si="34"/>
        <v>14329934.030091234</v>
      </c>
      <c r="V46" s="2">
        <f t="shared" si="35"/>
        <v>14673852.446813423</v>
      </c>
      <c r="W46" s="2">
        <f t="shared" si="36"/>
        <v>15026024.905536946</v>
      </c>
      <c r="X46" s="2">
        <f t="shared" si="37"/>
        <v>15386649.503269834</v>
      </c>
      <c r="Y46" s="724"/>
      <c r="AA46" s="12">
        <v>1</v>
      </c>
      <c r="AB46" s="1" t="s">
        <v>1003</v>
      </c>
    </row>
    <row r="47" spans="1:30">
      <c r="A47" s="1" t="s">
        <v>979</v>
      </c>
      <c r="B47" s="9">
        <v>50</v>
      </c>
      <c r="C47" s="1" t="s">
        <v>1276</v>
      </c>
      <c r="D47" s="3" t="s">
        <v>979</v>
      </c>
      <c r="E47" s="2">
        <f t="shared" si="18"/>
        <v>3599952.3621386071</v>
      </c>
      <c r="F47" s="2">
        <f t="shared" si="19"/>
        <v>3686351.2188299336</v>
      </c>
      <c r="G47" s="2">
        <f t="shared" si="20"/>
        <v>3774823.6480818517</v>
      </c>
      <c r="H47" s="2">
        <f t="shared" si="21"/>
        <v>3865419.4156358163</v>
      </c>
      <c r="I47" s="2">
        <f t="shared" si="22"/>
        <v>3958189.4816110763</v>
      </c>
      <c r="J47" s="2">
        <f t="shared" si="23"/>
        <v>4053186.029169742</v>
      </c>
      <c r="K47" s="2">
        <f t="shared" si="24"/>
        <v>4150462.493869816</v>
      </c>
      <c r="L47" s="2">
        <f t="shared" si="25"/>
        <v>4250073.5937226918</v>
      </c>
      <c r="M47" s="2">
        <f t="shared" si="26"/>
        <v>4352075.3599720355</v>
      </c>
      <c r="N47" s="2">
        <f t="shared" si="27"/>
        <v>4456525.1686113644</v>
      </c>
      <c r="O47" s="2">
        <f t="shared" si="28"/>
        <v>4563481.772658038</v>
      </c>
      <c r="P47" s="2">
        <f t="shared" si="29"/>
        <v>4673005.3352018306</v>
      </c>
      <c r="Q47" s="2">
        <f t="shared" si="30"/>
        <v>4785157.4632466743</v>
      </c>
      <c r="R47" s="2">
        <f t="shared" si="31"/>
        <v>4900001.2423645947</v>
      </c>
      <c r="S47" s="2">
        <f t="shared" si="32"/>
        <v>5017601.2721813451</v>
      </c>
      <c r="T47" s="2">
        <f t="shared" si="33"/>
        <v>5138023.7027136972</v>
      </c>
      <c r="U47" s="2">
        <f t="shared" si="34"/>
        <v>5261336.271578826</v>
      </c>
      <c r="V47" s="2">
        <f t="shared" si="35"/>
        <v>5387608.342096718</v>
      </c>
      <c r="W47" s="2">
        <f t="shared" si="36"/>
        <v>5516910.9423070401</v>
      </c>
      <c r="X47" s="2">
        <f t="shared" si="37"/>
        <v>5649316.8049224084</v>
      </c>
      <c r="Y47" s="724"/>
      <c r="AA47" s="12">
        <v>48</v>
      </c>
      <c r="AB47" s="1" t="s">
        <v>930</v>
      </c>
    </row>
    <row r="48" spans="1:30" ht="15.75" thickBot="1">
      <c r="A48" s="1" t="s">
        <v>922</v>
      </c>
      <c r="B48" s="12">
        <v>2.5299999999999998</v>
      </c>
      <c r="D48" s="3" t="s">
        <v>922</v>
      </c>
      <c r="E48" s="2">
        <f t="shared" si="18"/>
        <v>2150021.0010109646</v>
      </c>
      <c r="F48" s="2">
        <f t="shared" si="19"/>
        <v>2201621.5050352276</v>
      </c>
      <c r="G48" s="2">
        <f t="shared" si="20"/>
        <v>2254460.4211560735</v>
      </c>
      <c r="H48" s="2">
        <f t="shared" si="21"/>
        <v>2308567.4712638194</v>
      </c>
      <c r="I48" s="2">
        <f t="shared" si="22"/>
        <v>2363973.0905741509</v>
      </c>
      <c r="J48" s="2">
        <f t="shared" si="23"/>
        <v>2420708.4447479304</v>
      </c>
      <c r="K48" s="2">
        <f t="shared" si="24"/>
        <v>2478805.4474218809</v>
      </c>
      <c r="L48" s="2">
        <f t="shared" si="25"/>
        <v>2538296.7781600058</v>
      </c>
      <c r="M48" s="2">
        <f t="shared" si="26"/>
        <v>2599215.9008358461</v>
      </c>
      <c r="N48" s="2">
        <f t="shared" si="27"/>
        <v>2661597.082455907</v>
      </c>
      <c r="O48" s="2">
        <f t="shared" si="28"/>
        <v>2725475.4124348485</v>
      </c>
      <c r="P48" s="2">
        <f t="shared" si="29"/>
        <v>2790886.8223332851</v>
      </c>
      <c r="Q48" s="2">
        <f t="shared" si="30"/>
        <v>2857868.106069284</v>
      </c>
      <c r="R48" s="2">
        <f t="shared" si="31"/>
        <v>2926456.9406149471</v>
      </c>
      <c r="S48" s="2">
        <f t="shared" si="32"/>
        <v>2996691.9071897059</v>
      </c>
      <c r="T48" s="2">
        <f t="shared" si="33"/>
        <v>3068612.5129622589</v>
      </c>
      <c r="U48" s="2">
        <f t="shared" si="34"/>
        <v>3142259.2132733529</v>
      </c>
      <c r="V48" s="2">
        <f t="shared" si="35"/>
        <v>3217673.4343919135</v>
      </c>
      <c r="W48" s="2">
        <f t="shared" si="36"/>
        <v>3294897.5968173193</v>
      </c>
      <c r="X48" s="2">
        <f t="shared" si="37"/>
        <v>3373975.1391409356</v>
      </c>
      <c r="Y48" s="724"/>
      <c r="Z48" s="724">
        <f>Z43*B28/Z44</f>
        <v>190798.88165967929</v>
      </c>
      <c r="AA48" s="1" t="s">
        <v>1002</v>
      </c>
    </row>
    <row r="49" spans="1:27" ht="15.75" thickBot="1">
      <c r="A49" s="1" t="s">
        <v>921</v>
      </c>
      <c r="B49" s="12">
        <v>2.41</v>
      </c>
      <c r="D49" s="3" t="s">
        <v>921</v>
      </c>
      <c r="E49" s="2">
        <f t="shared" si="18"/>
        <v>1000400.8713699608</v>
      </c>
      <c r="F49" s="2">
        <f t="shared" si="19"/>
        <v>1024410.49228284</v>
      </c>
      <c r="G49" s="2">
        <f t="shared" si="20"/>
        <v>1048996.344097628</v>
      </c>
      <c r="H49" s="2">
        <f t="shared" si="21"/>
        <v>1074172.2563559711</v>
      </c>
      <c r="I49" s="2">
        <f t="shared" si="22"/>
        <v>1099952.3905085144</v>
      </c>
      <c r="J49" s="2">
        <f t="shared" si="23"/>
        <v>1126351.2478807187</v>
      </c>
      <c r="K49" s="2">
        <f t="shared" si="24"/>
        <v>1153383.6778298561</v>
      </c>
      <c r="L49" s="2">
        <f t="shared" si="25"/>
        <v>1181064.8860977727</v>
      </c>
      <c r="M49" s="2">
        <f t="shared" si="26"/>
        <v>1209410.4433641192</v>
      </c>
      <c r="N49" s="2">
        <f t="shared" si="27"/>
        <v>1238436.294004858</v>
      </c>
      <c r="O49" s="2">
        <f t="shared" si="28"/>
        <v>1268158.7650609748</v>
      </c>
      <c r="P49" s="2">
        <f t="shared" si="29"/>
        <v>1298594.5754224383</v>
      </c>
      <c r="Q49" s="2">
        <f t="shared" si="30"/>
        <v>1329760.8452325768</v>
      </c>
      <c r="R49" s="2">
        <f t="shared" si="31"/>
        <v>1361675.1055181588</v>
      </c>
      <c r="S49" s="2">
        <f t="shared" si="32"/>
        <v>1394355.3080505945</v>
      </c>
      <c r="T49" s="2">
        <f t="shared" si="33"/>
        <v>1427819.8354438087</v>
      </c>
      <c r="U49" s="2">
        <f t="shared" si="34"/>
        <v>1462087.5114944603</v>
      </c>
      <c r="V49" s="2">
        <f t="shared" si="35"/>
        <v>1497177.6117703272</v>
      </c>
      <c r="W49" s="2">
        <f t="shared" si="36"/>
        <v>1533109.8744528149</v>
      </c>
      <c r="X49" s="2">
        <f t="shared" si="37"/>
        <v>1569904.5114396825</v>
      </c>
      <c r="Y49" s="724"/>
      <c r="Z49" s="798">
        <f>Z48*B65</f>
        <v>14676.837050744562</v>
      </c>
      <c r="AA49" s="1" t="s">
        <v>1001</v>
      </c>
    </row>
    <row r="50" spans="1:27">
      <c r="A50" s="1" t="s">
        <v>920</v>
      </c>
      <c r="B50" s="12">
        <v>1.92</v>
      </c>
      <c r="D50" s="3" t="s">
        <v>920</v>
      </c>
      <c r="E50" s="2">
        <f t="shared" si="18"/>
        <v>173744.55016831146</v>
      </c>
      <c r="F50" s="2">
        <f t="shared" si="19"/>
        <v>177914.41937235094</v>
      </c>
      <c r="G50" s="2">
        <f t="shared" si="20"/>
        <v>182184.36543728734</v>
      </c>
      <c r="H50" s="2">
        <f t="shared" si="21"/>
        <v>186556.79020778227</v>
      </c>
      <c r="I50" s="2">
        <f t="shared" si="22"/>
        <v>191034.15317276906</v>
      </c>
      <c r="J50" s="2">
        <f t="shared" si="23"/>
        <v>195618.97284891552</v>
      </c>
      <c r="K50" s="2">
        <f t="shared" si="24"/>
        <v>200313.82819728949</v>
      </c>
      <c r="L50" s="2">
        <f t="shared" si="25"/>
        <v>205121.36007402444</v>
      </c>
      <c r="M50" s="2">
        <f t="shared" si="26"/>
        <v>210044.27271580102</v>
      </c>
      <c r="N50" s="2">
        <f t="shared" si="27"/>
        <v>215085.33526098024</v>
      </c>
      <c r="O50" s="2">
        <f t="shared" si="28"/>
        <v>220247.38330724378</v>
      </c>
      <c r="P50" s="2">
        <f t="shared" si="29"/>
        <v>225533.32050661763</v>
      </c>
      <c r="Q50" s="2">
        <f t="shared" si="30"/>
        <v>230946.12019877645</v>
      </c>
      <c r="R50" s="2">
        <f t="shared" si="31"/>
        <v>236488.8270835471</v>
      </c>
      <c r="S50" s="2">
        <f t="shared" si="32"/>
        <v>242164.55893355224</v>
      </c>
      <c r="T50" s="2">
        <f t="shared" si="33"/>
        <v>247976.50834795748</v>
      </c>
      <c r="U50" s="2">
        <f t="shared" si="34"/>
        <v>253927.94454830847</v>
      </c>
      <c r="V50" s="2">
        <f t="shared" si="35"/>
        <v>260022.21521746789</v>
      </c>
      <c r="W50" s="2">
        <f t="shared" si="36"/>
        <v>266262.7483826871</v>
      </c>
      <c r="X50" s="2">
        <f t="shared" si="37"/>
        <v>272653.05434387166</v>
      </c>
      <c r="Y50" s="724"/>
    </row>
    <row r="51" spans="1:27">
      <c r="A51" s="1" t="s">
        <v>978</v>
      </c>
      <c r="B51" s="12">
        <v>1.5</v>
      </c>
      <c r="D51" s="3" t="s">
        <v>978</v>
      </c>
      <c r="E51" s="641">
        <f t="shared" si="18"/>
        <v>46047.335865026354</v>
      </c>
      <c r="F51" s="641">
        <f t="shared" si="19"/>
        <v>47152.471925786987</v>
      </c>
      <c r="G51" s="641">
        <f t="shared" si="20"/>
        <v>48284.131252005871</v>
      </c>
      <c r="H51" s="641">
        <f t="shared" si="21"/>
        <v>49442.950402054019</v>
      </c>
      <c r="I51" s="641">
        <f t="shared" si="22"/>
        <v>50629.58121170332</v>
      </c>
      <c r="J51" s="641">
        <f t="shared" si="23"/>
        <v>51844.69116078419</v>
      </c>
      <c r="K51" s="641">
        <f t="shared" si="24"/>
        <v>53088.963748643015</v>
      </c>
      <c r="L51" s="641">
        <f t="shared" si="25"/>
        <v>54363.09887861045</v>
      </c>
      <c r="M51" s="641">
        <f t="shared" si="26"/>
        <v>55667.813251697095</v>
      </c>
      <c r="N51" s="641">
        <f t="shared" si="27"/>
        <v>57003.840769737828</v>
      </c>
      <c r="O51" s="641">
        <f t="shared" si="28"/>
        <v>58371.932948211543</v>
      </c>
      <c r="P51" s="641">
        <f t="shared" si="29"/>
        <v>59772.859338968614</v>
      </c>
      <c r="Q51" s="641">
        <f t="shared" si="30"/>
        <v>61207.407963103869</v>
      </c>
      <c r="R51" s="641">
        <f t="shared" si="31"/>
        <v>62676.385754218361</v>
      </c>
      <c r="S51" s="641">
        <f t="shared" si="32"/>
        <v>64180.619012319599</v>
      </c>
      <c r="T51" s="641">
        <f t="shared" si="33"/>
        <v>65720.953868615266</v>
      </c>
      <c r="U51" s="641">
        <f t="shared" si="34"/>
        <v>67298.256761462035</v>
      </c>
      <c r="V51" s="641">
        <f t="shared" si="35"/>
        <v>68913.414923737131</v>
      </c>
      <c r="W51" s="641">
        <f t="shared" si="36"/>
        <v>70567.336881906813</v>
      </c>
      <c r="X51" s="641">
        <f t="shared" si="37"/>
        <v>72260.95296707259</v>
      </c>
      <c r="Y51" s="724"/>
    </row>
    <row r="52" spans="1:27">
      <c r="B52" s="12"/>
      <c r="D52" s="3" t="s">
        <v>135</v>
      </c>
      <c r="E52" s="2">
        <f t="shared" ref="E52:X52" si="38">SUM(E43:E51)</f>
        <v>81315420.672328934</v>
      </c>
      <c r="F52" s="2">
        <f t="shared" si="38"/>
        <v>83266990.768464804</v>
      </c>
      <c r="G52" s="2">
        <f t="shared" si="38"/>
        <v>85265398.546907991</v>
      </c>
      <c r="H52" s="2">
        <f t="shared" si="38"/>
        <v>87311768.112033784</v>
      </c>
      <c r="I52" s="2">
        <f t="shared" si="38"/>
        <v>89407250.546722576</v>
      </c>
      <c r="J52" s="2">
        <f t="shared" si="38"/>
        <v>91553024.559843928</v>
      </c>
      <c r="K52" s="2">
        <f t="shared" si="38"/>
        <v>93750297.14928019</v>
      </c>
      <c r="L52" s="2">
        <f t="shared" si="38"/>
        <v>96000304.280862927</v>
      </c>
      <c r="M52" s="2">
        <f t="shared" si="38"/>
        <v>98304311.583603621</v>
      </c>
      <c r="N52" s="2">
        <f t="shared" si="38"/>
        <v>100663615.06161012</v>
      </c>
      <c r="O52" s="2">
        <f t="shared" si="38"/>
        <v>103079541.82308878</v>
      </c>
      <c r="P52" s="2">
        <f t="shared" si="38"/>
        <v>105553450.8268429</v>
      </c>
      <c r="Q52" s="2">
        <f t="shared" si="38"/>
        <v>108086733.64668712</v>
      </c>
      <c r="R52" s="2">
        <f t="shared" si="38"/>
        <v>110680815.25420764</v>
      </c>
      <c r="S52" s="2">
        <f t="shared" si="38"/>
        <v>113337154.82030863</v>
      </c>
      <c r="T52" s="2">
        <f t="shared" si="38"/>
        <v>116057246.535996</v>
      </c>
      <c r="U52" s="2">
        <f t="shared" si="38"/>
        <v>118842620.45285988</v>
      </c>
      <c r="V52" s="2">
        <f t="shared" si="38"/>
        <v>121694843.34372856</v>
      </c>
      <c r="W52" s="2">
        <f t="shared" si="38"/>
        <v>124615519.58397803</v>
      </c>
      <c r="X52" s="2">
        <f t="shared" si="38"/>
        <v>127606292.05399349</v>
      </c>
      <c r="Y52" s="724"/>
    </row>
    <row r="53" spans="1:27">
      <c r="F53" s="249"/>
      <c r="G53" s="249"/>
      <c r="H53" s="249"/>
      <c r="I53" s="249"/>
      <c r="J53" s="249"/>
      <c r="K53" s="249"/>
      <c r="Y53" s="205"/>
    </row>
    <row r="54" spans="1:27">
      <c r="A54" s="127"/>
      <c r="B54" s="127"/>
      <c r="C54" s="127"/>
      <c r="D54" s="568" t="s">
        <v>1000</v>
      </c>
      <c r="E54" s="127"/>
      <c r="F54" s="127"/>
      <c r="G54" s="127"/>
      <c r="H54" s="127"/>
      <c r="I54" s="127"/>
      <c r="J54" s="127"/>
      <c r="K54" s="127"/>
      <c r="L54" s="127"/>
      <c r="M54" s="127"/>
      <c r="N54" s="127"/>
      <c r="O54" s="127"/>
      <c r="P54" s="127"/>
      <c r="Q54" s="127"/>
      <c r="R54" s="127"/>
      <c r="S54" s="127"/>
      <c r="T54" s="127"/>
      <c r="U54" s="127"/>
      <c r="V54" s="127"/>
      <c r="W54" s="127"/>
      <c r="X54" s="127"/>
      <c r="Y54" s="205"/>
    </row>
    <row r="55" spans="1:27">
      <c r="A55" s="797" t="s">
        <v>999</v>
      </c>
      <c r="F55" s="2"/>
    </row>
    <row r="56" spans="1:27" ht="30">
      <c r="A56" s="189" t="s">
        <v>998</v>
      </c>
      <c r="B56" s="796">
        <f>PRODUCT(Drainage!$D$161:$D$163)</f>
        <v>0.37180569117872636</v>
      </c>
    </row>
    <row r="57" spans="1:27" ht="30">
      <c r="A57" s="189" t="s">
        <v>997</v>
      </c>
      <c r="B57" s="207"/>
    </row>
    <row r="58" spans="1:27">
      <c r="A58" s="136" t="s">
        <v>996</v>
      </c>
      <c r="B58" s="792">
        <f>B56</f>
        <v>0.37180569117872636</v>
      </c>
    </row>
    <row r="59" spans="1:27">
      <c r="A59" s="136" t="s">
        <v>995</v>
      </c>
      <c r="B59" s="772">
        <v>1</v>
      </c>
    </row>
    <row r="60" spans="1:27">
      <c r="A60" s="189" t="s">
        <v>994</v>
      </c>
      <c r="B60" s="715">
        <f>24*12*8</f>
        <v>2304</v>
      </c>
    </row>
    <row r="61" spans="1:27" ht="30">
      <c r="A61" s="208" t="s">
        <v>993</v>
      </c>
      <c r="B61" s="757">
        <f>Assumptions!$O$49/Assumptions!$O$45</f>
        <v>1.5091522313186856</v>
      </c>
    </row>
    <row r="62" spans="1:27" ht="30" customHeight="1">
      <c r="A62" s="208" t="s">
        <v>992</v>
      </c>
      <c r="B62" s="757">
        <f>Assumptions!$R$49/Assumptions!$R$45</f>
        <v>1.128404354042857</v>
      </c>
    </row>
    <row r="63" spans="1:27">
      <c r="A63" s="1" t="s">
        <v>991</v>
      </c>
      <c r="B63" s="207">
        <f>Assumptions!$E$43</f>
        <v>4995</v>
      </c>
    </row>
    <row r="64" spans="1:27" ht="30" customHeight="1">
      <c r="A64" s="189" t="s">
        <v>990</v>
      </c>
      <c r="B64" s="795">
        <f>0.5*E64</f>
        <v>0.5</v>
      </c>
      <c r="C64" s="762" t="s">
        <v>547</v>
      </c>
      <c r="E64" s="794">
        <v>1</v>
      </c>
      <c r="F64" s="289" t="s">
        <v>426</v>
      </c>
    </row>
    <row r="65" spans="1:25" ht="30">
      <c r="A65" s="189" t="s">
        <v>944</v>
      </c>
      <c r="B65" s="767">
        <f>Drainage!L43</f>
        <v>7.6923076923076927E-2</v>
      </c>
      <c r="C65" s="758"/>
      <c r="D65" s="760"/>
      <c r="F65" s="793">
        <v>0.5</v>
      </c>
    </row>
    <row r="66" spans="1:25" ht="30">
      <c r="A66" s="424" t="s">
        <v>942</v>
      </c>
      <c r="B66" s="765">
        <v>0.3</v>
      </c>
      <c r="C66" s="764" t="s">
        <v>547</v>
      </c>
      <c r="F66" s="744">
        <v>0.19909828131034885</v>
      </c>
    </row>
    <row r="67" spans="1:25" ht="30">
      <c r="A67" s="208" t="s">
        <v>989</v>
      </c>
      <c r="B67" s="792">
        <f>(1-0.35)</f>
        <v>0.65</v>
      </c>
      <c r="C67" s="337" t="s">
        <v>547</v>
      </c>
      <c r="E67" s="791" t="s">
        <v>423</v>
      </c>
      <c r="F67" s="790">
        <f>(F66-F65)/F65</f>
        <v>-0.60180343737930231</v>
      </c>
    </row>
    <row r="68" spans="1:25" ht="30" customHeight="1">
      <c r="A68" s="283" t="s">
        <v>988</v>
      </c>
      <c r="B68" s="761">
        <f>B65*(1-B66)*B67</f>
        <v>3.5000000000000003E-2</v>
      </c>
    </row>
    <row r="69" spans="1:25" ht="30" customHeight="1">
      <c r="A69" s="208" t="s">
        <v>987</v>
      </c>
      <c r="B69" s="761">
        <f>Assumptions!Q48</f>
        <v>2.73023970318238E-2</v>
      </c>
      <c r="C69" s="337"/>
    </row>
    <row r="70" spans="1:25" ht="15" customHeight="1">
      <c r="B70" s="761"/>
    </row>
    <row r="71" spans="1:25">
      <c r="A71" s="208"/>
      <c r="B71" s="757"/>
      <c r="E71" s="569" t="s">
        <v>986</v>
      </c>
    </row>
    <row r="72" spans="1:25" ht="75">
      <c r="A72" s="753" t="s">
        <v>923</v>
      </c>
      <c r="B72" s="789" t="s">
        <v>985</v>
      </c>
      <c r="C72" s="788" t="s">
        <v>984</v>
      </c>
      <c r="D72" s="788"/>
      <c r="E72" s="753">
        <v>2012</v>
      </c>
      <c r="F72" s="753">
        <v>2013</v>
      </c>
      <c r="G72" s="753">
        <v>2014</v>
      </c>
      <c r="H72" s="753">
        <v>2015</v>
      </c>
      <c r="I72" s="753">
        <v>2016</v>
      </c>
      <c r="J72" s="753">
        <v>2017</v>
      </c>
      <c r="K72" s="753">
        <v>2018</v>
      </c>
      <c r="L72" s="753">
        <v>2019</v>
      </c>
      <c r="M72" s="753">
        <v>2020</v>
      </c>
      <c r="N72" s="753">
        <v>2021</v>
      </c>
      <c r="O72" s="753">
        <v>2022</v>
      </c>
      <c r="P72" s="753">
        <v>2023</v>
      </c>
      <c r="Q72" s="753">
        <v>2024</v>
      </c>
      <c r="R72" s="753">
        <v>2025</v>
      </c>
      <c r="S72" s="753">
        <v>2026</v>
      </c>
      <c r="T72" s="753">
        <v>2027</v>
      </c>
      <c r="U72" s="753">
        <v>2028</v>
      </c>
      <c r="V72" s="753">
        <v>2029</v>
      </c>
      <c r="W72" s="753">
        <v>2030</v>
      </c>
      <c r="X72" s="753">
        <v>2031</v>
      </c>
      <c r="Y72" s="787"/>
    </row>
    <row r="73" spans="1:25">
      <c r="A73" s="1" t="s">
        <v>983</v>
      </c>
      <c r="B73" s="714">
        <f>50000000</f>
        <v>50000000</v>
      </c>
      <c r="C73" s="778">
        <f>B73*$B$58/$B$60*$B$61*$B$62/$B$63</f>
        <v>2.7508434382323981</v>
      </c>
      <c r="D73" s="714"/>
      <c r="E73" s="2">
        <f>E43*$B$68*$C73*$B$64*(1+$B$69)^(E$72-$E$72+1)</f>
        <v>1642257.1745379355</v>
      </c>
      <c r="F73" s="2">
        <f t="shared" ref="F73:X73" si="39">F43*$B$68*$C73*$B$64*(1+$B$69)^(F$72-$E$72+1)</f>
        <v>1727585.0055122236</v>
      </c>
      <c r="G73" s="2">
        <f t="shared" si="39"/>
        <v>1817346.2704526787</v>
      </c>
      <c r="H73" s="2">
        <f t="shared" si="39"/>
        <v>1911771.3201898308</v>
      </c>
      <c r="I73" s="2">
        <f t="shared" si="39"/>
        <v>2011102.4740430925</v>
      </c>
      <c r="J73" s="2">
        <f t="shared" si="39"/>
        <v>2115594.6416753666</v>
      </c>
      <c r="K73" s="2">
        <f t="shared" si="39"/>
        <v>2225515.9772577654</v>
      </c>
      <c r="L73" s="2">
        <f t="shared" si="39"/>
        <v>2341148.5676231929</v>
      </c>
      <c r="M73" s="2">
        <f t="shared" si="39"/>
        <v>2462789.1561747734</v>
      </c>
      <c r="N73" s="2">
        <f t="shared" si="39"/>
        <v>2590749.9044068628</v>
      </c>
      <c r="O73" s="2">
        <f t="shared" si="39"/>
        <v>2725359.1929929103</v>
      </c>
      <c r="P73" s="2">
        <f t="shared" si="39"/>
        <v>2866962.4644959574</v>
      </c>
      <c r="Q73" s="2">
        <f t="shared" si="39"/>
        <v>3015923.1098644091</v>
      </c>
      <c r="R73" s="2">
        <f t="shared" si="39"/>
        <v>3172623.4009880372</v>
      </c>
      <c r="S73" s="2">
        <f t="shared" si="39"/>
        <v>3337465.4717074097</v>
      </c>
      <c r="T73" s="2">
        <f t="shared" si="39"/>
        <v>3510872.3497942714</v>
      </c>
      <c r="U73" s="2">
        <f t="shared" si="39"/>
        <v>3693289.0425512008</v>
      </c>
      <c r="V73" s="2">
        <f t="shared" si="39"/>
        <v>3885183.6788164782</v>
      </c>
      <c r="W73" s="2">
        <f t="shared" si="39"/>
        <v>4087048.7103048586</v>
      </c>
      <c r="X73" s="2">
        <f t="shared" si="39"/>
        <v>4299402.1753671728</v>
      </c>
      <c r="Y73" s="378"/>
    </row>
    <row r="74" spans="1:25">
      <c r="A74" s="1" t="s">
        <v>982</v>
      </c>
      <c r="B74" s="714">
        <f>20000000</f>
        <v>20000000</v>
      </c>
      <c r="C74" s="778">
        <f>B74*$B$58/$B$60*$B$61*$B$62/$B$63</f>
        <v>1.1003373752929593</v>
      </c>
      <c r="D74" s="714"/>
      <c r="E74" s="2">
        <f t="shared" ref="E74:X74" si="40">E44*$B$68*$C74*$B$64*(1+$B$69)^(E$72-$E$72+1)</f>
        <v>25864.933177820396</v>
      </c>
      <c r="F74" s="2">
        <f t="shared" si="40"/>
        <v>27208.81444110626</v>
      </c>
      <c r="G74" s="2">
        <f t="shared" si="40"/>
        <v>28622.520622840388</v>
      </c>
      <c r="H74" s="2">
        <f t="shared" si="40"/>
        <v>30109.67966201522</v>
      </c>
      <c r="I74" s="2">
        <f t="shared" si="40"/>
        <v>31674.107996824157</v>
      </c>
      <c r="J74" s="2">
        <f t="shared" si="40"/>
        <v>33319.820358637895</v>
      </c>
      <c r="K74" s="2">
        <f t="shared" si="40"/>
        <v>35051.040074852834</v>
      </c>
      <c r="L74" s="2">
        <f t="shared" si="40"/>
        <v>36872.209907051358</v>
      </c>
      <c r="M74" s="2">
        <f t="shared" si="40"/>
        <v>38788.003452287398</v>
      </c>
      <c r="N74" s="2">
        <f t="shared" si="40"/>
        <v>40803.337136756221</v>
      </c>
      <c r="O74" s="2">
        <f t="shared" si="40"/>
        <v>42923.382832627001</v>
      </c>
      <c r="P74" s="2">
        <f t="shared" si="40"/>
        <v>45153.581130416482</v>
      </c>
      <c r="Q74" s="2">
        <f t="shared" si="40"/>
        <v>47499.655300964128</v>
      </c>
      <c r="R74" s="2">
        <f t="shared" si="40"/>
        <v>49967.625982838603</v>
      </c>
      <c r="S74" s="2">
        <f t="shared" si="40"/>
        <v>52563.826632867582</v>
      </c>
      <c r="T74" s="2">
        <f t="shared" si="40"/>
        <v>55294.91977944073</v>
      </c>
      <c r="U74" s="2">
        <f t="shared" si="40"/>
        <v>58167.914120296293</v>
      </c>
      <c r="V74" s="2">
        <f t="shared" si="40"/>
        <v>61190.182508668579</v>
      </c>
      <c r="W74" s="2">
        <f t="shared" si="40"/>
        <v>64369.480873953282</v>
      </c>
      <c r="X74" s="2">
        <f t="shared" si="40"/>
        <v>67713.968125446496</v>
      </c>
      <c r="Y74" s="378"/>
    </row>
    <row r="75" spans="1:25">
      <c r="A75" s="1" t="s">
        <v>981</v>
      </c>
      <c r="B75" s="714">
        <f t="shared" ref="B75:B80" si="41">12000000</f>
        <v>12000000</v>
      </c>
      <c r="C75" s="778">
        <f>B75*$B$58/$B$60*$B$61*$B$62/$B$63</f>
        <v>0.66020242517577565</v>
      </c>
      <c r="D75" s="714"/>
      <c r="E75" s="2">
        <f t="shared" ref="E75:X75" si="42">E45*$B$68*$C75*$B$64*(1+$B$69)^(E$72-$E$72+1)</f>
        <v>356367.15468015277</v>
      </c>
      <c r="F75" s="2">
        <f t="shared" si="42"/>
        <v>374883.15619976353</v>
      </c>
      <c r="G75" s="2">
        <f t="shared" si="42"/>
        <v>394361.20573017368</v>
      </c>
      <c r="H75" s="2">
        <f t="shared" si="42"/>
        <v>414851.28902959882</v>
      </c>
      <c r="I75" s="2">
        <f t="shared" si="42"/>
        <v>436405.98899901315</v>
      </c>
      <c r="J75" s="2">
        <f t="shared" si="42"/>
        <v>459080.62062359543</v>
      </c>
      <c r="K75" s="2">
        <f t="shared" si="42"/>
        <v>482933.37292541651</v>
      </c>
      <c r="L75" s="2">
        <f t="shared" si="42"/>
        <v>508025.45829165459</v>
      </c>
      <c r="M75" s="2">
        <f t="shared" si="42"/>
        <v>534421.26956155652</v>
      </c>
      <c r="N75" s="2">
        <f t="shared" si="42"/>
        <v>562188.54527526652</v>
      </c>
      <c r="O75" s="2">
        <f t="shared" si="42"/>
        <v>591398.54350859823</v>
      </c>
      <c r="P75" s="2">
        <f t="shared" si="42"/>
        <v>622126.22473985248</v>
      </c>
      <c r="Q75" s="2">
        <f t="shared" si="42"/>
        <v>654450.44421796803</v>
      </c>
      <c r="R75" s="2">
        <f t="shared" si="42"/>
        <v>688454.15432566858</v>
      </c>
      <c r="S75" s="2">
        <f t="shared" si="42"/>
        <v>724224.61745692301</v>
      </c>
      <c r="T75" s="2">
        <f t="shared" si="42"/>
        <v>761853.62995502329</v>
      </c>
      <c r="U75" s="2">
        <f t="shared" si="42"/>
        <v>801437.7576859562</v>
      </c>
      <c r="V75" s="2">
        <f t="shared" si="42"/>
        <v>843078.58385161473</v>
      </c>
      <c r="W75" s="2">
        <f t="shared" si="42"/>
        <v>886882.96967880637</v>
      </c>
      <c r="X75" s="2">
        <f t="shared" si="42"/>
        <v>932963.32865304605</v>
      </c>
      <c r="Y75" s="378"/>
    </row>
    <row r="76" spans="1:25">
      <c r="A76" s="1" t="s">
        <v>980</v>
      </c>
      <c r="B76" s="714">
        <f t="shared" si="41"/>
        <v>12000000</v>
      </c>
      <c r="C76" s="778">
        <f>B76*$B$58/$B$60*$B$61*$B$62/$B$63</f>
        <v>0.66020242517577565</v>
      </c>
      <c r="D76" s="714"/>
      <c r="E76" s="2">
        <f t="shared" ref="E76:X76" si="43">E46*$B$68*$C76*$B$64*(1+$B$69)^(E$72-$E$72+1)</f>
        <v>116374.63994297669</v>
      </c>
      <c r="F76" s="2">
        <f t="shared" si="43"/>
        <v>122421.19328474659</v>
      </c>
      <c r="G76" s="2">
        <f t="shared" si="43"/>
        <v>128781.9113563304</v>
      </c>
      <c r="H76" s="2">
        <f t="shared" si="43"/>
        <v>135473.1174202348</v>
      </c>
      <c r="I76" s="2">
        <f t="shared" si="43"/>
        <v>142511.98285740128</v>
      </c>
      <c r="J76" s="2">
        <f t="shared" si="43"/>
        <v>149916.57123345049</v>
      </c>
      <c r="K76" s="2">
        <f t="shared" si="43"/>
        <v>157705.88465450585</v>
      </c>
      <c r="L76" s="2">
        <f t="shared" si="43"/>
        <v>165899.91253155653</v>
      </c>
      <c r="M76" s="2">
        <f t="shared" si="43"/>
        <v>174519.68287850285</v>
      </c>
      <c r="N76" s="2">
        <f t="shared" si="43"/>
        <v>183587.31627552738</v>
      </c>
      <c r="O76" s="2">
        <f t="shared" si="43"/>
        <v>193126.08263627658</v>
      </c>
      <c r="P76" s="2">
        <f t="shared" si="43"/>
        <v>203160.46092453171</v>
      </c>
      <c r="Q76" s="2">
        <f t="shared" si="43"/>
        <v>213716.20197361827</v>
      </c>
      <c r="R76" s="2">
        <f t="shared" si="43"/>
        <v>224820.39456976432</v>
      </c>
      <c r="S76" s="2">
        <f t="shared" si="43"/>
        <v>236501.53496899508</v>
      </c>
      <c r="T76" s="2">
        <f t="shared" si="43"/>
        <v>248789.60002596286</v>
      </c>
      <c r="U76" s="2">
        <f t="shared" si="43"/>
        <v>261716.12412237862</v>
      </c>
      <c r="V76" s="2">
        <f t="shared" si="43"/>
        <v>275314.28009246499</v>
      </c>
      <c r="W76" s="2">
        <f t="shared" si="43"/>
        <v>289618.9643531061</v>
      </c>
      <c r="X76" s="2">
        <f t="shared" si="43"/>
        <v>304666.88645716</v>
      </c>
      <c r="Y76" s="378"/>
    </row>
    <row r="77" spans="1:25">
      <c r="A77" s="1" t="s">
        <v>979</v>
      </c>
      <c r="B77" s="714">
        <f t="shared" si="41"/>
        <v>12000000</v>
      </c>
      <c r="C77" s="778">
        <f>B77*$B$58/$B$60*$B$61*$B$62/$B$63</f>
        <v>0.66020242517577565</v>
      </c>
      <c r="D77" s="714"/>
      <c r="E77" s="2">
        <f t="shared" ref="E77:X77" si="44">E47*$B$68*$C77*$B$64*(1+$B$69)^(E$72-$E$72+1)</f>
        <v>42727.769223373827</v>
      </c>
      <c r="F77" s="2">
        <f t="shared" si="44"/>
        <v>44947.803896826379</v>
      </c>
      <c r="G77" s="2">
        <f t="shared" si="44"/>
        <v>47283.186364954716</v>
      </c>
      <c r="H77" s="2">
        <f t="shared" si="44"/>
        <v>49739.909828628915</v>
      </c>
      <c r="I77" s="2">
        <f t="shared" si="44"/>
        <v>52324.278881379592</v>
      </c>
      <c r="J77" s="2">
        <f t="shared" si="44"/>
        <v>55042.925688630159</v>
      </c>
      <c r="K77" s="2">
        <f t="shared" si="44"/>
        <v>57902.82700756409</v>
      </c>
      <c r="L77" s="2">
        <f t="shared" si="44"/>
        <v>60911.322091304581</v>
      </c>
      <c r="M77" s="2">
        <f t="shared" si="44"/>
        <v>64076.131523353251</v>
      </c>
      <c r="N77" s="2">
        <f t="shared" si="44"/>
        <v>67405.377030622403</v>
      </c>
      <c r="O77" s="2">
        <f t="shared" si="44"/>
        <v>70907.602325905667</v>
      </c>
      <c r="P77" s="2">
        <f t="shared" si="44"/>
        <v>74591.795033274582</v>
      </c>
      <c r="Q77" s="2">
        <f t="shared" si="44"/>
        <v>78467.409752667591</v>
      </c>
      <c r="R77" s="2">
        <f t="shared" si="44"/>
        <v>82544.392322860789</v>
      </c>
      <c r="S77" s="2">
        <f t="shared" si="44"/>
        <v>86833.205345085618</v>
      </c>
      <c r="T77" s="2">
        <f t="shared" si="44"/>
        <v>91344.855032794119</v>
      </c>
      <c r="U77" s="2">
        <f t="shared" si="44"/>
        <v>96090.919456475007</v>
      </c>
      <c r="V77" s="2">
        <f t="shared" si="44"/>
        <v>101083.57825600375</v>
      </c>
      <c r="W77" s="2">
        <f t="shared" si="44"/>
        <v>106335.64389677734</v>
      </c>
      <c r="X77" s="2">
        <f t="shared" si="44"/>
        <v>111860.59454984372</v>
      </c>
      <c r="Y77" s="378"/>
    </row>
    <row r="78" spans="1:25">
      <c r="A78" s="1" t="s">
        <v>922</v>
      </c>
      <c r="B78" s="714">
        <f t="shared" si="41"/>
        <v>12000000</v>
      </c>
      <c r="C78" s="778">
        <f>B78*$B$59/$B$60*$B$61*$B$62/$B$63</f>
        <v>1.7756651951258526</v>
      </c>
      <c r="D78" s="714"/>
      <c r="E78" s="2">
        <f t="shared" ref="E78:X78" si="45">E48*$B$68*$C78*$B$64*(1+$B$69)^(E$72-$E$72+1)</f>
        <v>68634.13021746467</v>
      </c>
      <c r="F78" s="2">
        <f t="shared" si="45"/>
        <v>72200.19864637006</v>
      </c>
      <c r="G78" s="2">
        <f t="shared" si="45"/>
        <v>75951.551626843982</v>
      </c>
      <c r="H78" s="2">
        <f t="shared" si="45"/>
        <v>79897.816109612162</v>
      </c>
      <c r="I78" s="2">
        <f t="shared" si="45"/>
        <v>84049.119239180742</v>
      </c>
      <c r="J78" s="2">
        <f t="shared" si="45"/>
        <v>88416.114342731715</v>
      </c>
      <c r="K78" s="2">
        <f t="shared" si="45"/>
        <v>93010.008269340789</v>
      </c>
      <c r="L78" s="2">
        <f t="shared" si="45"/>
        <v>97842.590149676587</v>
      </c>
      <c r="M78" s="2">
        <f t="shared" si="45"/>
        <v>102926.26164998663</v>
      </c>
      <c r="N78" s="2">
        <f t="shared" si="45"/>
        <v>108274.06879800931</v>
      </c>
      <c r="O78" s="2">
        <f t="shared" si="45"/>
        <v>113899.73546248557</v>
      </c>
      <c r="P78" s="2">
        <f t="shared" si="45"/>
        <v>119817.69857218768</v>
      </c>
      <c r="Q78" s="2">
        <f t="shared" si="45"/>
        <v>126043.14516484602</v>
      </c>
      <c r="R78" s="2">
        <f t="shared" si="45"/>
        <v>132592.0513610511</v>
      </c>
      <c r="S78" s="2">
        <f t="shared" si="45"/>
        <v>139481.22336314828</v>
      </c>
      <c r="T78" s="2">
        <f t="shared" si="45"/>
        <v>146728.34058433888</v>
      </c>
      <c r="U78" s="2">
        <f t="shared" si="45"/>
        <v>154352.00101866818</v>
      </c>
      <c r="V78" s="2">
        <f t="shared" si="45"/>
        <v>162371.7689683316</v>
      </c>
      <c r="W78" s="2">
        <f t="shared" si="45"/>
        <v>170808.22525077974</v>
      </c>
      <c r="X78" s="2">
        <f t="shared" si="45"/>
        <v>179683.02001446678</v>
      </c>
      <c r="Y78" s="378"/>
    </row>
    <row r="79" spans="1:25">
      <c r="A79" s="1" t="s">
        <v>921</v>
      </c>
      <c r="B79" s="714">
        <f t="shared" si="41"/>
        <v>12000000</v>
      </c>
      <c r="C79" s="778">
        <f>B79*$B$59/$B$60*$B$61*$B$62/$B$63</f>
        <v>1.7756651951258526</v>
      </c>
      <c r="D79" s="714"/>
      <c r="E79" s="2">
        <f t="shared" ref="E79:X79" si="46">E49*$B$68*$C79*$B$64*(1+$B$69)^(E$72-$E$72+1)</f>
        <v>31935.336279499366</v>
      </c>
      <c r="F79" s="2">
        <f t="shared" si="46"/>
        <v>33594.621450185798</v>
      </c>
      <c r="G79" s="2">
        <f t="shared" si="46"/>
        <v>35340.11918658825</v>
      </c>
      <c r="H79" s="2">
        <f t="shared" si="46"/>
        <v>37176.308891414992</v>
      </c>
      <c r="I79" s="2">
        <f t="shared" si="46"/>
        <v>39107.902706632827</v>
      </c>
      <c r="J79" s="2">
        <f t="shared" si="46"/>
        <v>41139.857606053134</v>
      </c>
      <c r="K79" s="2">
        <f t="shared" si="46"/>
        <v>43277.388116220201</v>
      </c>
      <c r="L79" s="2">
        <f t="shared" si="46"/>
        <v>45525.979698247254</v>
      </c>
      <c r="M79" s="2">
        <f t="shared" si="46"/>
        <v>47891.402824941106</v>
      </c>
      <c r="N79" s="2">
        <f t="shared" si="46"/>
        <v>50379.727789341327</v>
      </c>
      <c r="O79" s="2">
        <f t="shared" si="46"/>
        <v>52997.340282676385</v>
      </c>
      <c r="P79" s="2">
        <f t="shared" si="46"/>
        <v>55750.957781713587</v>
      </c>
      <c r="Q79" s="2">
        <f t="shared" si="46"/>
        <v>58647.646787557758</v>
      </c>
      <c r="R79" s="2">
        <f t="shared" si="46"/>
        <v>61694.840960137051</v>
      </c>
      <c r="S79" s="2">
        <f t="shared" si="46"/>
        <v>64900.360194914225</v>
      </c>
      <c r="T79" s="2">
        <f t="shared" si="46"/>
        <v>68272.430690779278</v>
      </c>
      <c r="U79" s="2">
        <f t="shared" si="46"/>
        <v>71819.706060622455</v>
      </c>
      <c r="V79" s="2">
        <f t="shared" si="46"/>
        <v>75551.289538763187</v>
      </c>
      <c r="W79" s="2">
        <f t="shared" si="46"/>
        <v>79476.757342225188</v>
      </c>
      <c r="X79" s="2">
        <f t="shared" si="46"/>
        <v>83606.183245808163</v>
      </c>
      <c r="Y79" s="378"/>
    </row>
    <row r="80" spans="1:25">
      <c r="A80" s="1" t="s">
        <v>920</v>
      </c>
      <c r="B80" s="714">
        <f t="shared" si="41"/>
        <v>12000000</v>
      </c>
      <c r="C80" s="778">
        <f>B80*$B$59/$B$60*$B$61*$B$62/$B$63</f>
        <v>1.7756651951258526</v>
      </c>
      <c r="D80" s="714"/>
      <c r="E80" s="2">
        <f t="shared" ref="E80:X80" si="47">E50*$B$68*$C80*$B$64*(1+$B$69)^(E$72-$E$72+1)</f>
        <v>5546.3672565149491</v>
      </c>
      <c r="F80" s="2">
        <f t="shared" si="47"/>
        <v>5834.543490495108</v>
      </c>
      <c r="G80" s="2">
        <f t="shared" si="47"/>
        <v>6137.6926856929767</v>
      </c>
      <c r="H80" s="2">
        <f t="shared" si="47"/>
        <v>6456.5928020552574</v>
      </c>
      <c r="I80" s="2">
        <f t="shared" si="47"/>
        <v>6792.0622205028212</v>
      </c>
      <c r="J80" s="2">
        <f t="shared" si="47"/>
        <v>7144.9618431097251</v>
      </c>
      <c r="K80" s="2">
        <f t="shared" si="47"/>
        <v>7516.1973024025983</v>
      </c>
      <c r="L80" s="2">
        <f t="shared" si="47"/>
        <v>7906.7212854500522</v>
      </c>
      <c r="M80" s="2">
        <f t="shared" si="47"/>
        <v>8317.5359787063098</v>
      </c>
      <c r="N80" s="2">
        <f t="shared" si="47"/>
        <v>8749.6956398831899</v>
      </c>
      <c r="O80" s="2">
        <f t="shared" si="47"/>
        <v>9204.3093034505237</v>
      </c>
      <c r="P80" s="2">
        <f t="shared" si="47"/>
        <v>9682.543626708004</v>
      </c>
      <c r="Q80" s="2">
        <f t="shared" si="47"/>
        <v>10185.625883732318</v>
      </c>
      <c r="R80" s="2">
        <f t="shared" si="47"/>
        <v>10714.847114882661</v>
      </c>
      <c r="S80" s="2">
        <f t="shared" si="47"/>
        <v>11271.565439947244</v>
      </c>
      <c r="T80" s="2">
        <f t="shared" si="47"/>
        <v>11857.209543433079</v>
      </c>
      <c r="U80" s="2">
        <f t="shared" si="47"/>
        <v>12473.282340943277</v>
      </c>
      <c r="V80" s="2">
        <f t="shared" si="47"/>
        <v>13121.364836050685</v>
      </c>
      <c r="W80" s="2">
        <f t="shared" si="47"/>
        <v>13803.120177565645</v>
      </c>
      <c r="X80" s="2">
        <f t="shared" si="47"/>
        <v>14520.297927609881</v>
      </c>
      <c r="Y80" s="378"/>
    </row>
    <row r="81" spans="1:25">
      <c r="A81" s="1" t="s">
        <v>978</v>
      </c>
      <c r="B81" s="714">
        <f>15000000</f>
        <v>15000000</v>
      </c>
      <c r="C81" s="778">
        <f>B81*$B$58/$B$60*$B$61*$B$62/$B$63</f>
        <v>0.8252530314697194</v>
      </c>
      <c r="D81" s="714"/>
      <c r="E81" s="641">
        <f t="shared" ref="E81:X81" si="48">E51*$B$68*$C81*$B$64*(1+$B$69)^(E$72-$E$72+1)</f>
        <v>683.16874164940566</v>
      </c>
      <c r="F81" s="641">
        <f t="shared" si="48"/>
        <v>718.6645871346168</v>
      </c>
      <c r="G81" s="641">
        <f t="shared" si="48"/>
        <v>756.0047134978845</v>
      </c>
      <c r="H81" s="641">
        <f t="shared" si="48"/>
        <v>795.2849452479835</v>
      </c>
      <c r="I81" s="641">
        <f t="shared" si="48"/>
        <v>836.60608571041405</v>
      </c>
      <c r="J81" s="641">
        <f t="shared" si="48"/>
        <v>880.07417571504095</v>
      </c>
      <c r="K81" s="641">
        <f t="shared" si="48"/>
        <v>925.80076572453697</v>
      </c>
      <c r="L81" s="641">
        <f t="shared" si="48"/>
        <v>973.9032021019799</v>
      </c>
      <c r="M81" s="641">
        <f t="shared" si="48"/>
        <v>1024.5049282522446</v>
      </c>
      <c r="N81" s="641">
        <f t="shared" si="48"/>
        <v>1077.7358014099941</v>
      </c>
      <c r="O81" s="641">
        <f t="shared" si="48"/>
        <v>1133.7324258872329</v>
      </c>
      <c r="P81" s="641">
        <f t="shared" si="48"/>
        <v>1192.6385036356185</v>
      </c>
      <c r="Q81" s="641">
        <f t="shared" si="48"/>
        <v>1254.605203023174</v>
      </c>
      <c r="R81" s="641">
        <f t="shared" si="48"/>
        <v>1319.7915467717678</v>
      </c>
      <c r="S81" s="641">
        <f t="shared" si="48"/>
        <v>1388.364820050919</v>
      </c>
      <c r="T81" s="641">
        <f t="shared" si="48"/>
        <v>1460.5009997751968</v>
      </c>
      <c r="U81" s="641">
        <f t="shared" si="48"/>
        <v>1536.3852062069093</v>
      </c>
      <c r="V81" s="641">
        <f t="shared" si="48"/>
        <v>1616.212178023005</v>
      </c>
      <c r="W81" s="641">
        <f t="shared" si="48"/>
        <v>1700.186772065339</v>
      </c>
      <c r="X81" s="641">
        <f t="shared" si="48"/>
        <v>1788.5244890567906</v>
      </c>
      <c r="Y81" s="378"/>
    </row>
    <row r="82" spans="1:25" s="177" customFormat="1">
      <c r="A82" s="177" t="s">
        <v>135</v>
      </c>
      <c r="B82" s="781"/>
      <c r="C82" s="782"/>
      <c r="D82" s="781"/>
      <c r="E82" s="279">
        <f t="shared" ref="E82:X82" si="49">SUM(E73:E81)</f>
        <v>2290390.6740573873</v>
      </c>
      <c r="F82" s="279">
        <f t="shared" si="49"/>
        <v>2409394.0015088515</v>
      </c>
      <c r="G82" s="279">
        <f t="shared" si="49"/>
        <v>2534580.4627396008</v>
      </c>
      <c r="H82" s="279">
        <f t="shared" si="49"/>
        <v>2666271.318878639</v>
      </c>
      <c r="I82" s="279">
        <f t="shared" si="49"/>
        <v>2804804.5230297372</v>
      </c>
      <c r="J82" s="279">
        <f t="shared" si="49"/>
        <v>2950535.5875472901</v>
      </c>
      <c r="K82" s="279">
        <f t="shared" si="49"/>
        <v>3103838.4963737922</v>
      </c>
      <c r="L82" s="279">
        <f t="shared" si="49"/>
        <v>3265106.6647802358</v>
      </c>
      <c r="M82" s="279">
        <f t="shared" si="49"/>
        <v>3434753.9489723593</v>
      </c>
      <c r="N82" s="279">
        <f t="shared" si="49"/>
        <v>3613215.7081536786</v>
      </c>
      <c r="O82" s="279">
        <f t="shared" si="49"/>
        <v>3800949.9217708167</v>
      </c>
      <c r="P82" s="279">
        <f t="shared" si="49"/>
        <v>3998438.3648082777</v>
      </c>
      <c r="Q82" s="279">
        <f t="shared" si="49"/>
        <v>4206187.8441487867</v>
      </c>
      <c r="R82" s="279">
        <f t="shared" si="49"/>
        <v>4424731.4991720114</v>
      </c>
      <c r="S82" s="279">
        <f t="shared" si="49"/>
        <v>4654630.1699293414</v>
      </c>
      <c r="T82" s="279">
        <f t="shared" si="49"/>
        <v>4896473.8364058184</v>
      </c>
      <c r="U82" s="279">
        <f t="shared" si="49"/>
        <v>5150883.1325627482</v>
      </c>
      <c r="V82" s="279">
        <f t="shared" si="49"/>
        <v>5418510.9390463987</v>
      </c>
      <c r="W82" s="279">
        <f t="shared" si="49"/>
        <v>5700044.0586501369</v>
      </c>
      <c r="X82" s="279">
        <f t="shared" si="49"/>
        <v>5996204.9788296111</v>
      </c>
      <c r="Y82" s="786"/>
    </row>
    <row r="83" spans="1:25">
      <c r="B83" s="714"/>
      <c r="C83" s="778"/>
      <c r="D83" s="714"/>
      <c r="E83" s="2"/>
      <c r="F83" s="2"/>
      <c r="G83" s="2"/>
      <c r="H83" s="2"/>
      <c r="I83" s="2"/>
      <c r="J83" s="2"/>
      <c r="K83" s="2"/>
      <c r="L83" s="2"/>
      <c r="M83" s="2"/>
      <c r="N83" s="2"/>
      <c r="O83" s="2"/>
      <c r="P83" s="2"/>
      <c r="Q83" s="2"/>
      <c r="R83" s="2"/>
      <c r="S83" s="2"/>
      <c r="T83" s="2"/>
      <c r="U83" s="2"/>
      <c r="V83" s="2"/>
      <c r="W83" s="2"/>
      <c r="X83" s="2"/>
      <c r="Y83" s="2"/>
    </row>
    <row r="84" spans="1:25">
      <c r="A84" s="3" t="s">
        <v>977</v>
      </c>
      <c r="B84" s="714"/>
      <c r="C84" s="778"/>
      <c r="D84" s="714"/>
      <c r="E84" s="2"/>
      <c r="F84" s="2"/>
      <c r="G84" s="2"/>
      <c r="H84" s="2"/>
      <c r="I84" s="2"/>
      <c r="J84" s="2"/>
      <c r="K84" s="2"/>
      <c r="L84" s="2"/>
      <c r="M84" s="2"/>
      <c r="N84" s="2"/>
      <c r="O84" s="2"/>
      <c r="P84" s="2"/>
      <c r="Q84" s="2"/>
      <c r="R84" s="2"/>
      <c r="S84" s="2"/>
      <c r="T84" s="2"/>
      <c r="U84" s="2"/>
      <c r="V84" s="2"/>
      <c r="W84" s="2"/>
      <c r="X84" s="2"/>
      <c r="Y84" s="2"/>
    </row>
    <row r="85" spans="1:25" ht="30">
      <c r="A85" s="189" t="s">
        <v>976</v>
      </c>
      <c r="B85" s="785">
        <f>62%/38%</f>
        <v>1.631578947368421</v>
      </c>
      <c r="C85" s="916" t="s">
        <v>1262</v>
      </c>
      <c r="D85" s="714"/>
      <c r="E85" s="2"/>
      <c r="F85" s="2"/>
      <c r="G85" s="2"/>
      <c r="H85" s="2"/>
      <c r="I85" s="2"/>
      <c r="J85" s="2"/>
      <c r="K85" s="2"/>
      <c r="L85" s="2"/>
      <c r="M85" s="2"/>
      <c r="N85" s="2"/>
      <c r="O85" s="2"/>
      <c r="P85" s="2"/>
      <c r="Q85" s="2"/>
      <c r="R85" s="2"/>
      <c r="S85" s="2"/>
      <c r="T85" s="2"/>
      <c r="U85" s="2"/>
      <c r="V85" s="2"/>
      <c r="W85" s="2"/>
      <c r="X85" s="2"/>
      <c r="Y85" s="2"/>
    </row>
    <row r="86" spans="1:25" ht="45">
      <c r="A86" s="189" t="s">
        <v>975</v>
      </c>
      <c r="B86" s="785">
        <f>AVERAGE(C75:C77)</f>
        <v>0.66020242517577565</v>
      </c>
      <c r="C86" s="916" t="s">
        <v>1263</v>
      </c>
      <c r="D86" s="714"/>
      <c r="E86" s="2"/>
      <c r="F86" s="2"/>
      <c r="G86" s="2"/>
      <c r="H86" s="2"/>
      <c r="I86" s="2"/>
      <c r="J86" s="2"/>
      <c r="K86" s="2"/>
      <c r="L86" s="2"/>
      <c r="M86" s="2"/>
      <c r="N86" s="2"/>
      <c r="O86" s="2"/>
      <c r="P86" s="2"/>
      <c r="Q86" s="2"/>
      <c r="R86" s="2"/>
      <c r="S86" s="2"/>
      <c r="T86" s="2"/>
      <c r="U86" s="2"/>
      <c r="V86" s="2"/>
      <c r="W86" s="2"/>
      <c r="X86" s="2"/>
      <c r="Y86" s="2"/>
    </row>
    <row r="87" spans="1:25" ht="30">
      <c r="A87" s="189" t="s">
        <v>974</v>
      </c>
      <c r="B87" s="785">
        <f>B64/3</f>
        <v>0.16666666666666666</v>
      </c>
      <c r="C87" s="916" t="s">
        <v>1266</v>
      </c>
      <c r="D87" s="714"/>
      <c r="E87" s="2"/>
      <c r="F87" s="2"/>
      <c r="G87" s="2"/>
      <c r="H87" s="2"/>
      <c r="I87" s="2"/>
      <c r="J87" s="2"/>
      <c r="K87" s="2"/>
      <c r="L87" s="2"/>
      <c r="M87" s="2"/>
      <c r="N87" s="2"/>
      <c r="O87" s="2"/>
      <c r="P87" s="2"/>
      <c r="Q87" s="2"/>
      <c r="R87" s="2"/>
      <c r="S87" s="2"/>
      <c r="T87" s="2"/>
      <c r="U87" s="2"/>
      <c r="V87" s="2"/>
      <c r="W87" s="2"/>
      <c r="X87" s="2"/>
      <c r="Y87" s="2"/>
    </row>
    <row r="88" spans="1:25">
      <c r="B88" s="714"/>
      <c r="C88" s="778"/>
      <c r="D88" s="714"/>
      <c r="E88" s="753">
        <v>2012</v>
      </c>
      <c r="F88" s="753">
        <v>2013</v>
      </c>
      <c r="G88" s="753">
        <v>2014</v>
      </c>
      <c r="H88" s="753">
        <v>2015</v>
      </c>
      <c r="I88" s="753">
        <v>2016</v>
      </c>
      <c r="J88" s="753">
        <v>2017</v>
      </c>
      <c r="K88" s="753">
        <v>2018</v>
      </c>
      <c r="L88" s="753">
        <v>2019</v>
      </c>
      <c r="M88" s="753">
        <v>2020</v>
      </c>
      <c r="N88" s="753">
        <v>2021</v>
      </c>
      <c r="O88" s="753">
        <v>2022</v>
      </c>
      <c r="P88" s="753">
        <v>2023</v>
      </c>
      <c r="Q88" s="753">
        <v>2024</v>
      </c>
      <c r="R88" s="753">
        <v>2025</v>
      </c>
      <c r="S88" s="753">
        <v>2026</v>
      </c>
      <c r="T88" s="753">
        <v>2027</v>
      </c>
      <c r="U88" s="753">
        <v>2028</v>
      </c>
      <c r="V88" s="753">
        <v>2029</v>
      </c>
      <c r="W88" s="753">
        <v>2030</v>
      </c>
      <c r="X88" s="753">
        <v>2031</v>
      </c>
      <c r="Y88" s="753"/>
    </row>
    <row r="89" spans="1:25">
      <c r="A89" s="1" t="s">
        <v>973</v>
      </c>
      <c r="B89" s="714"/>
      <c r="C89" s="778"/>
      <c r="D89" s="714"/>
      <c r="E89" s="2">
        <f t="shared" ref="E89:X89" si="50">$B$85*E52</f>
        <v>132672528.46537879</v>
      </c>
      <c r="F89" s="2">
        <f t="shared" si="50"/>
        <v>135856669.14854783</v>
      </c>
      <c r="G89" s="2">
        <f t="shared" si="50"/>
        <v>139117229.20811304</v>
      </c>
      <c r="H89" s="2">
        <f t="shared" si="50"/>
        <v>142456042.70910776</v>
      </c>
      <c r="I89" s="2">
        <f t="shared" si="50"/>
        <v>145874987.7341263</v>
      </c>
      <c r="J89" s="2">
        <f t="shared" si="50"/>
        <v>149375987.43974537</v>
      </c>
      <c r="K89" s="2">
        <f t="shared" si="50"/>
        <v>152961011.13829926</v>
      </c>
      <c r="L89" s="2">
        <f t="shared" si="50"/>
        <v>156632075.40561846</v>
      </c>
      <c r="M89" s="2">
        <f t="shared" si="50"/>
        <v>160391245.21535328</v>
      </c>
      <c r="N89" s="2">
        <f t="shared" si="50"/>
        <v>164240635.10052177</v>
      </c>
      <c r="O89" s="2">
        <f t="shared" si="50"/>
        <v>168182410.34293431</v>
      </c>
      <c r="P89" s="2">
        <f t="shared" si="50"/>
        <v>172218788.19116473</v>
      </c>
      <c r="Q89" s="2">
        <f t="shared" si="50"/>
        <v>176352039.10775268</v>
      </c>
      <c r="R89" s="2">
        <f t="shared" si="50"/>
        <v>180584488.04633877</v>
      </c>
      <c r="S89" s="2">
        <f t="shared" si="50"/>
        <v>184918515.75945091</v>
      </c>
      <c r="T89" s="2">
        <f t="shared" si="50"/>
        <v>189356560.1376777</v>
      </c>
      <c r="U89" s="2">
        <f t="shared" si="50"/>
        <v>193901117.58098191</v>
      </c>
      <c r="V89" s="2">
        <f t="shared" si="50"/>
        <v>198554744.40292555</v>
      </c>
      <c r="W89" s="2">
        <f t="shared" si="50"/>
        <v>203320058.26859573</v>
      </c>
      <c r="X89" s="2">
        <f t="shared" si="50"/>
        <v>208199739.66704202</v>
      </c>
      <c r="Y89" s="2"/>
    </row>
    <row r="90" spans="1:25" ht="45">
      <c r="A90" s="189" t="s">
        <v>972</v>
      </c>
      <c r="B90" s="714"/>
      <c r="C90" s="778"/>
      <c r="D90" s="714"/>
      <c r="E90" s="784">
        <f t="shared" ref="E90:X90" si="51">$B$65*(1-$B$66)*$B$86*$B$87*(1+$B$69)^(E$88-$E$88+1)</f>
        <v>6.0866573555962604E-3</v>
      </c>
      <c r="F90" s="784">
        <f t="shared" si="51"/>
        <v>6.2528376913154196E-3</v>
      </c>
      <c r="G90" s="784">
        <f t="shared" si="51"/>
        <v>6.423555148539266E-3</v>
      </c>
      <c r="H90" s="784">
        <f t="shared" si="51"/>
        <v>6.5989336015605006E-3</v>
      </c>
      <c r="I90" s="784">
        <f t="shared" si="51"/>
        <v>6.7791003067369472E-3</v>
      </c>
      <c r="J90" s="784">
        <f t="shared" si="51"/>
        <v>6.9641859948300381E-3</v>
      </c>
      <c r="K90" s="784">
        <f t="shared" si="51"/>
        <v>7.1543249658643547E-3</v>
      </c>
      <c r="L90" s="784">
        <f t="shared" si="51"/>
        <v>7.3496551865770724E-3</v>
      </c>
      <c r="M90" s="784">
        <f t="shared" si="51"/>
        <v>7.5503183905280017E-3</v>
      </c>
      <c r="N90" s="784">
        <f t="shared" si="51"/>
        <v>7.7564601809428776E-3</v>
      </c>
      <c r="O90" s="784">
        <f t="shared" si="51"/>
        <v>7.9682301363645132E-3</v>
      </c>
      <c r="P90" s="784">
        <f t="shared" si="51"/>
        <v>8.1857819191884784E-3</v>
      </c>
      <c r="Q90" s="784">
        <f t="shared" si="51"/>
        <v>8.4092733871620872E-3</v>
      </c>
      <c r="R90" s="784">
        <f t="shared" si="51"/>
        <v>8.6388667079275363E-3</v>
      </c>
      <c r="S90" s="784">
        <f t="shared" si="51"/>
        <v>8.8747284766923784E-3</v>
      </c>
      <c r="T90" s="784">
        <f t="shared" si="51"/>
        <v>9.1170298371126661E-3</v>
      </c>
      <c r="U90" s="784">
        <f t="shared" si="51"/>
        <v>9.3659466054765005E-3</v>
      </c>
      <c r="V90" s="784">
        <f t="shared" si="51"/>
        <v>9.6216593982780801E-3</v>
      </c>
      <c r="W90" s="784">
        <f t="shared" si="51"/>
        <v>9.8843537632748481E-3</v>
      </c>
      <c r="X90" s="784">
        <f t="shared" si="51"/>
        <v>1.015422031412278E-2</v>
      </c>
      <c r="Y90" s="784"/>
    </row>
    <row r="91" spans="1:25" s="177" customFormat="1" ht="45">
      <c r="A91" s="783" t="s">
        <v>971</v>
      </c>
      <c r="B91" s="781"/>
      <c r="C91" s="782"/>
      <c r="D91" s="781"/>
      <c r="E91" s="780">
        <f t="shared" ref="E91:X91" si="52">E89*E90</f>
        <v>807532.22126935201</v>
      </c>
      <c r="F91" s="780">
        <f t="shared" si="52"/>
        <v>849489.70146860857</v>
      </c>
      <c r="G91" s="780">
        <f t="shared" si="52"/>
        <v>893627.19393029169</v>
      </c>
      <c r="H91" s="780">
        <f t="shared" si="52"/>
        <v>940057.96697846893</v>
      </c>
      <c r="I91" s="780">
        <f t="shared" si="52"/>
        <v>988901.17409366404</v>
      </c>
      <c r="J91" s="780">
        <f t="shared" si="52"/>
        <v>1040282.1596917823</v>
      </c>
      <c r="K91" s="780">
        <f t="shared" si="52"/>
        <v>1094332.78079059</v>
      </c>
      <c r="L91" s="780">
        <f t="shared" si="52"/>
        <v>1151191.7453892347</v>
      </c>
      <c r="M91" s="780">
        <f t="shared" si="52"/>
        <v>1211004.9684291682</v>
      </c>
      <c r="N91" s="780">
        <f t="shared" si="52"/>
        <v>1273925.9462499663</v>
      </c>
      <c r="O91" s="780">
        <f t="shared" si="52"/>
        <v>1340116.1505009921</v>
      </c>
      <c r="P91" s="780">
        <f t="shared" si="52"/>
        <v>1409745.4425197865</v>
      </c>
      <c r="Q91" s="780">
        <f t="shared" si="52"/>
        <v>1482992.5092405924</v>
      </c>
      <c r="R91" s="780">
        <f t="shared" si="52"/>
        <v>1560045.3217516541</v>
      </c>
      <c r="S91" s="780">
        <f t="shared" si="52"/>
        <v>1641101.6176780874</v>
      </c>
      <c r="T91" s="780">
        <f t="shared" si="52"/>
        <v>1726369.4086282265</v>
      </c>
      <c r="U91" s="780">
        <f t="shared" si="52"/>
        <v>1816067.5140056973</v>
      </c>
      <c r="V91" s="780">
        <f t="shared" si="52"/>
        <v>1910426.1225571106</v>
      </c>
      <c r="W91" s="780">
        <f t="shared" si="52"/>
        <v>2009687.3830964556</v>
      </c>
      <c r="X91" s="780">
        <f t="shared" si="52"/>
        <v>2114106.0259221522</v>
      </c>
      <c r="Y91" s="780"/>
    </row>
    <row r="92" spans="1:25">
      <c r="A92" s="189"/>
      <c r="B92" s="714"/>
      <c r="C92" s="778"/>
      <c r="D92" s="714"/>
      <c r="E92" s="779"/>
      <c r="F92" s="779">
        <f>F89-F89*K26</f>
        <v>135856669.14854783</v>
      </c>
      <c r="G92" s="779">
        <f t="shared" ref="G92:K92" si="53">G89-G89*L26</f>
        <v>132161367.7477074</v>
      </c>
      <c r="H92" s="779">
        <f t="shared" si="53"/>
        <v>106842032.03183082</v>
      </c>
      <c r="I92" s="779">
        <f t="shared" si="53"/>
        <v>58349995.09365052</v>
      </c>
      <c r="J92" s="779">
        <f t="shared" si="53"/>
        <v>7468799.3719872832</v>
      </c>
      <c r="K92" s="779">
        <f t="shared" si="53"/>
        <v>0</v>
      </c>
      <c r="L92" s="779"/>
      <c r="M92" s="779"/>
      <c r="N92" s="779"/>
      <c r="O92" s="779"/>
      <c r="P92" s="779"/>
      <c r="Q92" s="779"/>
      <c r="R92" s="779"/>
      <c r="S92" s="779"/>
      <c r="T92" s="779"/>
      <c r="U92" s="779"/>
      <c r="V92" s="779"/>
      <c r="W92" s="779"/>
      <c r="X92" s="779"/>
      <c r="Y92" s="779"/>
    </row>
    <row r="93" spans="1:25">
      <c r="A93" s="189"/>
      <c r="B93" s="714"/>
      <c r="C93" s="778"/>
      <c r="D93" s="714"/>
      <c r="E93" s="777"/>
      <c r="F93" s="2"/>
      <c r="G93" s="2"/>
      <c r="H93" s="2"/>
      <c r="I93" s="2"/>
      <c r="J93" s="2"/>
      <c r="K93" s="2"/>
      <c r="L93" s="2"/>
      <c r="M93" s="2"/>
      <c r="N93" s="2"/>
      <c r="O93" s="2"/>
      <c r="P93" s="2"/>
      <c r="Q93" s="2"/>
      <c r="R93" s="2"/>
      <c r="S93" s="2"/>
      <c r="T93" s="2"/>
      <c r="U93" s="2"/>
      <c r="V93" s="2"/>
      <c r="W93" s="2"/>
      <c r="X93" s="2"/>
      <c r="Y93" s="2"/>
    </row>
    <row r="94" spans="1:25">
      <c r="C94" s="7"/>
      <c r="D94" s="1" t="s">
        <v>970</v>
      </c>
      <c r="E94" s="1" t="s">
        <v>1265</v>
      </c>
    </row>
    <row r="95" spans="1:25">
      <c r="B95" s="12" t="s">
        <v>969</v>
      </c>
      <c r="C95" s="7"/>
      <c r="D95" s="1" t="s">
        <v>922</v>
      </c>
      <c r="E95" s="1" t="s">
        <v>968</v>
      </c>
      <c r="F95" s="1" t="s">
        <v>967</v>
      </c>
    </row>
    <row r="96" spans="1:25">
      <c r="A96" s="1" t="s">
        <v>966</v>
      </c>
      <c r="B96" s="775">
        <v>880</v>
      </c>
      <c r="C96" s="759"/>
      <c r="D96" s="7">
        <f>0.487*$B$96+0.303*$B$97+0.118*$B$98</f>
        <v>581.82999999999993</v>
      </c>
      <c r="E96" s="7">
        <f>0.258*$B$96+0.218*$B$97+0.375*$B$98</f>
        <v>341.66500000000002</v>
      </c>
      <c r="F96" s="7">
        <f>0.178*$B$96+0.261*$B$97+0.07*$B$98</f>
        <v>288.19</v>
      </c>
    </row>
    <row r="97" spans="1:25">
      <c r="A97" s="1" t="s">
        <v>965</v>
      </c>
      <c r="B97" s="775">
        <v>500</v>
      </c>
      <c r="C97" s="759"/>
      <c r="D97" s="7"/>
      <c r="E97" s="7"/>
      <c r="F97" s="7"/>
    </row>
    <row r="98" spans="1:25">
      <c r="A98" s="1" t="s">
        <v>964</v>
      </c>
      <c r="B98" s="775">
        <v>15</v>
      </c>
      <c r="C98" s="759"/>
      <c r="D98" s="7"/>
      <c r="E98" s="7"/>
      <c r="F98" s="7"/>
    </row>
    <row r="99" spans="1:25">
      <c r="A99" s="1" t="s">
        <v>72</v>
      </c>
      <c r="C99" s="7"/>
      <c r="D99" s="7"/>
      <c r="E99" s="7"/>
      <c r="F99" s="7"/>
    </row>
    <row r="100" spans="1:25">
      <c r="A100" s="1" t="s">
        <v>963</v>
      </c>
      <c r="B100" s="775">
        <v>4</v>
      </c>
      <c r="C100" s="7" t="s">
        <v>961</v>
      </c>
      <c r="D100" s="1" t="s">
        <v>1264</v>
      </c>
      <c r="E100" s="7"/>
      <c r="F100" s="7"/>
    </row>
    <row r="101" spans="1:25" ht="30">
      <c r="A101" s="189" t="s">
        <v>962</v>
      </c>
      <c r="B101" s="776">
        <v>0.25</v>
      </c>
      <c r="C101" s="7" t="s">
        <v>961</v>
      </c>
      <c r="E101" s="7"/>
      <c r="F101" s="7"/>
    </row>
    <row r="102" spans="1:25">
      <c r="A102" s="1" t="s">
        <v>960</v>
      </c>
      <c r="B102" s="775">
        <v>30</v>
      </c>
      <c r="C102" s="7"/>
    </row>
    <row r="103" spans="1:25">
      <c r="B103" s="7"/>
      <c r="C103" s="7"/>
    </row>
    <row r="104" spans="1:25">
      <c r="A104" s="7"/>
      <c r="B104" s="7">
        <v>2009</v>
      </c>
      <c r="C104" s="7">
        <v>2010</v>
      </c>
      <c r="D104" s="7">
        <v>2011</v>
      </c>
      <c r="E104" s="7">
        <v>2012</v>
      </c>
      <c r="F104" s="7">
        <v>2013</v>
      </c>
      <c r="G104" s="7">
        <v>2014</v>
      </c>
      <c r="H104" s="7">
        <v>2015</v>
      </c>
      <c r="I104" s="7">
        <v>2016</v>
      </c>
      <c r="J104" s="7">
        <v>2017</v>
      </c>
      <c r="K104" s="7">
        <v>2018</v>
      </c>
      <c r="L104" s="7">
        <v>2019</v>
      </c>
      <c r="M104" s="7">
        <v>2020</v>
      </c>
      <c r="N104" s="7">
        <v>2021</v>
      </c>
      <c r="O104" s="7">
        <v>2022</v>
      </c>
      <c r="P104" s="7">
        <v>2023</v>
      </c>
      <c r="Q104" s="7">
        <v>2024</v>
      </c>
      <c r="R104" s="7">
        <v>2025</v>
      </c>
      <c r="S104" s="7">
        <v>2026</v>
      </c>
      <c r="T104" s="7">
        <v>2027</v>
      </c>
      <c r="U104" s="7">
        <v>2028</v>
      </c>
      <c r="V104" s="7">
        <v>2029</v>
      </c>
      <c r="W104" s="7">
        <v>2030</v>
      </c>
      <c r="X104" s="7">
        <v>2031</v>
      </c>
      <c r="Y104" s="7"/>
    </row>
    <row r="105" spans="1:25">
      <c r="A105" s="1" t="s">
        <v>959</v>
      </c>
      <c r="B105" s="76">
        <f>1+Assumptions!$T$47</f>
        <v>1.0630947310212955</v>
      </c>
      <c r="C105" s="76">
        <f>1+Assumptions!$T$48</f>
        <v>1.0549999999999999</v>
      </c>
      <c r="D105" s="1">
        <f>1+Assumptions!$T$49</f>
        <v>1.06</v>
      </c>
      <c r="E105" s="76">
        <f>1+Assumptions!$T$50</f>
        <v>1.0620000000000001</v>
      </c>
      <c r="F105" s="76">
        <f>1+Assumptions!$T$51</f>
        <v>1.0537432524259438</v>
      </c>
      <c r="G105" s="76">
        <f>1+Assumptions!$T$51</f>
        <v>1.0537432524259438</v>
      </c>
      <c r="H105" s="76">
        <f>1+Assumptions!$T$51</f>
        <v>1.0537432524259438</v>
      </c>
      <c r="I105" s="76">
        <f>1+Assumptions!$T$51</f>
        <v>1.0537432524259438</v>
      </c>
      <c r="J105" s="76">
        <f>1+Assumptions!$T$51</f>
        <v>1.0537432524259438</v>
      </c>
      <c r="K105" s="76">
        <f>1+Assumptions!$T$51</f>
        <v>1.0537432524259438</v>
      </c>
      <c r="L105" s="76">
        <f>1+Assumptions!$T$51</f>
        <v>1.0537432524259438</v>
      </c>
      <c r="M105" s="76">
        <f>1+Assumptions!$T$51</f>
        <v>1.0537432524259438</v>
      </c>
      <c r="N105" s="76">
        <f>1+Assumptions!$T$51</f>
        <v>1.0537432524259438</v>
      </c>
      <c r="O105" s="76">
        <f>1+Assumptions!$T$51</f>
        <v>1.0537432524259438</v>
      </c>
      <c r="P105" s="76">
        <f>1+Assumptions!$T$51</f>
        <v>1.0537432524259438</v>
      </c>
      <c r="Q105" s="76">
        <f>1+Assumptions!$T$51</f>
        <v>1.0537432524259438</v>
      </c>
      <c r="R105" s="76">
        <f>1+Assumptions!$T$51</f>
        <v>1.0537432524259438</v>
      </c>
      <c r="S105" s="76">
        <f>1+Assumptions!$T$51</f>
        <v>1.0537432524259438</v>
      </c>
      <c r="T105" s="76">
        <f>1+Assumptions!$T$51</f>
        <v>1.0537432524259438</v>
      </c>
      <c r="U105" s="76">
        <f>1+Assumptions!$T$51</f>
        <v>1.0537432524259438</v>
      </c>
      <c r="V105" s="76">
        <f>1+Assumptions!$T$51</f>
        <v>1.0537432524259438</v>
      </c>
      <c r="W105" s="76">
        <f>1+Assumptions!$T$51</f>
        <v>1.0537432524259438</v>
      </c>
      <c r="X105" s="76">
        <f>1+Assumptions!$T$51</f>
        <v>1.0537432524259438</v>
      </c>
      <c r="Y105" s="7"/>
    </row>
    <row r="106" spans="1:25">
      <c r="D106" s="1" t="s">
        <v>78</v>
      </c>
    </row>
    <row r="107" spans="1:25" ht="30">
      <c r="A107" s="758" t="s">
        <v>958</v>
      </c>
      <c r="B107" s="757">
        <v>0.06</v>
      </c>
      <c r="C107" s="1" t="s">
        <v>957</v>
      </c>
      <c r="D107" s="1" t="s">
        <v>1267</v>
      </c>
    </row>
    <row r="108" spans="1:25" ht="30">
      <c r="A108" s="771" t="s">
        <v>956</v>
      </c>
      <c r="B108" s="774">
        <v>0.3</v>
      </c>
      <c r="C108" s="773" t="s">
        <v>547</v>
      </c>
    </row>
    <row r="109" spans="1:25" ht="30">
      <c r="A109" s="758" t="s">
        <v>955</v>
      </c>
      <c r="B109" s="770">
        <f>B107*(1+B108)</f>
        <v>7.8E-2</v>
      </c>
      <c r="C109" s="758"/>
    </row>
    <row r="110" spans="1:25">
      <c r="A110" s="771" t="s">
        <v>954</v>
      </c>
      <c r="B110" s="772">
        <v>0.3</v>
      </c>
      <c r="C110" s="758" t="s">
        <v>227</v>
      </c>
      <c r="D110" s="1" t="s">
        <v>1268</v>
      </c>
    </row>
    <row r="111" spans="1:25">
      <c r="A111" s="771" t="s">
        <v>953</v>
      </c>
      <c r="B111" s="770">
        <f>B109*(B110/(1+B110))</f>
        <v>1.7999999999999999E-2</v>
      </c>
      <c r="C111" s="758" t="s">
        <v>952</v>
      </c>
    </row>
    <row r="112" spans="1:25" ht="30">
      <c r="A112" s="762" t="s">
        <v>951</v>
      </c>
      <c r="B112" s="769">
        <v>4</v>
      </c>
      <c r="C112" s="762" t="s">
        <v>950</v>
      </c>
      <c r="D112" s="1" t="s">
        <v>1269</v>
      </c>
    </row>
    <row r="113" spans="1:25">
      <c r="A113" s="7" t="s">
        <v>949</v>
      </c>
      <c r="B113" s="768">
        <f>AVERAGE(34.8,33.2)</f>
        <v>34</v>
      </c>
      <c r="C113" s="1" t="s">
        <v>947</v>
      </c>
      <c r="D113" s="917" t="s">
        <v>1270</v>
      </c>
    </row>
    <row r="114" spans="1:25">
      <c r="A114" s="758" t="s">
        <v>948</v>
      </c>
      <c r="B114" s="768">
        <v>2</v>
      </c>
      <c r="C114" s="289" t="s">
        <v>947</v>
      </c>
      <c r="D114" s="759"/>
    </row>
    <row r="115" spans="1:25">
      <c r="A115" s="758" t="s">
        <v>946</v>
      </c>
      <c r="B115" s="768">
        <v>3</v>
      </c>
      <c r="C115" s="1" t="s">
        <v>945</v>
      </c>
      <c r="D115" s="917" t="s">
        <v>1271</v>
      </c>
    </row>
    <row r="116" spans="1:25" ht="30">
      <c r="A116" s="758" t="s">
        <v>944</v>
      </c>
      <c r="B116" s="767">
        <f>B65</f>
        <v>7.6923076923076927E-2</v>
      </c>
      <c r="D116" s="759"/>
    </row>
    <row r="117" spans="1:25" ht="30" customHeight="1">
      <c r="A117" s="758" t="s">
        <v>943</v>
      </c>
      <c r="B117" s="766">
        <f>B64</f>
        <v>0.5</v>
      </c>
      <c r="C117" s="764" t="s">
        <v>547</v>
      </c>
      <c r="D117" s="759"/>
    </row>
    <row r="118" spans="1:25" ht="30" customHeight="1">
      <c r="A118" s="424" t="s">
        <v>942</v>
      </c>
      <c r="B118" s="765">
        <f>B66</f>
        <v>0.3</v>
      </c>
      <c r="C118" s="764" t="s">
        <v>547</v>
      </c>
      <c r="D118" s="917" t="s">
        <v>1272</v>
      </c>
    </row>
    <row r="119" spans="1:25" ht="30" customHeight="1">
      <c r="A119" s="424" t="s">
        <v>941</v>
      </c>
      <c r="B119" s="763">
        <f>24*365.25</f>
        <v>8766</v>
      </c>
      <c r="C119" s="762"/>
      <c r="D119" s="759"/>
    </row>
    <row r="120" spans="1:25" ht="30">
      <c r="A120" s="758" t="s">
        <v>940</v>
      </c>
      <c r="B120" s="761">
        <v>0.11110070252665985</v>
      </c>
      <c r="C120" s="760"/>
      <c r="D120" s="759"/>
    </row>
    <row r="121" spans="1:25" ht="30">
      <c r="A121" s="758" t="s">
        <v>939</v>
      </c>
      <c r="B121" s="757">
        <v>4</v>
      </c>
    </row>
    <row r="122" spans="1:25">
      <c r="A122" s="758" t="s">
        <v>938</v>
      </c>
      <c r="B122" s="757">
        <v>30</v>
      </c>
    </row>
    <row r="123" spans="1:25" ht="30">
      <c r="A123" s="758" t="s">
        <v>937</v>
      </c>
      <c r="B123" s="757">
        <v>0.4</v>
      </c>
    </row>
    <row r="124" spans="1:25">
      <c r="A124" s="756"/>
    </row>
    <row r="125" spans="1:25">
      <c r="A125" s="127"/>
      <c r="B125" s="127"/>
      <c r="C125" s="127"/>
      <c r="D125" s="127"/>
      <c r="E125" s="127" t="s">
        <v>1278</v>
      </c>
      <c r="F125" s="127"/>
      <c r="G125" s="127"/>
      <c r="H125" s="755"/>
      <c r="I125" s="127"/>
      <c r="J125" s="127"/>
      <c r="K125" s="127"/>
      <c r="L125" s="127"/>
      <c r="M125" s="127"/>
      <c r="N125" s="127"/>
      <c r="O125" s="127"/>
      <c r="P125" s="127"/>
      <c r="Q125" s="127"/>
      <c r="R125" s="127"/>
      <c r="S125" s="127"/>
      <c r="T125" s="127"/>
      <c r="U125" s="127"/>
      <c r="V125" s="127"/>
      <c r="W125" s="127"/>
      <c r="X125" s="127"/>
      <c r="Y125" s="205"/>
    </row>
    <row r="126" spans="1:25" ht="30">
      <c r="A126" s="1" t="s">
        <v>923</v>
      </c>
      <c r="B126" s="189" t="s">
        <v>936</v>
      </c>
      <c r="C126" s="189" t="s">
        <v>927</v>
      </c>
      <c r="D126" s="189" t="s">
        <v>926</v>
      </c>
      <c r="E126" s="753">
        <v>2012</v>
      </c>
      <c r="F126" s="753">
        <v>2013</v>
      </c>
      <c r="G126" s="753">
        <v>2014</v>
      </c>
      <c r="H126" s="753">
        <v>2015</v>
      </c>
      <c r="I126" s="753">
        <v>2016</v>
      </c>
      <c r="J126" s="753">
        <v>2017</v>
      </c>
      <c r="K126" s="753">
        <v>2018</v>
      </c>
      <c r="L126" s="753">
        <v>2019</v>
      </c>
      <c r="M126" s="753">
        <v>2020</v>
      </c>
      <c r="N126" s="753">
        <v>2021</v>
      </c>
      <c r="O126" s="753">
        <v>2022</v>
      </c>
      <c r="P126" s="753">
        <v>2023</v>
      </c>
      <c r="Q126" s="753">
        <v>2024</v>
      </c>
      <c r="R126" s="753">
        <v>2025</v>
      </c>
      <c r="S126" s="753">
        <v>2026</v>
      </c>
      <c r="T126" s="753">
        <v>2027</v>
      </c>
      <c r="U126" s="753">
        <v>2028</v>
      </c>
      <c r="V126" s="753">
        <v>2029</v>
      </c>
      <c r="W126" s="753">
        <v>2030</v>
      </c>
      <c r="X126" s="753">
        <v>2031</v>
      </c>
      <c r="Y126" s="752"/>
    </row>
    <row r="127" spans="1:25">
      <c r="A127" s="1" t="s">
        <v>922</v>
      </c>
      <c r="B127" s="76">
        <f>D96</f>
        <v>581.82999999999993</v>
      </c>
      <c r="C127" s="1">
        <v>2</v>
      </c>
      <c r="D127" s="1">
        <f>1-0.564</f>
        <v>0.43600000000000005</v>
      </c>
      <c r="E127" s="2">
        <f>J34*$B127*$C127*$D127*$B$116*(1-$B$118)*($B$117/$B$119)*$B$120</f>
        <v>147.12104702431444</v>
      </c>
      <c r="F127" s="2">
        <f t="shared" ref="F127:X127" si="54">E127*F$105*$B$29</f>
        <v>158.74847804591238</v>
      </c>
      <c r="G127" s="2">
        <f t="shared" si="54"/>
        <v>171.29486087553869</v>
      </c>
      <c r="H127" s="2">
        <f t="shared" si="54"/>
        <v>184.83282311458785</v>
      </c>
      <c r="I127" s="2">
        <f t="shared" si="54"/>
        <v>199.440732348247</v>
      </c>
      <c r="J127" s="2">
        <f t="shared" si="54"/>
        <v>215.20314979415443</v>
      </c>
      <c r="K127" s="2">
        <f t="shared" si="54"/>
        <v>232.21131980431346</v>
      </c>
      <c r="L127" s="2">
        <f t="shared" si="54"/>
        <v>250.56369805385549</v>
      </c>
      <c r="M127" s="2">
        <f t="shared" si="54"/>
        <v>270.36652147419318</v>
      </c>
      <c r="N127" s="2">
        <f t="shared" si="54"/>
        <v>291.73442322975239</v>
      </c>
      <c r="O127" s="2">
        <f t="shared" si="54"/>
        <v>314.79109629821551</v>
      </c>
      <c r="P127" s="2">
        <f t="shared" si="54"/>
        <v>339.67000949556234</v>
      </c>
      <c r="Q127" s="2">
        <f t="shared" si="54"/>
        <v>366.51518009078285</v>
      </c>
      <c r="R127" s="2">
        <f t="shared" si="54"/>
        <v>395.4820074827183</v>
      </c>
      <c r="S127" s="2">
        <f t="shared" si="54"/>
        <v>426.73817276495976</v>
      </c>
      <c r="T127" s="2">
        <f t="shared" si="54"/>
        <v>460.46460938614064</v>
      </c>
      <c r="U127" s="2">
        <f t="shared" si="54"/>
        <v>496.85655052451187</v>
      </c>
      <c r="V127" s="2">
        <f t="shared" si="54"/>
        <v>536.1246592397664</v>
      </c>
      <c r="W127" s="2">
        <f t="shared" si="54"/>
        <v>578.49624794425574</v>
      </c>
      <c r="X127" s="2">
        <f t="shared" si="54"/>
        <v>624.21659425278483</v>
      </c>
      <c r="Y127" s="724"/>
    </row>
    <row r="128" spans="1:25">
      <c r="A128" s="1" t="s">
        <v>921</v>
      </c>
      <c r="B128" s="76">
        <f>E96</f>
        <v>341.66500000000002</v>
      </c>
      <c r="C128" s="1">
        <v>9.3000000000000007</v>
      </c>
      <c r="D128" s="1">
        <f>1-0.451</f>
        <v>0.54899999999999993</v>
      </c>
      <c r="E128" s="2">
        <f>J35*$B128*$C128*$D128*$B$116*(1-$B$118)*($B$117/$B$119)*$B$120</f>
        <v>247.08867174192346</v>
      </c>
      <c r="F128" s="2">
        <f t="shared" ref="F128:X128" si="55">E128*F$105*$B$29</f>
        <v>266.6168530933154</v>
      </c>
      <c r="G128" s="2">
        <f t="shared" si="55"/>
        <v>287.68840696844313</v>
      </c>
      <c r="H128" s="2">
        <f t="shared" si="55"/>
        <v>310.4253108676258</v>
      </c>
      <c r="I128" s="2">
        <f t="shared" si="55"/>
        <v>334.95918255000237</v>
      </c>
      <c r="J128" s="2">
        <f t="shared" si="55"/>
        <v>361.43204193297913</v>
      </c>
      <c r="K128" s="2">
        <f t="shared" si="55"/>
        <v>389.99713320694531</v>
      </c>
      <c r="L128" s="2">
        <f t="shared" si="55"/>
        <v>420.81981192425536</v>
      </c>
      <c r="M128" s="2">
        <f t="shared" si="55"/>
        <v>454.07850219759496</v>
      </c>
      <c r="N128" s="2">
        <f t="shared" si="55"/>
        <v>489.96572954869225</v>
      </c>
      <c r="O128" s="2">
        <f t="shared" si="55"/>
        <v>528.68923538625472</v>
      </c>
      <c r="P128" s="2">
        <f t="shared" si="55"/>
        <v>570.47317956454128</v>
      </c>
      <c r="Q128" s="2">
        <f t="shared" si="55"/>
        <v>615.5594379838559</v>
      </c>
      <c r="R128" s="2">
        <f t="shared" si="55"/>
        <v>664.20900274441658</v>
      </c>
      <c r="S128" s="2">
        <f t="shared" si="55"/>
        <v>716.70349295871404</v>
      </c>
      <c r="T128" s="2">
        <f t="shared" si="55"/>
        <v>773.34678496803826</v>
      </c>
      <c r="U128" s="2">
        <f t="shared" si="55"/>
        <v>834.46677140005647</v>
      </c>
      <c r="V128" s="2">
        <f t="shared" si="55"/>
        <v>900.41725925014737</v>
      </c>
      <c r="W128" s="2">
        <f t="shared" si="55"/>
        <v>971.58001797396946</v>
      </c>
      <c r="X128" s="2">
        <f t="shared" si="55"/>
        <v>1048.3669894471143</v>
      </c>
      <c r="Y128" s="724"/>
    </row>
    <row r="129" spans="1:28">
      <c r="A129" s="1" t="s">
        <v>920</v>
      </c>
      <c r="B129" s="76">
        <f>F96</f>
        <v>288.19</v>
      </c>
      <c r="C129" s="1">
        <v>26.5</v>
      </c>
      <c r="D129" s="1">
        <f>1-0.7</f>
        <v>0.30000000000000004</v>
      </c>
      <c r="E129" s="641">
        <f>J36*$B129*$C129*$D129*$B$116*(1-$B$118)*($B$117/$B$119)*$B$120</f>
        <v>70.745045269022981</v>
      </c>
      <c r="F129" s="641">
        <f t="shared" ref="F129:X129" si="56">E129*F$105*$B$29</f>
        <v>76.336244833076123</v>
      </c>
      <c r="G129" s="641">
        <f t="shared" si="56"/>
        <v>82.369334178190115</v>
      </c>
      <c r="H129" s="641">
        <f t="shared" si="56"/>
        <v>88.879237219415558</v>
      </c>
      <c r="I129" s="641">
        <f t="shared" si="56"/>
        <v>95.903638016741311</v>
      </c>
      <c r="J129" s="641">
        <f t="shared" si="56"/>
        <v>103.48319891787918</v>
      </c>
      <c r="K129" s="641">
        <f t="shared" si="56"/>
        <v>111.66179594154693</v>
      </c>
      <c r="L129" s="641">
        <f t="shared" si="56"/>
        <v>120.48677276381974</v>
      </c>
      <c r="M129" s="641">
        <f t="shared" si="56"/>
        <v>130.0092147778079</v>
      </c>
      <c r="N129" s="641">
        <f t="shared" si="56"/>
        <v>140.28424481311782</v>
      </c>
      <c r="O129" s="641">
        <f t="shared" si="56"/>
        <v>151.37134222693592</v>
      </c>
      <c r="P129" s="641">
        <f t="shared" si="56"/>
        <v>163.33468721386708</v>
      </c>
      <c r="Q129" s="641">
        <f t="shared" si="56"/>
        <v>176.24353232764366</v>
      </c>
      <c r="R129" s="641">
        <f t="shared" si="56"/>
        <v>190.17260336534343</v>
      </c>
      <c r="S129" s="641">
        <f t="shared" si="56"/>
        <v>205.20253193472612</v>
      </c>
      <c r="T129" s="641">
        <f t="shared" si="56"/>
        <v>221.4203222087034</v>
      </c>
      <c r="U129" s="641">
        <f t="shared" si="56"/>
        <v>238.91985456885715</v>
      </c>
      <c r="V129" s="641">
        <f t="shared" si="56"/>
        <v>257.80242905346154</v>
      </c>
      <c r="W129" s="641">
        <f t="shared" si="56"/>
        <v>278.17735175588172</v>
      </c>
      <c r="X129" s="641">
        <f t="shared" si="56"/>
        <v>300.16256756785015</v>
      </c>
      <c r="Y129" s="724"/>
    </row>
    <row r="130" spans="1:28" s="177" customFormat="1">
      <c r="A130" s="177" t="s">
        <v>135</v>
      </c>
      <c r="B130" s="754"/>
      <c r="E130" s="279">
        <f t="shared" ref="E130:X130" si="57">SUM(E126:E129)</f>
        <v>2476.9547640352612</v>
      </c>
      <c r="F130" s="279">
        <f t="shared" si="57"/>
        <v>2514.701575972304</v>
      </c>
      <c r="G130" s="279">
        <f t="shared" si="57"/>
        <v>2555.3526020221716</v>
      </c>
      <c r="H130" s="279">
        <f t="shared" si="57"/>
        <v>2599.1373712016293</v>
      </c>
      <c r="I130" s="279">
        <f t="shared" si="57"/>
        <v>2646.3035529149906</v>
      </c>
      <c r="J130" s="279">
        <f t="shared" si="57"/>
        <v>2697.1183906450128</v>
      </c>
      <c r="K130" s="279">
        <f t="shared" si="57"/>
        <v>2751.8702489528059</v>
      </c>
      <c r="L130" s="279">
        <f t="shared" si="57"/>
        <v>2810.8702827419306</v>
      </c>
      <c r="M130" s="279">
        <f t="shared" si="57"/>
        <v>2874.4542384495958</v>
      </c>
      <c r="N130" s="279">
        <f t="shared" si="57"/>
        <v>2942.9843975915624</v>
      </c>
      <c r="O130" s="279">
        <f t="shared" si="57"/>
        <v>3016.8516739114061</v>
      </c>
      <c r="P130" s="279">
        <f t="shared" si="57"/>
        <v>3096.4778762739707</v>
      </c>
      <c r="Q130" s="279">
        <f t="shared" si="57"/>
        <v>3182.3181504022823</v>
      </c>
      <c r="R130" s="279">
        <f t="shared" si="57"/>
        <v>3274.8636135924785</v>
      </c>
      <c r="S130" s="279">
        <f t="shared" si="57"/>
        <v>3374.6441976584001</v>
      </c>
      <c r="T130" s="279">
        <f t="shared" si="57"/>
        <v>3482.2317165628824</v>
      </c>
      <c r="U130" s="279">
        <f t="shared" si="57"/>
        <v>3598.2431764934258</v>
      </c>
      <c r="V130" s="279">
        <f t="shared" si="57"/>
        <v>3723.3443475433751</v>
      </c>
      <c r="W130" s="279">
        <f t="shared" si="57"/>
        <v>3858.2536176741069</v>
      </c>
      <c r="X130" s="279">
        <f t="shared" si="57"/>
        <v>4003.7461512677496</v>
      </c>
      <c r="Y130" s="746"/>
    </row>
    <row r="131" spans="1:28">
      <c r="B131" s="76"/>
      <c r="E131" s="2"/>
      <c r="F131" s="2"/>
      <c r="G131" s="2"/>
      <c r="H131" s="2"/>
      <c r="I131" s="2"/>
      <c r="J131" s="2"/>
      <c r="K131" s="2"/>
      <c r="L131" s="2"/>
      <c r="M131" s="2"/>
      <c r="N131" s="2"/>
      <c r="O131" s="2"/>
      <c r="P131" s="2"/>
      <c r="Q131" s="2"/>
      <c r="R131" s="2"/>
      <c r="S131" s="2"/>
      <c r="T131" s="2"/>
      <c r="U131" s="2"/>
      <c r="V131" s="2"/>
      <c r="W131" s="2"/>
      <c r="X131" s="2"/>
      <c r="Y131" s="724"/>
    </row>
    <row r="132" spans="1:28">
      <c r="A132" s="127"/>
      <c r="B132" s="127"/>
      <c r="C132" s="127"/>
      <c r="D132" s="127"/>
      <c r="E132" s="127" t="s">
        <v>935</v>
      </c>
      <c r="F132" s="127"/>
      <c r="G132" s="127"/>
      <c r="H132" s="127"/>
      <c r="I132" s="127"/>
      <c r="J132" s="127"/>
      <c r="K132" s="127"/>
      <c r="L132" s="127"/>
      <c r="M132" s="127"/>
      <c r="N132" s="127"/>
      <c r="O132" s="127"/>
      <c r="P132" s="127"/>
      <c r="Q132" s="127"/>
      <c r="R132" s="127"/>
      <c r="S132" s="127"/>
      <c r="T132" s="127"/>
      <c r="U132" s="127"/>
      <c r="V132" s="127"/>
      <c r="W132" s="127"/>
      <c r="X132" s="127"/>
      <c r="Z132" s="724" t="s">
        <v>934</v>
      </c>
    </row>
    <row r="133" spans="1:28">
      <c r="A133" s="1" t="s">
        <v>923</v>
      </c>
      <c r="E133" s="753">
        <v>2012</v>
      </c>
      <c r="F133" s="753">
        <v>2013</v>
      </c>
      <c r="G133" s="753">
        <v>2014</v>
      </c>
      <c r="H133" s="753">
        <v>2015</v>
      </c>
      <c r="I133" s="753">
        <v>2016</v>
      </c>
      <c r="J133" s="753">
        <v>2017</v>
      </c>
      <c r="K133" s="753">
        <v>2018</v>
      </c>
      <c r="L133" s="753">
        <v>2019</v>
      </c>
      <c r="M133" s="753">
        <v>2020</v>
      </c>
      <c r="N133" s="753">
        <v>2021</v>
      </c>
      <c r="O133" s="753">
        <v>2022</v>
      </c>
      <c r="P133" s="753">
        <v>2023</v>
      </c>
      <c r="Q133" s="753">
        <v>2024</v>
      </c>
      <c r="R133" s="753">
        <v>2025</v>
      </c>
      <c r="S133" s="753">
        <v>2026</v>
      </c>
      <c r="T133" s="753">
        <v>2027</v>
      </c>
      <c r="U133" s="753">
        <v>2028</v>
      </c>
      <c r="V133" s="753">
        <v>2029</v>
      </c>
      <c r="W133" s="753">
        <v>2030</v>
      </c>
      <c r="X133" s="753">
        <v>2031</v>
      </c>
      <c r="Y133" s="752"/>
      <c r="Z133" s="714">
        <f>SUM(X134:X136)</f>
        <v>117279.86449351317</v>
      </c>
      <c r="AA133" s="1" t="s">
        <v>933</v>
      </c>
    </row>
    <row r="134" spans="1:28">
      <c r="A134" s="1" t="s">
        <v>922</v>
      </c>
      <c r="B134" s="76"/>
      <c r="E134" s="2">
        <f>J34*$B$116*(1-$B$118)</f>
        <v>45759.036202726522</v>
      </c>
      <c r="F134" s="2">
        <f t="shared" ref="F134:O136" si="58">K34*$B$116*(1-$B$118)*$B$29</f>
        <v>47981.827145310162</v>
      </c>
      <c r="G134" s="2">
        <f t="shared" si="58"/>
        <v>49133.390996797607</v>
      </c>
      <c r="H134" s="2">
        <f t="shared" si="58"/>
        <v>50312.592380720758</v>
      </c>
      <c r="I134" s="2">
        <f t="shared" si="58"/>
        <v>51520.094597858057</v>
      </c>
      <c r="J134" s="2">
        <f t="shared" si="58"/>
        <v>52756.576868206648</v>
      </c>
      <c r="K134" s="2">
        <f t="shared" si="58"/>
        <v>54022.734713043617</v>
      </c>
      <c r="L134" s="2">
        <f t="shared" si="58"/>
        <v>55319.280346156658</v>
      </c>
      <c r="M134" s="2">
        <f t="shared" si="58"/>
        <v>56646.94307446442</v>
      </c>
      <c r="N134" s="2">
        <f t="shared" si="58"/>
        <v>58006.469708251578</v>
      </c>
      <c r="O134" s="2">
        <f t="shared" si="58"/>
        <v>59398.62498124961</v>
      </c>
      <c r="P134" s="2">
        <f t="shared" ref="P134:X136" si="59">U34*$B$116*(1-$B$118)*$B$29</f>
        <v>60824.191980799602</v>
      </c>
      <c r="Q134" s="2">
        <f t="shared" si="59"/>
        <v>62283.972588338802</v>
      </c>
      <c r="R134" s="2">
        <f t="shared" si="59"/>
        <v>63778.78793045893</v>
      </c>
      <c r="S134" s="2">
        <f t="shared" si="59"/>
        <v>65309.478840789947</v>
      </c>
      <c r="T134" s="2">
        <f t="shared" si="59"/>
        <v>66876.906332968909</v>
      </c>
      <c r="U134" s="2">
        <f t="shared" si="59"/>
        <v>68481.952084960169</v>
      </c>
      <c r="V134" s="2">
        <f t="shared" si="59"/>
        <v>70125.5189349992</v>
      </c>
      <c r="W134" s="2">
        <f t="shared" si="59"/>
        <v>71808.531389439187</v>
      </c>
      <c r="X134" s="2">
        <f t="shared" si="59"/>
        <v>73531.936142785737</v>
      </c>
      <c r="Y134" s="724"/>
      <c r="Z134" s="12">
        <v>4</v>
      </c>
      <c r="AA134" s="1" t="s">
        <v>1279</v>
      </c>
    </row>
    <row r="135" spans="1:28">
      <c r="A135" s="1" t="s">
        <v>921</v>
      </c>
      <c r="B135" s="76"/>
      <c r="E135" s="2">
        <f>J35*$B$116*(1-$B$118)</f>
        <v>22351.759015607167</v>
      </c>
      <c r="F135" s="2">
        <f t="shared" si="58"/>
        <v>23437.518061549301</v>
      </c>
      <c r="G135" s="2">
        <f t="shared" si="58"/>
        <v>24000.018495026485</v>
      </c>
      <c r="H135" s="2">
        <f t="shared" si="58"/>
        <v>24576.01893890712</v>
      </c>
      <c r="I135" s="2">
        <f t="shared" si="58"/>
        <v>25165.843393440893</v>
      </c>
      <c r="J135" s="2">
        <f t="shared" si="58"/>
        <v>25769.823634883473</v>
      </c>
      <c r="K135" s="2">
        <f t="shared" si="58"/>
        <v>26388.299402120672</v>
      </c>
      <c r="L135" s="2">
        <f t="shared" si="58"/>
        <v>27021.618587771576</v>
      </c>
      <c r="M135" s="2">
        <f t="shared" si="58"/>
        <v>27670.137433878092</v>
      </c>
      <c r="N135" s="2">
        <f t="shared" si="58"/>
        <v>28334.220732291167</v>
      </c>
      <c r="O135" s="2">
        <f t="shared" si="58"/>
        <v>29014.242029866153</v>
      </c>
      <c r="P135" s="2">
        <f t="shared" si="59"/>
        <v>29710.583838582945</v>
      </c>
      <c r="Q135" s="2">
        <f t="shared" si="59"/>
        <v>30423.637850708936</v>
      </c>
      <c r="R135" s="2">
        <f t="shared" si="59"/>
        <v>31153.80515912595</v>
      </c>
      <c r="S135" s="2">
        <f t="shared" si="59"/>
        <v>31901.496482944978</v>
      </c>
      <c r="T135" s="2">
        <f t="shared" si="59"/>
        <v>32667.132398535654</v>
      </c>
      <c r="U135" s="2">
        <f t="shared" si="59"/>
        <v>33451.143576100512</v>
      </c>
      <c r="V135" s="2">
        <f t="shared" si="59"/>
        <v>34253.971021926925</v>
      </c>
      <c r="W135" s="2">
        <f t="shared" si="59"/>
        <v>35076.066326453176</v>
      </c>
      <c r="X135" s="2">
        <f t="shared" si="59"/>
        <v>35917.891918288042</v>
      </c>
      <c r="Y135" s="724"/>
      <c r="Z135" s="308">
        <f>AA136*2*AA137</f>
        <v>80</v>
      </c>
      <c r="AA135" s="1" t="s">
        <v>932</v>
      </c>
    </row>
    <row r="136" spans="1:28">
      <c r="A136" s="1" t="s">
        <v>920</v>
      </c>
      <c r="B136" s="76"/>
      <c r="E136" s="2">
        <f>J36*$B$116*(1-$B$118)</f>
        <v>4872.6436345279653</v>
      </c>
      <c r="F136" s="2">
        <f t="shared" si="58"/>
        <v>5109.3371717187965</v>
      </c>
      <c r="G136" s="2">
        <f t="shared" si="58"/>
        <v>5231.9612638400476</v>
      </c>
      <c r="H136" s="2">
        <f t="shared" si="58"/>
        <v>5357.5283341722088</v>
      </c>
      <c r="I136" s="2">
        <f t="shared" si="58"/>
        <v>5486.1090141923432</v>
      </c>
      <c r="J136" s="2">
        <f t="shared" si="58"/>
        <v>5617.7756305329594</v>
      </c>
      <c r="K136" s="2">
        <f t="shared" si="58"/>
        <v>5752.6022456657502</v>
      </c>
      <c r="L136" s="2">
        <f t="shared" si="58"/>
        <v>5890.6646995617284</v>
      </c>
      <c r="M136" s="2">
        <f t="shared" si="58"/>
        <v>6032.0406523512102</v>
      </c>
      <c r="N136" s="2">
        <f t="shared" si="58"/>
        <v>6176.8096280076388</v>
      </c>
      <c r="O136" s="2">
        <f t="shared" si="58"/>
        <v>6325.0530590798217</v>
      </c>
      <c r="P136" s="2">
        <f t="shared" si="59"/>
        <v>6476.8543324977363</v>
      </c>
      <c r="Q136" s="2">
        <f t="shared" si="59"/>
        <v>6632.2988364776838</v>
      </c>
      <c r="R136" s="2">
        <f t="shared" si="59"/>
        <v>6791.4740085531475</v>
      </c>
      <c r="S136" s="2">
        <f t="shared" si="59"/>
        <v>6954.469384758424</v>
      </c>
      <c r="T136" s="2">
        <f t="shared" si="59"/>
        <v>7121.3766499926251</v>
      </c>
      <c r="U136" s="2">
        <f t="shared" si="59"/>
        <v>7292.2896895924496</v>
      </c>
      <c r="V136" s="2">
        <f t="shared" si="59"/>
        <v>7467.3046421426679</v>
      </c>
      <c r="W136" s="2">
        <f t="shared" si="59"/>
        <v>7646.5199535540924</v>
      </c>
      <c r="X136" s="2">
        <f t="shared" si="59"/>
        <v>7830.0364324393904</v>
      </c>
      <c r="Y136" s="724"/>
      <c r="AA136" s="12">
        <v>2</v>
      </c>
      <c r="AB136" s="1" t="s">
        <v>931</v>
      </c>
    </row>
    <row r="137" spans="1:28">
      <c r="E137" s="2">
        <f>SUM(E134:E136)</f>
        <v>72983.438852861655</v>
      </c>
      <c r="F137" s="2">
        <f>SUM(F134:F136)-SUM(F134:F136)*K26</f>
        <v>76528.682378578262</v>
      </c>
      <c r="G137" s="2">
        <f t="shared" ref="G137:K137" si="60">SUM(G134:G136)-SUM(G134:G136)*L26</f>
        <v>74447.102217880922</v>
      </c>
      <c r="H137" s="2">
        <f t="shared" si="60"/>
        <v>60184.604740350063</v>
      </c>
      <c r="I137" s="2">
        <f t="shared" si="60"/>
        <v>32868.818802196525</v>
      </c>
      <c r="J137" s="2">
        <f t="shared" si="60"/>
        <v>4207.2088066811557</v>
      </c>
      <c r="K137" s="2">
        <f t="shared" si="60"/>
        <v>0</v>
      </c>
      <c r="Y137" s="205"/>
      <c r="AA137" s="12">
        <v>20</v>
      </c>
      <c r="AB137" s="1" t="s">
        <v>1280</v>
      </c>
    </row>
    <row r="138" spans="1:28" ht="15.75" thickBot="1">
      <c r="A138" s="127"/>
      <c r="B138" s="127"/>
      <c r="C138" s="127"/>
      <c r="D138" s="127"/>
      <c r="E138" s="127" t="s">
        <v>929</v>
      </c>
      <c r="F138" s="127"/>
      <c r="G138" s="127"/>
      <c r="H138" s="127"/>
      <c r="I138" s="127"/>
      <c r="J138" s="127"/>
      <c r="K138" s="127"/>
      <c r="L138" s="127"/>
      <c r="M138" s="127"/>
      <c r="N138" s="127"/>
      <c r="O138" s="127"/>
      <c r="P138" s="127"/>
      <c r="Q138" s="127"/>
      <c r="R138" s="127"/>
      <c r="S138" s="127"/>
      <c r="T138" s="127"/>
      <c r="U138" s="127"/>
      <c r="V138" s="127"/>
      <c r="W138" s="127"/>
      <c r="X138" s="127"/>
      <c r="Y138" s="205"/>
      <c r="Z138" s="714">
        <f>Z133*Z134/Z135</f>
        <v>5863.9932246756589</v>
      </c>
      <c r="AA138" s="1" t="s">
        <v>928</v>
      </c>
    </row>
    <row r="139" spans="1:28" ht="30.75" thickBot="1">
      <c r="A139" s="1" t="s">
        <v>923</v>
      </c>
      <c r="B139" s="189"/>
      <c r="C139" s="189" t="s">
        <v>927</v>
      </c>
      <c r="D139" s="189" t="s">
        <v>926</v>
      </c>
      <c r="E139" s="753">
        <v>2012</v>
      </c>
      <c r="F139" s="753">
        <v>2013</v>
      </c>
      <c r="G139" s="753">
        <v>2014</v>
      </c>
      <c r="H139" s="753">
        <v>2015</v>
      </c>
      <c r="I139" s="753">
        <v>2016</v>
      </c>
      <c r="J139" s="753">
        <v>2017</v>
      </c>
      <c r="K139" s="753">
        <v>2018</v>
      </c>
      <c r="L139" s="753">
        <v>2019</v>
      </c>
      <c r="M139" s="753">
        <v>2020</v>
      </c>
      <c r="N139" s="753">
        <v>2021</v>
      </c>
      <c r="O139" s="753">
        <v>2022</v>
      </c>
      <c r="P139" s="753">
        <v>2023</v>
      </c>
      <c r="Q139" s="753">
        <v>2024</v>
      </c>
      <c r="R139" s="753">
        <v>2025</v>
      </c>
      <c r="S139" s="753">
        <v>2026</v>
      </c>
      <c r="T139" s="753">
        <v>2027</v>
      </c>
      <c r="U139" s="753">
        <v>2028</v>
      </c>
      <c r="V139" s="753">
        <v>2029</v>
      </c>
      <c r="W139" s="753">
        <v>2030</v>
      </c>
      <c r="X139" s="753">
        <v>2031</v>
      </c>
      <c r="Y139" s="752"/>
      <c r="Z139" s="751">
        <f>Z138*B116</f>
        <v>451.07640189812764</v>
      </c>
      <c r="AA139" s="289" t="s">
        <v>925</v>
      </c>
    </row>
    <row r="140" spans="1:28">
      <c r="A140" s="1" t="s">
        <v>922</v>
      </c>
      <c r="B140" s="76"/>
      <c r="C140" s="1">
        <v>2</v>
      </c>
      <c r="D140" s="1">
        <f>1-0.564</f>
        <v>0.43600000000000005</v>
      </c>
      <c r="E140" s="750">
        <f t="shared" ref="E140:N142" si="61">$B$111*$C140*$D140*$B$113*$B$117</f>
        <v>0.26683200000000001</v>
      </c>
      <c r="F140" s="750">
        <f t="shared" si="61"/>
        <v>0.26683200000000001</v>
      </c>
      <c r="G140" s="750">
        <f t="shared" si="61"/>
        <v>0.26683200000000001</v>
      </c>
      <c r="H140" s="750">
        <f t="shared" si="61"/>
        <v>0.26683200000000001</v>
      </c>
      <c r="I140" s="750">
        <f t="shared" si="61"/>
        <v>0.26683200000000001</v>
      </c>
      <c r="J140" s="750">
        <f t="shared" si="61"/>
        <v>0.26683200000000001</v>
      </c>
      <c r="K140" s="750">
        <f t="shared" si="61"/>
        <v>0.26683200000000001</v>
      </c>
      <c r="L140" s="750">
        <f t="shared" si="61"/>
        <v>0.26683200000000001</v>
      </c>
      <c r="M140" s="750">
        <f t="shared" si="61"/>
        <v>0.26683200000000001</v>
      </c>
      <c r="N140" s="750">
        <f t="shared" si="61"/>
        <v>0.26683200000000001</v>
      </c>
      <c r="O140" s="750">
        <f t="shared" ref="O140:X142" si="62">$B$111*$C140*$D140*$B$113*$B$117</f>
        <v>0.26683200000000001</v>
      </c>
      <c r="P140" s="750">
        <f t="shared" si="62"/>
        <v>0.26683200000000001</v>
      </c>
      <c r="Q140" s="750">
        <f t="shared" si="62"/>
        <v>0.26683200000000001</v>
      </c>
      <c r="R140" s="750">
        <f t="shared" si="62"/>
        <v>0.26683200000000001</v>
      </c>
      <c r="S140" s="750">
        <f t="shared" si="62"/>
        <v>0.26683200000000001</v>
      </c>
      <c r="T140" s="750">
        <f t="shared" si="62"/>
        <v>0.26683200000000001</v>
      </c>
      <c r="U140" s="750">
        <f t="shared" si="62"/>
        <v>0.26683200000000001</v>
      </c>
      <c r="V140" s="750">
        <f t="shared" si="62"/>
        <v>0.26683200000000001</v>
      </c>
      <c r="W140" s="750">
        <f t="shared" si="62"/>
        <v>0.26683200000000001</v>
      </c>
      <c r="X140" s="750">
        <f t="shared" si="62"/>
        <v>0.26683200000000001</v>
      </c>
      <c r="Y140" s="749"/>
    </row>
    <row r="141" spans="1:28">
      <c r="A141" s="1" t="s">
        <v>921</v>
      </c>
      <c r="B141" s="76"/>
      <c r="C141" s="1">
        <v>9.3000000000000007</v>
      </c>
      <c r="D141" s="1">
        <f>1-0.451</f>
        <v>0.54899999999999993</v>
      </c>
      <c r="E141" s="750">
        <f t="shared" si="61"/>
        <v>1.5623441999999998</v>
      </c>
      <c r="F141" s="750">
        <f t="shared" si="61"/>
        <v>1.5623441999999998</v>
      </c>
      <c r="G141" s="750">
        <f t="shared" si="61"/>
        <v>1.5623441999999998</v>
      </c>
      <c r="H141" s="750">
        <f t="shared" si="61"/>
        <v>1.5623441999999998</v>
      </c>
      <c r="I141" s="750">
        <f t="shared" si="61"/>
        <v>1.5623441999999998</v>
      </c>
      <c r="J141" s="750">
        <f t="shared" si="61"/>
        <v>1.5623441999999998</v>
      </c>
      <c r="K141" s="750">
        <f t="shared" si="61"/>
        <v>1.5623441999999998</v>
      </c>
      <c r="L141" s="750">
        <f t="shared" si="61"/>
        <v>1.5623441999999998</v>
      </c>
      <c r="M141" s="750">
        <f t="shared" si="61"/>
        <v>1.5623441999999998</v>
      </c>
      <c r="N141" s="750">
        <f t="shared" si="61"/>
        <v>1.5623441999999998</v>
      </c>
      <c r="O141" s="750">
        <f t="shared" si="62"/>
        <v>1.5623441999999998</v>
      </c>
      <c r="P141" s="750">
        <f t="shared" si="62"/>
        <v>1.5623441999999998</v>
      </c>
      <c r="Q141" s="750">
        <f t="shared" si="62"/>
        <v>1.5623441999999998</v>
      </c>
      <c r="R141" s="750">
        <f t="shared" si="62"/>
        <v>1.5623441999999998</v>
      </c>
      <c r="S141" s="750">
        <f t="shared" si="62"/>
        <v>1.5623441999999998</v>
      </c>
      <c r="T141" s="750">
        <f t="shared" si="62"/>
        <v>1.5623441999999998</v>
      </c>
      <c r="U141" s="750">
        <f t="shared" si="62"/>
        <v>1.5623441999999998</v>
      </c>
      <c r="V141" s="750">
        <f t="shared" si="62"/>
        <v>1.5623441999999998</v>
      </c>
      <c r="W141" s="750">
        <f t="shared" si="62"/>
        <v>1.5623441999999998</v>
      </c>
      <c r="X141" s="750">
        <f t="shared" si="62"/>
        <v>1.5623441999999998</v>
      </c>
      <c r="Y141" s="749"/>
    </row>
    <row r="142" spans="1:28">
      <c r="A142" s="1" t="s">
        <v>920</v>
      </c>
      <c r="B142" s="76"/>
      <c r="C142" s="1">
        <v>26.5</v>
      </c>
      <c r="D142" s="1">
        <f>1-0.7</f>
        <v>0.30000000000000004</v>
      </c>
      <c r="E142" s="750">
        <f t="shared" si="61"/>
        <v>2.4327000000000001</v>
      </c>
      <c r="F142" s="750">
        <f t="shared" si="61"/>
        <v>2.4327000000000001</v>
      </c>
      <c r="G142" s="750">
        <f t="shared" si="61"/>
        <v>2.4327000000000001</v>
      </c>
      <c r="H142" s="750">
        <f t="shared" si="61"/>
        <v>2.4327000000000001</v>
      </c>
      <c r="I142" s="750">
        <f t="shared" si="61"/>
        <v>2.4327000000000001</v>
      </c>
      <c r="J142" s="750">
        <f t="shared" si="61"/>
        <v>2.4327000000000001</v>
      </c>
      <c r="K142" s="750">
        <f t="shared" si="61"/>
        <v>2.4327000000000001</v>
      </c>
      <c r="L142" s="750">
        <f t="shared" si="61"/>
        <v>2.4327000000000001</v>
      </c>
      <c r="M142" s="750">
        <f t="shared" si="61"/>
        <v>2.4327000000000001</v>
      </c>
      <c r="N142" s="750">
        <f t="shared" si="61"/>
        <v>2.4327000000000001</v>
      </c>
      <c r="O142" s="750">
        <f t="shared" si="62"/>
        <v>2.4327000000000001</v>
      </c>
      <c r="P142" s="750">
        <f t="shared" si="62"/>
        <v>2.4327000000000001</v>
      </c>
      <c r="Q142" s="750">
        <f t="shared" si="62"/>
        <v>2.4327000000000001</v>
      </c>
      <c r="R142" s="750">
        <f t="shared" si="62"/>
        <v>2.4327000000000001</v>
      </c>
      <c r="S142" s="750">
        <f t="shared" si="62"/>
        <v>2.4327000000000001</v>
      </c>
      <c r="T142" s="750">
        <f t="shared" si="62"/>
        <v>2.4327000000000001</v>
      </c>
      <c r="U142" s="750">
        <f t="shared" si="62"/>
        <v>2.4327000000000001</v>
      </c>
      <c r="V142" s="750">
        <f t="shared" si="62"/>
        <v>2.4327000000000001</v>
      </c>
      <c r="W142" s="750">
        <f t="shared" si="62"/>
        <v>2.4327000000000001</v>
      </c>
      <c r="X142" s="750">
        <f t="shared" si="62"/>
        <v>2.4327000000000001</v>
      </c>
      <c r="Y142" s="749"/>
    </row>
    <row r="143" spans="1:28">
      <c r="Y143" s="205"/>
    </row>
    <row r="144" spans="1:28" s="7" customFormat="1">
      <c r="A144" s="127"/>
      <c r="B144" s="127"/>
      <c r="C144" s="127"/>
      <c r="D144" s="127" t="s">
        <v>924</v>
      </c>
      <c r="E144" s="127"/>
      <c r="F144" s="127"/>
      <c r="G144" s="127"/>
      <c r="H144" s="127"/>
      <c r="I144" s="127"/>
      <c r="J144" s="127"/>
      <c r="K144" s="127"/>
      <c r="L144" s="127"/>
      <c r="M144" s="127"/>
      <c r="N144" s="127"/>
      <c r="O144" s="127"/>
      <c r="P144" s="127"/>
      <c r="Q144" s="127"/>
      <c r="R144" s="127"/>
      <c r="S144" s="127"/>
      <c r="T144" s="127"/>
      <c r="U144" s="127"/>
      <c r="V144" s="127"/>
      <c r="W144" s="127"/>
      <c r="X144" s="127"/>
      <c r="Y144" s="205"/>
    </row>
    <row r="145" spans="1:25" s="7" customFormat="1">
      <c r="A145" s="1" t="s">
        <v>923</v>
      </c>
      <c r="Y145" s="205"/>
    </row>
    <row r="146" spans="1:25" s="7" customFormat="1">
      <c r="A146" s="1" t="s">
        <v>922</v>
      </c>
      <c r="B146" s="744"/>
      <c r="E146" s="743">
        <f t="shared" ref="E146:X146" si="63">E134*E140</f>
        <v>12209.975148045924</v>
      </c>
      <c r="F146" s="743">
        <f t="shared" si="63"/>
        <v>12803.086900837401</v>
      </c>
      <c r="G146" s="743">
        <f t="shared" si="63"/>
        <v>13110.360986457499</v>
      </c>
      <c r="H146" s="743">
        <f t="shared" si="63"/>
        <v>13425.009650132482</v>
      </c>
      <c r="I146" s="743">
        <f t="shared" si="63"/>
        <v>13747.209881735662</v>
      </c>
      <c r="J146" s="743">
        <f t="shared" si="63"/>
        <v>14077.142918897318</v>
      </c>
      <c r="K146" s="743">
        <f t="shared" si="63"/>
        <v>14414.994348950855</v>
      </c>
      <c r="L146" s="743">
        <f t="shared" si="63"/>
        <v>14760.954213325675</v>
      </c>
      <c r="M146" s="743">
        <f t="shared" si="63"/>
        <v>15115.217114445491</v>
      </c>
      <c r="N146" s="743">
        <f t="shared" si="63"/>
        <v>15477.982325192186</v>
      </c>
      <c r="O146" s="743">
        <f t="shared" si="63"/>
        <v>15849.453900996798</v>
      </c>
      <c r="P146" s="743">
        <f t="shared" si="63"/>
        <v>16229.840794620721</v>
      </c>
      <c r="Q146" s="743">
        <f t="shared" si="63"/>
        <v>16619.356973691622</v>
      </c>
      <c r="R146" s="743">
        <f t="shared" si="63"/>
        <v>17018.221541060218</v>
      </c>
      <c r="S146" s="743">
        <f t="shared" si="63"/>
        <v>17426.658858045663</v>
      </c>
      <c r="T146" s="743">
        <f t="shared" si="63"/>
        <v>17844.898670638762</v>
      </c>
      <c r="U146" s="743">
        <f t="shared" si="63"/>
        <v>18273.176238734093</v>
      </c>
      <c r="V146" s="743">
        <f t="shared" si="63"/>
        <v>18711.732468463706</v>
      </c>
      <c r="W146" s="743">
        <f t="shared" si="63"/>
        <v>19160.814047706837</v>
      </c>
      <c r="X146" s="743">
        <f t="shared" si="63"/>
        <v>19620.673584851804</v>
      </c>
      <c r="Y146" s="724"/>
    </row>
    <row r="147" spans="1:25" s="7" customFormat="1">
      <c r="A147" s="1" t="s">
        <v>921</v>
      </c>
      <c r="B147" s="744"/>
      <c r="E147" s="743">
        <f t="shared" ref="E147:X147" si="64">E135*E141</f>
        <v>34921.141057831563</v>
      </c>
      <c r="F147" s="743">
        <f t="shared" si="64"/>
        <v>36617.470405856788</v>
      </c>
      <c r="G147" s="743">
        <f t="shared" si="64"/>
        <v>37496.289695597356</v>
      </c>
      <c r="H147" s="743">
        <f t="shared" si="64"/>
        <v>38396.200648291691</v>
      </c>
      <c r="I147" s="743">
        <f t="shared" si="64"/>
        <v>39317.709463850697</v>
      </c>
      <c r="J147" s="743">
        <f t="shared" si="64"/>
        <v>40261.334490983107</v>
      </c>
      <c r="K147" s="743">
        <f t="shared" si="64"/>
        <v>41227.606518766697</v>
      </c>
      <c r="L147" s="743">
        <f t="shared" si="64"/>
        <v>42217.069075217107</v>
      </c>
      <c r="M147" s="743">
        <f t="shared" si="64"/>
        <v>43230.278733022315</v>
      </c>
      <c r="N147" s="743">
        <f t="shared" si="64"/>
        <v>44267.805422614852</v>
      </c>
      <c r="O147" s="743">
        <f t="shared" si="64"/>
        <v>45330.232752757605</v>
      </c>
      <c r="P147" s="743">
        <f t="shared" si="64"/>
        <v>46418.158338823792</v>
      </c>
      <c r="Q147" s="743">
        <f t="shared" si="64"/>
        <v>47532.194138955565</v>
      </c>
      <c r="R147" s="743">
        <f t="shared" si="64"/>
        <v>48672.966798290501</v>
      </c>
      <c r="S147" s="743">
        <f t="shared" si="64"/>
        <v>49841.118001449482</v>
      </c>
      <c r="T147" s="743">
        <f t="shared" si="64"/>
        <v>51037.304833484261</v>
      </c>
      <c r="U147" s="743">
        <f t="shared" si="64"/>
        <v>52262.200149487886</v>
      </c>
      <c r="V147" s="743">
        <f t="shared" si="64"/>
        <v>53516.492953075598</v>
      </c>
      <c r="W147" s="743">
        <f t="shared" si="64"/>
        <v>54800.88878394942</v>
      </c>
      <c r="X147" s="743">
        <f t="shared" si="64"/>
        <v>56116.110114764189</v>
      </c>
      <c r="Y147" s="724"/>
    </row>
    <row r="148" spans="1:25" s="7" customFormat="1">
      <c r="A148" s="1" t="s">
        <v>920</v>
      </c>
      <c r="B148" s="744"/>
      <c r="E148" s="748">
        <f t="shared" ref="E148:X148" si="65">E136*E142</f>
        <v>11853.680169716181</v>
      </c>
      <c r="F148" s="748">
        <f>F136*F142</f>
        <v>12429.484537640317</v>
      </c>
      <c r="G148" s="748">
        <f t="shared" si="65"/>
        <v>12727.792166543684</v>
      </c>
      <c r="H148" s="748">
        <f t="shared" si="65"/>
        <v>13033.259178540733</v>
      </c>
      <c r="I148" s="748">
        <f t="shared" si="65"/>
        <v>13346.057398825715</v>
      </c>
      <c r="J148" s="748">
        <f t="shared" si="65"/>
        <v>13666.362776397531</v>
      </c>
      <c r="K148" s="748">
        <f t="shared" si="65"/>
        <v>13994.355483031071</v>
      </c>
      <c r="L148" s="748">
        <f t="shared" si="65"/>
        <v>14330.220014623817</v>
      </c>
      <c r="M148" s="748">
        <f t="shared" si="65"/>
        <v>14674.145294974789</v>
      </c>
      <c r="N148" s="748">
        <f t="shared" si="65"/>
        <v>15026.324782054184</v>
      </c>
      <c r="O148" s="748">
        <f t="shared" si="65"/>
        <v>15386.956576823482</v>
      </c>
      <c r="P148" s="748">
        <f t="shared" si="65"/>
        <v>15756.243534667245</v>
      </c>
      <c r="Q148" s="748">
        <f t="shared" si="65"/>
        <v>16134.393379499263</v>
      </c>
      <c r="R148" s="748">
        <f t="shared" si="65"/>
        <v>16521.618820607244</v>
      </c>
      <c r="S148" s="748">
        <f t="shared" si="65"/>
        <v>16918.137672301818</v>
      </c>
      <c r="T148" s="748">
        <f t="shared" si="65"/>
        <v>17324.172976437061</v>
      </c>
      <c r="U148" s="748">
        <f t="shared" si="65"/>
        <v>17739.953127871551</v>
      </c>
      <c r="V148" s="748">
        <f t="shared" si="65"/>
        <v>18165.712002940469</v>
      </c>
      <c r="W148" s="748">
        <f t="shared" si="65"/>
        <v>18601.689091011041</v>
      </c>
      <c r="X148" s="748">
        <f t="shared" si="65"/>
        <v>19048.129629195304</v>
      </c>
      <c r="Y148" s="724"/>
    </row>
    <row r="149" spans="1:25" s="742" customFormat="1">
      <c r="A149" s="742" t="s">
        <v>135</v>
      </c>
      <c r="E149" s="747">
        <f t="shared" ref="E149:X149" si="66">SUM(E146:E148)</f>
        <v>58984.796375593665</v>
      </c>
      <c r="F149" s="747">
        <f t="shared" si="66"/>
        <v>61850.041844334504</v>
      </c>
      <c r="G149" s="747">
        <f t="shared" si="66"/>
        <v>63334.442848598541</v>
      </c>
      <c r="H149" s="747">
        <f t="shared" si="66"/>
        <v>64854.469476964907</v>
      </c>
      <c r="I149" s="747">
        <f t="shared" si="66"/>
        <v>66410.976744412066</v>
      </c>
      <c r="J149" s="747">
        <f t="shared" si="66"/>
        <v>68004.840186277957</v>
      </c>
      <c r="K149" s="747">
        <f t="shared" si="66"/>
        <v>69636.956350748631</v>
      </c>
      <c r="L149" s="747">
        <f t="shared" si="66"/>
        <v>71308.243303166601</v>
      </c>
      <c r="M149" s="747">
        <f t="shared" si="66"/>
        <v>73019.64114244259</v>
      </c>
      <c r="N149" s="747">
        <f t="shared" si="66"/>
        <v>74772.112529861217</v>
      </c>
      <c r="O149" s="747">
        <f t="shared" si="66"/>
        <v>76566.643230577887</v>
      </c>
      <c r="P149" s="747">
        <f t="shared" si="66"/>
        <v>78404.242668111765</v>
      </c>
      <c r="Q149" s="747">
        <f t="shared" si="66"/>
        <v>80285.944492146446</v>
      </c>
      <c r="R149" s="747">
        <f t="shared" si="66"/>
        <v>82212.807159957956</v>
      </c>
      <c r="S149" s="747">
        <f t="shared" si="66"/>
        <v>84185.914531796967</v>
      </c>
      <c r="T149" s="747">
        <f t="shared" si="66"/>
        <v>86206.37648056008</v>
      </c>
      <c r="U149" s="747">
        <f t="shared" si="66"/>
        <v>88275.329516093538</v>
      </c>
      <c r="V149" s="747">
        <f t="shared" si="66"/>
        <v>90393.93742447978</v>
      </c>
      <c r="W149" s="747">
        <f t="shared" si="66"/>
        <v>92563.391922667302</v>
      </c>
      <c r="X149" s="747">
        <f t="shared" si="66"/>
        <v>94784.913328811293</v>
      </c>
      <c r="Y149" s="746"/>
    </row>
    <row r="150" spans="1:25" s="7" customFormat="1">
      <c r="Y150" s="205"/>
    </row>
    <row r="151" spans="1:25" s="7" customFormat="1"/>
    <row r="152" spans="1:25" s="7" customFormat="1"/>
    <row r="153" spans="1:25" s="7" customFormat="1">
      <c r="B153" s="744"/>
      <c r="E153" s="745"/>
      <c r="F153" s="743"/>
      <c r="G153" s="743"/>
      <c r="H153" s="743"/>
      <c r="I153" s="743"/>
      <c r="J153" s="743"/>
      <c r="K153" s="743"/>
      <c r="L153" s="743"/>
      <c r="M153" s="743"/>
      <c r="N153" s="743"/>
      <c r="O153" s="743"/>
      <c r="P153" s="743"/>
      <c r="Q153" s="743"/>
      <c r="R153" s="743"/>
      <c r="S153" s="743"/>
      <c r="T153" s="743"/>
      <c r="U153" s="743"/>
      <c r="V153" s="743"/>
      <c r="W153" s="743"/>
      <c r="X153" s="743"/>
      <c r="Y153" s="743"/>
    </row>
    <row r="154" spans="1:25" s="7" customFormat="1">
      <c r="B154" s="744"/>
      <c r="E154" s="745"/>
      <c r="F154" s="743"/>
      <c r="G154" s="743"/>
      <c r="H154" s="743"/>
      <c r="I154" s="743"/>
      <c r="J154" s="743"/>
      <c r="K154" s="743"/>
      <c r="L154" s="743"/>
      <c r="M154" s="743"/>
      <c r="N154" s="743"/>
      <c r="O154" s="743"/>
      <c r="P154" s="743"/>
      <c r="Q154" s="743"/>
      <c r="R154" s="743"/>
      <c r="S154" s="743"/>
      <c r="T154" s="743"/>
      <c r="U154" s="743"/>
      <c r="V154" s="743"/>
      <c r="W154" s="743"/>
      <c r="X154" s="743"/>
      <c r="Y154" s="743"/>
    </row>
    <row r="155" spans="1:25" s="7" customFormat="1">
      <c r="B155" s="744"/>
      <c r="E155" s="745"/>
      <c r="F155" s="743"/>
      <c r="G155" s="743"/>
      <c r="H155" s="743"/>
      <c r="I155" s="743"/>
      <c r="J155" s="743"/>
      <c r="K155" s="743"/>
      <c r="L155" s="743"/>
      <c r="M155" s="743"/>
      <c r="N155" s="743"/>
      <c r="O155" s="743"/>
      <c r="P155" s="743"/>
      <c r="Q155" s="743"/>
      <c r="R155" s="743"/>
      <c r="S155" s="743"/>
      <c r="T155" s="743"/>
      <c r="U155" s="743"/>
      <c r="V155" s="743"/>
      <c r="W155" s="743"/>
      <c r="X155" s="743"/>
      <c r="Y155" s="743"/>
    </row>
    <row r="156" spans="1:25" s="7" customFormat="1"/>
    <row r="157" spans="1:25" s="7" customFormat="1"/>
    <row r="158" spans="1:25" s="7" customFormat="1"/>
    <row r="159" spans="1:25" s="7" customFormat="1">
      <c r="B159" s="744"/>
      <c r="E159" s="745"/>
      <c r="F159" s="743"/>
      <c r="G159" s="743"/>
      <c r="H159" s="743"/>
      <c r="I159" s="743"/>
      <c r="J159" s="743"/>
      <c r="K159" s="743"/>
      <c r="L159" s="743"/>
      <c r="M159" s="743"/>
      <c r="N159" s="743"/>
      <c r="O159" s="743"/>
      <c r="P159" s="743"/>
      <c r="Q159" s="743"/>
      <c r="R159" s="743"/>
      <c r="S159" s="743"/>
      <c r="T159" s="743"/>
      <c r="U159" s="743"/>
      <c r="V159" s="743"/>
      <c r="W159" s="743"/>
      <c r="X159" s="743"/>
      <c r="Y159" s="743"/>
    </row>
    <row r="160" spans="1:25" s="7" customFormat="1">
      <c r="B160" s="744"/>
      <c r="E160" s="745"/>
      <c r="F160" s="743"/>
      <c r="G160" s="743"/>
      <c r="H160" s="743"/>
      <c r="I160" s="743"/>
      <c r="J160" s="743"/>
      <c r="K160" s="743"/>
      <c r="L160" s="743"/>
      <c r="M160" s="743"/>
      <c r="N160" s="743"/>
      <c r="O160" s="743"/>
      <c r="P160" s="743"/>
      <c r="Q160" s="743"/>
      <c r="R160" s="743"/>
      <c r="S160" s="743"/>
      <c r="T160" s="743"/>
      <c r="U160" s="743"/>
      <c r="V160" s="743"/>
      <c r="W160" s="743"/>
      <c r="X160" s="743"/>
      <c r="Y160" s="743"/>
    </row>
    <row r="161" spans="2:25" s="7" customFormat="1">
      <c r="B161" s="744"/>
      <c r="E161" s="745"/>
      <c r="F161" s="743"/>
      <c r="G161" s="743"/>
      <c r="H161" s="743"/>
      <c r="I161" s="743"/>
      <c r="J161" s="743"/>
      <c r="K161" s="743"/>
      <c r="L161" s="743"/>
      <c r="M161" s="743"/>
      <c r="N161" s="743"/>
      <c r="O161" s="743"/>
      <c r="P161" s="743"/>
      <c r="Q161" s="743"/>
      <c r="R161" s="743"/>
      <c r="S161" s="743"/>
      <c r="T161" s="743"/>
      <c r="U161" s="743"/>
      <c r="V161" s="743"/>
      <c r="W161" s="743"/>
      <c r="X161" s="743"/>
      <c r="Y161" s="743"/>
    </row>
    <row r="162" spans="2:25" s="7" customFormat="1"/>
    <row r="163" spans="2:25" s="7" customFormat="1"/>
    <row r="164" spans="2:25" s="7" customFormat="1"/>
    <row r="165" spans="2:25" s="7" customFormat="1">
      <c r="B165" s="744"/>
      <c r="E165" s="743"/>
      <c r="F165" s="743"/>
      <c r="G165" s="743"/>
      <c r="H165" s="743"/>
      <c r="I165" s="743"/>
      <c r="J165" s="743"/>
      <c r="K165" s="743"/>
      <c r="L165" s="743"/>
      <c r="M165" s="743"/>
      <c r="N165" s="743"/>
      <c r="O165" s="743"/>
      <c r="P165" s="743"/>
      <c r="Q165" s="743"/>
      <c r="R165" s="743"/>
      <c r="S165" s="743"/>
      <c r="T165" s="743"/>
      <c r="U165" s="743"/>
      <c r="V165" s="743"/>
      <c r="W165" s="743"/>
      <c r="X165" s="743"/>
      <c r="Y165" s="743"/>
    </row>
    <row r="166" spans="2:25" s="7" customFormat="1">
      <c r="B166" s="744"/>
      <c r="E166" s="743"/>
      <c r="F166" s="743"/>
      <c r="G166" s="743"/>
      <c r="H166" s="743"/>
      <c r="I166" s="743"/>
      <c r="J166" s="743"/>
      <c r="K166" s="743"/>
      <c r="L166" s="743"/>
      <c r="M166" s="743"/>
      <c r="N166" s="743"/>
      <c r="O166" s="743"/>
      <c r="P166" s="743"/>
      <c r="Q166" s="743"/>
      <c r="R166" s="743"/>
      <c r="S166" s="743"/>
      <c r="T166" s="743"/>
      <c r="U166" s="743"/>
      <c r="V166" s="743"/>
      <c r="W166" s="743"/>
      <c r="X166" s="743"/>
      <c r="Y166" s="743"/>
    </row>
    <row r="167" spans="2:25" s="7" customFormat="1">
      <c r="B167" s="744"/>
      <c r="E167" s="743"/>
      <c r="F167" s="743"/>
      <c r="G167" s="743"/>
      <c r="H167" s="743"/>
      <c r="I167" s="743"/>
      <c r="J167" s="743"/>
      <c r="K167" s="743"/>
      <c r="L167" s="743"/>
      <c r="M167" s="743"/>
      <c r="N167" s="743"/>
      <c r="O167" s="743"/>
      <c r="P167" s="743"/>
      <c r="Q167" s="743"/>
      <c r="R167" s="743"/>
      <c r="S167" s="743"/>
      <c r="T167" s="743"/>
      <c r="U167" s="743"/>
      <c r="V167" s="743"/>
      <c r="W167" s="743"/>
      <c r="X167" s="743"/>
      <c r="Y167" s="743"/>
    </row>
    <row r="168" spans="2:25" s="7" customFormat="1"/>
    <row r="169" spans="2:25" s="7" customFormat="1"/>
    <row r="170" spans="2:25" s="7" customFormat="1"/>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48"/>
  <sheetViews>
    <sheetView workbookViewId="0"/>
  </sheetViews>
  <sheetFormatPr defaultRowHeight="15"/>
  <cols>
    <col min="1" max="1" width="38.85546875" style="1" customWidth="1"/>
    <col min="2" max="2" width="48.140625" style="1" customWidth="1"/>
    <col min="3" max="3" width="116.28515625" style="1" bestFit="1" customWidth="1"/>
    <col min="4" max="16384" width="9.140625" style="1"/>
  </cols>
  <sheetData>
    <row r="1" spans="1:3">
      <c r="C1" s="1028" t="s">
        <v>1624</v>
      </c>
    </row>
    <row r="2" spans="1:3" s="914" customFormat="1">
      <c r="C2" s="1028"/>
    </row>
    <row r="3" spans="1:3" s="3" customFormat="1">
      <c r="A3" s="163" t="s">
        <v>249</v>
      </c>
      <c r="B3" s="163" t="s">
        <v>250</v>
      </c>
      <c r="C3" s="163"/>
    </row>
    <row r="4" spans="1:3">
      <c r="A4" s="158" t="s">
        <v>251</v>
      </c>
      <c r="B4" s="158" t="s">
        <v>252</v>
      </c>
      <c r="C4" s="158"/>
    </row>
    <row r="5" spans="1:3">
      <c r="A5" s="1" t="s">
        <v>253</v>
      </c>
      <c r="B5" s="7" t="s">
        <v>254</v>
      </c>
    </row>
    <row r="6" spans="1:3">
      <c r="A6" s="1" t="s">
        <v>255</v>
      </c>
      <c r="B6" s="7" t="s">
        <v>256</v>
      </c>
    </row>
    <row r="7" spans="1:3">
      <c r="A7" s="1" t="s">
        <v>257</v>
      </c>
      <c r="B7" s="7" t="s">
        <v>258</v>
      </c>
    </row>
    <row r="8" spans="1:3">
      <c r="A8" s="7" t="s">
        <v>259</v>
      </c>
      <c r="B8" s="1" t="s">
        <v>260</v>
      </c>
    </row>
    <row r="9" spans="1:3">
      <c r="A9" s="7" t="s">
        <v>261</v>
      </c>
      <c r="B9" s="1" t="s">
        <v>262</v>
      </c>
    </row>
    <row r="10" spans="1:3">
      <c r="A10" s="7" t="s">
        <v>263</v>
      </c>
      <c r="B10" s="1" t="s">
        <v>264</v>
      </c>
    </row>
    <row r="11" spans="1:3">
      <c r="A11" s="7" t="s">
        <v>265</v>
      </c>
      <c r="B11" s="1" t="s">
        <v>266</v>
      </c>
    </row>
    <row r="12" spans="1:3">
      <c r="A12" s="1" t="s">
        <v>267</v>
      </c>
      <c r="B12" s="1" t="s">
        <v>268</v>
      </c>
    </row>
    <row r="13" spans="1:3">
      <c r="A13" s="7" t="s">
        <v>269</v>
      </c>
      <c r="B13" s="1" t="s">
        <v>270</v>
      </c>
    </row>
    <row r="14" spans="1:3">
      <c r="A14" s="7" t="s">
        <v>271</v>
      </c>
      <c r="B14" s="1" t="s">
        <v>272</v>
      </c>
    </row>
    <row r="15" spans="1:3">
      <c r="A15" s="1" t="s">
        <v>273</v>
      </c>
      <c r="B15" s="1" t="s">
        <v>274</v>
      </c>
    </row>
    <row r="16" spans="1:3">
      <c r="A16" s="1" t="s">
        <v>275</v>
      </c>
      <c r="B16" s="1" t="s">
        <v>276</v>
      </c>
    </row>
    <row r="17" spans="1:4">
      <c r="A17" s="1" t="s">
        <v>277</v>
      </c>
      <c r="B17" s="1" t="s">
        <v>278</v>
      </c>
    </row>
    <row r="18" spans="1:4">
      <c r="A18" s="1" t="s">
        <v>279</v>
      </c>
      <c r="B18" s="1" t="s">
        <v>280</v>
      </c>
    </row>
    <row r="19" spans="1:4">
      <c r="A19" s="1" t="s">
        <v>281</v>
      </c>
      <c r="B19" s="1" t="s">
        <v>282</v>
      </c>
    </row>
    <row r="20" spans="1:4">
      <c r="A20" s="1" t="s">
        <v>283</v>
      </c>
      <c r="B20" s="1" t="s">
        <v>284</v>
      </c>
      <c r="D20" s="1" t="s">
        <v>353</v>
      </c>
    </row>
    <row r="21" spans="1:4">
      <c r="A21" s="1" t="s">
        <v>285</v>
      </c>
      <c r="B21" s="1" t="s">
        <v>286</v>
      </c>
    </row>
    <row r="22" spans="1:4">
      <c r="A22" s="1" t="s">
        <v>287</v>
      </c>
      <c r="B22" s="1" t="s">
        <v>288</v>
      </c>
    </row>
    <row r="23" spans="1:4">
      <c r="A23" s="1" t="s">
        <v>289</v>
      </c>
      <c r="B23" s="1" t="s">
        <v>290</v>
      </c>
      <c r="D23" s="1" t="s">
        <v>354</v>
      </c>
    </row>
    <row r="24" spans="1:4">
      <c r="A24" s="1" t="s">
        <v>291</v>
      </c>
      <c r="B24" s="1" t="s">
        <v>292</v>
      </c>
      <c r="D24" s="1" t="s">
        <v>353</v>
      </c>
    </row>
    <row r="25" spans="1:4">
      <c r="A25" s="1" t="s">
        <v>293</v>
      </c>
      <c r="B25" s="1" t="s">
        <v>294</v>
      </c>
    </row>
    <row r="26" spans="1:4">
      <c r="A26" s="1" t="s">
        <v>295</v>
      </c>
      <c r="B26" s="1" t="s">
        <v>296</v>
      </c>
    </row>
    <row r="27" spans="1:4">
      <c r="A27" s="1" t="s">
        <v>297</v>
      </c>
      <c r="B27" s="1" t="s">
        <v>298</v>
      </c>
    </row>
    <row r="28" spans="1:4">
      <c r="A28" s="1" t="s">
        <v>299</v>
      </c>
      <c r="B28" s="1" t="s">
        <v>300</v>
      </c>
    </row>
    <row r="29" spans="1:4">
      <c r="A29" s="1" t="s">
        <v>301</v>
      </c>
      <c r="B29" s="1" t="s">
        <v>302</v>
      </c>
    </row>
    <row r="30" spans="1:4">
      <c r="A30" s="1" t="s">
        <v>303</v>
      </c>
      <c r="B30" s="1" t="s">
        <v>304</v>
      </c>
    </row>
    <row r="31" spans="1:4">
      <c r="A31" s="1" t="s">
        <v>305</v>
      </c>
      <c r="B31" s="1" t="s">
        <v>306</v>
      </c>
    </row>
    <row r="32" spans="1:4">
      <c r="A32" s="1" t="s">
        <v>307</v>
      </c>
      <c r="B32" s="1" t="s">
        <v>308</v>
      </c>
    </row>
    <row r="33" spans="1:4">
      <c r="A33" s="1" t="s">
        <v>309</v>
      </c>
      <c r="B33" s="1" t="s">
        <v>310</v>
      </c>
    </row>
    <row r="34" spans="1:4">
      <c r="A34" s="1" t="s">
        <v>311</v>
      </c>
      <c r="B34" s="1" t="s">
        <v>312</v>
      </c>
    </row>
    <row r="35" spans="1:4">
      <c r="A35" s="1" t="s">
        <v>313</v>
      </c>
      <c r="B35" s="1" t="s">
        <v>314</v>
      </c>
      <c r="D35" s="1" t="s">
        <v>355</v>
      </c>
    </row>
    <row r="36" spans="1:4">
      <c r="A36" s="1" t="s">
        <v>222</v>
      </c>
      <c r="B36" s="1" t="s">
        <v>315</v>
      </c>
      <c r="D36" s="1" t="s">
        <v>356</v>
      </c>
    </row>
    <row r="37" spans="1:4">
      <c r="A37" s="1" t="s">
        <v>316</v>
      </c>
      <c r="B37" s="1" t="s">
        <v>308</v>
      </c>
    </row>
    <row r="38" spans="1:4">
      <c r="A38" s="1" t="s">
        <v>317</v>
      </c>
      <c r="B38" s="1" t="s">
        <v>318</v>
      </c>
    </row>
    <row r="39" spans="1:4">
      <c r="B39" s="1" t="s">
        <v>319</v>
      </c>
    </row>
    <row r="40" spans="1:4">
      <c r="B40" s="1" t="s">
        <v>320</v>
      </c>
    </row>
    <row r="42" spans="1:4">
      <c r="A42" s="1" t="s">
        <v>321</v>
      </c>
    </row>
    <row r="45" spans="1:4">
      <c r="A45" s="1" t="s">
        <v>322</v>
      </c>
    </row>
    <row r="46" spans="1:4">
      <c r="A46" s="1" t="s">
        <v>323</v>
      </c>
      <c r="B46" s="1" t="s">
        <v>324</v>
      </c>
    </row>
    <row r="47" spans="1:4">
      <c r="A47" s="1" t="s">
        <v>325</v>
      </c>
      <c r="B47" s="1" t="s">
        <v>326</v>
      </c>
    </row>
    <row r="48" spans="1:4">
      <c r="A48" s="1" t="s">
        <v>327</v>
      </c>
      <c r="B48" s="1" t="s">
        <v>328</v>
      </c>
    </row>
  </sheetData>
  <pageMargins left="0.25" right="0.25" top="0.75" bottom="0.75" header="0.3" footer="0.3"/>
  <pageSetup scale="60" fitToHeight="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191"/>
  <sheetViews>
    <sheetView zoomScale="85" zoomScaleNormal="85" workbookViewId="0">
      <pane xSplit="1" ySplit="8" topLeftCell="B9" activePane="bottomRight" state="frozen"/>
      <selection pane="topRight" activeCell="B1" sqref="B1"/>
      <selection pane="bottomLeft" activeCell="A9" sqref="A9"/>
      <selection pane="bottomRight" activeCell="A2" sqref="A2"/>
    </sheetView>
  </sheetViews>
  <sheetFormatPr defaultColWidth="6.7109375" defaultRowHeight="15"/>
  <cols>
    <col min="1" max="1" width="3.7109375" style="252" bestFit="1" customWidth="1"/>
    <col min="2" max="2" width="14.42578125" style="252" customWidth="1"/>
    <col min="3" max="3" width="24.140625" style="252" bestFit="1" customWidth="1"/>
    <col min="4" max="4" width="24.5703125" style="252" bestFit="1" customWidth="1"/>
    <col min="5" max="5" width="24.5703125" style="252" customWidth="1"/>
    <col min="6" max="6" width="14" style="252" customWidth="1"/>
    <col min="7" max="7" width="10.7109375" style="252" customWidth="1"/>
    <col min="8" max="8" width="12.28515625" style="859" bestFit="1" customWidth="1"/>
    <col min="9" max="9" width="13" style="860" bestFit="1" customWidth="1"/>
    <col min="10" max="10" width="7" style="860" bestFit="1" customWidth="1"/>
    <col min="11" max="11" width="10.85546875" style="859" bestFit="1" customWidth="1"/>
    <col min="12" max="12" width="11" style="252" bestFit="1" customWidth="1"/>
    <col min="13" max="13" width="16.85546875" style="252" customWidth="1"/>
    <col min="14" max="14" width="11.28515625" style="856" customWidth="1"/>
    <col min="15" max="15" width="13.85546875" style="858" customWidth="1"/>
    <col min="16" max="16" width="14.42578125" style="856" customWidth="1"/>
    <col min="17" max="18" width="17.28515625" style="856" customWidth="1"/>
    <col min="19" max="19" width="18.140625" style="856" customWidth="1"/>
    <col min="20" max="20" width="18.7109375" style="252" customWidth="1"/>
    <col min="21" max="21" width="20" style="855" customWidth="1"/>
    <col min="22" max="31" width="14" style="252" customWidth="1"/>
    <col min="32" max="32" width="10.42578125" style="855" customWidth="1"/>
    <col min="33" max="33" width="9.85546875" style="252" customWidth="1"/>
    <col min="34" max="34" width="12.42578125" style="252" customWidth="1"/>
    <col min="35" max="35" width="11.85546875" style="856" customWidth="1"/>
    <col min="36" max="36" width="17.28515625" style="855" customWidth="1"/>
    <col min="37" max="37" width="13.7109375" style="855" customWidth="1"/>
    <col min="38" max="38" width="9.140625" style="252" customWidth="1"/>
    <col min="39" max="39" width="8.85546875" style="855" customWidth="1"/>
    <col min="40" max="40" width="9.5703125" style="252" customWidth="1"/>
    <col min="41" max="41" width="12.42578125" style="855" customWidth="1"/>
    <col min="42" max="42" width="8.7109375" style="252" customWidth="1"/>
    <col min="43" max="44" width="9.28515625" style="252" customWidth="1"/>
    <col min="45" max="45" width="6.7109375" style="252"/>
    <col min="46" max="46" width="9.42578125" style="252" customWidth="1"/>
    <col min="47" max="47" width="6.7109375" style="252"/>
    <col min="48" max="48" width="8.140625" style="857" customWidth="1"/>
    <col min="49" max="49" width="9.140625" style="857" customWidth="1"/>
    <col min="50" max="50" width="10.42578125" style="857" customWidth="1"/>
    <col min="51" max="51" width="6.7109375" style="857"/>
    <col min="52" max="52" width="9.5703125" style="857" customWidth="1"/>
    <col min="53" max="53" width="6.7109375" style="857"/>
    <col min="54" max="56" width="9.140625" style="856" customWidth="1"/>
    <col min="57" max="57" width="10.85546875" style="856" customWidth="1"/>
    <col min="58" max="59" width="9.140625" style="856" customWidth="1"/>
    <col min="60" max="64" width="13" style="549" customWidth="1"/>
    <col min="65" max="65" width="13" style="252" customWidth="1"/>
    <col min="66" max="77" width="10.5703125" style="549" customWidth="1"/>
    <col min="78" max="78" width="13.7109375" style="855" customWidth="1"/>
    <col min="79" max="79" width="12" style="855" customWidth="1"/>
    <col min="80" max="80" width="13.28515625" style="549" customWidth="1"/>
    <col min="81" max="81" width="11" style="855" customWidth="1"/>
    <col min="82" max="86" width="10.28515625" style="855" customWidth="1"/>
    <col min="87" max="16384" width="6.7109375" style="252"/>
  </cols>
  <sheetData>
    <row r="1" spans="1:86" ht="21">
      <c r="A1" s="1313"/>
      <c r="B1" s="1313"/>
      <c r="C1" s="1313"/>
      <c r="I1" s="1028" t="s">
        <v>1624</v>
      </c>
    </row>
    <row r="2" spans="1:86" ht="21">
      <c r="A2" s="539" t="s">
        <v>1625</v>
      </c>
      <c r="B2" s="539"/>
      <c r="C2" s="539"/>
      <c r="D2" s="907"/>
      <c r="E2" s="907"/>
      <c r="F2" s="907"/>
      <c r="G2" s="907"/>
      <c r="H2" s="907"/>
      <c r="I2" s="252"/>
      <c r="J2" s="252"/>
      <c r="K2" s="252"/>
      <c r="L2" s="907"/>
      <c r="M2" s="907"/>
    </row>
    <row r="3" spans="1:86">
      <c r="B3" s="907"/>
      <c r="C3" s="907"/>
      <c r="D3" s="907"/>
      <c r="E3" s="907"/>
      <c r="F3" s="907"/>
      <c r="G3" s="907"/>
      <c r="H3" s="907"/>
      <c r="I3" s="913"/>
      <c r="J3" s="913"/>
      <c r="K3" s="908"/>
      <c r="L3" s="907"/>
      <c r="M3" s="907"/>
    </row>
    <row r="4" spans="1:86">
      <c r="A4" s="912" t="s">
        <v>999</v>
      </c>
      <c r="B4" s="912"/>
      <c r="C4" s="912"/>
      <c r="D4" s="912"/>
      <c r="E4" s="912"/>
      <c r="F4" s="907"/>
      <c r="G4" s="907"/>
      <c r="H4" s="252"/>
      <c r="I4" s="252"/>
      <c r="J4" s="252"/>
      <c r="K4" s="909"/>
      <c r="M4" s="907"/>
    </row>
    <row r="5" spans="1:86">
      <c r="A5" s="911" t="s">
        <v>1254</v>
      </c>
      <c r="B5" s="911"/>
      <c r="C5" s="911"/>
      <c r="D5" s="911"/>
      <c r="E5" s="911"/>
      <c r="F5" s="906"/>
      <c r="G5" s="906"/>
      <c r="H5" s="906"/>
      <c r="I5" s="910"/>
      <c r="J5" s="910"/>
      <c r="K5" s="909"/>
      <c r="L5" s="908"/>
      <c r="M5" s="907"/>
    </row>
    <row r="6" spans="1:86">
      <c r="H6" s="252"/>
      <c r="I6" s="252"/>
      <c r="J6" s="252"/>
      <c r="K6" s="906"/>
      <c r="L6" s="906"/>
      <c r="M6" s="906"/>
    </row>
    <row r="7" spans="1:86" s="544" customFormat="1">
      <c r="A7" s="905"/>
      <c r="B7" s="905"/>
      <c r="C7" s="905"/>
      <c r="D7" s="905"/>
      <c r="E7" s="1314" t="s">
        <v>750</v>
      </c>
      <c r="F7" s="1314"/>
      <c r="G7" s="1314"/>
      <c r="H7" s="1314"/>
      <c r="I7" s="1314"/>
      <c r="J7" s="1314"/>
      <c r="K7" s="1314"/>
      <c r="L7" s="1314"/>
      <c r="M7" s="1314"/>
      <c r="N7" s="1315" t="s">
        <v>1253</v>
      </c>
      <c r="O7" s="1315"/>
      <c r="P7" s="1315"/>
      <c r="Q7" s="1315"/>
      <c r="R7" s="1315"/>
      <c r="S7" s="1315"/>
      <c r="T7" s="1316" t="s">
        <v>594</v>
      </c>
      <c r="U7" s="1316"/>
      <c r="V7" s="1316"/>
      <c r="W7" s="1316"/>
      <c r="X7" s="1316"/>
      <c r="Y7" s="1316"/>
      <c r="Z7" s="1316"/>
      <c r="AA7" s="1316"/>
      <c r="AB7" s="1316"/>
      <c r="AC7" s="1316"/>
      <c r="AD7" s="1316"/>
      <c r="AE7" s="1316"/>
      <c r="AF7" s="1317" t="s">
        <v>1252</v>
      </c>
      <c r="AG7" s="1317"/>
      <c r="AH7" s="1317"/>
      <c r="AI7" s="1312" t="s">
        <v>1251</v>
      </c>
      <c r="AJ7" s="1312"/>
      <c r="AK7" s="1312"/>
      <c r="AL7" s="1320" t="s">
        <v>1250</v>
      </c>
      <c r="AM7" s="1320"/>
      <c r="AN7" s="1320"/>
      <c r="AO7" s="1320"/>
      <c r="AP7" s="1321" t="s">
        <v>1249</v>
      </c>
      <c r="AQ7" s="1321"/>
      <c r="AR7" s="1321"/>
      <c r="AS7" s="1321"/>
      <c r="AT7" s="1321"/>
      <c r="AU7" s="1321"/>
      <c r="AV7" s="1322" t="s">
        <v>1248</v>
      </c>
      <c r="AW7" s="1322"/>
      <c r="AX7" s="1322"/>
      <c r="AY7" s="1322"/>
      <c r="AZ7" s="1322"/>
      <c r="BA7" s="1322"/>
      <c r="BB7" s="1315" t="s">
        <v>1247</v>
      </c>
      <c r="BC7" s="1315"/>
      <c r="BD7" s="1315"/>
      <c r="BE7" s="1315"/>
      <c r="BF7" s="1315"/>
      <c r="BG7" s="1315"/>
      <c r="BH7" s="1321" t="s">
        <v>1246</v>
      </c>
      <c r="BI7" s="1321"/>
      <c r="BJ7" s="1321"/>
      <c r="BK7" s="1321"/>
      <c r="BL7" s="1321"/>
      <c r="BM7" s="1321"/>
      <c r="BN7" s="1323" t="s">
        <v>1245</v>
      </c>
      <c r="BO7" s="1323"/>
      <c r="BP7" s="1323"/>
      <c r="BQ7" s="1323"/>
      <c r="BR7" s="1323"/>
      <c r="BS7" s="1323"/>
      <c r="BT7" s="1318" t="s">
        <v>1244</v>
      </c>
      <c r="BU7" s="1318"/>
      <c r="BV7" s="1318"/>
      <c r="BW7" s="1318"/>
      <c r="BX7" s="1318"/>
      <c r="BY7" s="1318"/>
      <c r="BZ7" s="1319" t="s">
        <v>1243</v>
      </c>
      <c r="CA7" s="1319"/>
      <c r="CB7" s="1319"/>
      <c r="CC7" s="1319"/>
      <c r="CD7" s="1319"/>
      <c r="CE7" s="1319"/>
      <c r="CF7" s="1319"/>
      <c r="CG7" s="1319"/>
      <c r="CH7" s="1319"/>
    </row>
    <row r="8" spans="1:86" s="897" customFormat="1" ht="90.75" thickBot="1">
      <c r="A8" s="900" t="s">
        <v>1242</v>
      </c>
      <c r="B8" s="900" t="s">
        <v>1241</v>
      </c>
      <c r="C8" s="900" t="s">
        <v>1240</v>
      </c>
      <c r="D8" s="900" t="s">
        <v>1239</v>
      </c>
      <c r="E8" s="900" t="s">
        <v>1238</v>
      </c>
      <c r="F8" s="900"/>
      <c r="G8" s="900" t="s">
        <v>1237</v>
      </c>
      <c r="H8" s="903"/>
      <c r="I8" s="904" t="s">
        <v>1236</v>
      </c>
      <c r="J8" s="904" t="s">
        <v>1235</v>
      </c>
      <c r="K8" s="903" t="s">
        <v>662</v>
      </c>
      <c r="L8" s="900" t="s">
        <v>1234</v>
      </c>
      <c r="M8" s="900" t="s">
        <v>1233</v>
      </c>
      <c r="N8" s="901" t="s">
        <v>1232</v>
      </c>
      <c r="O8" s="902" t="s">
        <v>1231</v>
      </c>
      <c r="P8" s="901" t="s">
        <v>1230</v>
      </c>
      <c r="Q8" s="901" t="s">
        <v>1229</v>
      </c>
      <c r="R8" s="901" t="s">
        <v>1228</v>
      </c>
      <c r="S8" s="901" t="s">
        <v>1227</v>
      </c>
      <c r="T8" s="900" t="s">
        <v>1226</v>
      </c>
      <c r="U8" s="898" t="s">
        <v>1225</v>
      </c>
      <c r="V8" s="900" t="s">
        <v>1224</v>
      </c>
      <c r="W8" s="900" t="s">
        <v>1223</v>
      </c>
      <c r="X8" s="900" t="s">
        <v>1222</v>
      </c>
      <c r="Y8" s="900" t="s">
        <v>1221</v>
      </c>
      <c r="Z8" s="900" t="s">
        <v>1220</v>
      </c>
      <c r="AA8" s="900" t="s">
        <v>1219</v>
      </c>
      <c r="AB8" s="900" t="s">
        <v>1218</v>
      </c>
      <c r="AC8" s="900" t="s">
        <v>1217</v>
      </c>
      <c r="AD8" s="900" t="s">
        <v>1216</v>
      </c>
      <c r="AE8" s="900" t="s">
        <v>1215</v>
      </c>
      <c r="AF8" s="898" t="s">
        <v>1214</v>
      </c>
      <c r="AG8" s="900" t="s">
        <v>1213</v>
      </c>
      <c r="AH8" s="900" t="s">
        <v>1212</v>
      </c>
      <c r="AI8" s="901" t="s">
        <v>1211</v>
      </c>
      <c r="AJ8" s="898" t="s">
        <v>1210</v>
      </c>
      <c r="AK8" s="898" t="s">
        <v>1209</v>
      </c>
      <c r="AL8" s="900" t="s">
        <v>1208</v>
      </c>
      <c r="AM8" s="898" t="s">
        <v>1207</v>
      </c>
      <c r="AN8" s="900" t="s">
        <v>1206</v>
      </c>
      <c r="AO8" s="898" t="s">
        <v>1205</v>
      </c>
      <c r="AP8" s="900" t="s">
        <v>1198</v>
      </c>
      <c r="AQ8" s="900" t="s">
        <v>1197</v>
      </c>
      <c r="AR8" s="900" t="s">
        <v>1196</v>
      </c>
      <c r="AS8" s="900" t="s">
        <v>1195</v>
      </c>
      <c r="AT8" s="900" t="s">
        <v>1194</v>
      </c>
      <c r="AU8" s="900" t="s">
        <v>175</v>
      </c>
      <c r="AV8" s="900" t="s">
        <v>1198</v>
      </c>
      <c r="AW8" s="900" t="s">
        <v>1197</v>
      </c>
      <c r="AX8" s="900" t="s">
        <v>1196</v>
      </c>
      <c r="AY8" s="900" t="s">
        <v>1195</v>
      </c>
      <c r="AZ8" s="900" t="s">
        <v>1194</v>
      </c>
      <c r="BA8" s="900" t="s">
        <v>175</v>
      </c>
      <c r="BB8" s="901" t="s">
        <v>1198</v>
      </c>
      <c r="BC8" s="901" t="s">
        <v>1197</v>
      </c>
      <c r="BD8" s="901" t="s">
        <v>1196</v>
      </c>
      <c r="BE8" s="901" t="s">
        <v>1195</v>
      </c>
      <c r="BF8" s="901" t="s">
        <v>1194</v>
      </c>
      <c r="BG8" s="901" t="s">
        <v>175</v>
      </c>
      <c r="BH8" s="899" t="s">
        <v>1204</v>
      </c>
      <c r="BI8" s="899" t="s">
        <v>1203</v>
      </c>
      <c r="BJ8" s="899" t="s">
        <v>1202</v>
      </c>
      <c r="BK8" s="899" t="s">
        <v>1201</v>
      </c>
      <c r="BL8" s="899" t="s">
        <v>1200</v>
      </c>
      <c r="BM8" s="900" t="s">
        <v>1199</v>
      </c>
      <c r="BN8" s="899" t="s">
        <v>1198</v>
      </c>
      <c r="BO8" s="899" t="s">
        <v>1197</v>
      </c>
      <c r="BP8" s="899" t="s">
        <v>1196</v>
      </c>
      <c r="BQ8" s="899" t="s">
        <v>1195</v>
      </c>
      <c r="BR8" s="899" t="s">
        <v>1194</v>
      </c>
      <c r="BS8" s="899" t="s">
        <v>175</v>
      </c>
      <c r="BT8" s="899" t="s">
        <v>1193</v>
      </c>
      <c r="BU8" s="899" t="s">
        <v>1192</v>
      </c>
      <c r="BV8" s="899" t="s">
        <v>1191</v>
      </c>
      <c r="BW8" s="899" t="s">
        <v>1190</v>
      </c>
      <c r="BX8" s="899" t="s">
        <v>1189</v>
      </c>
      <c r="BY8" s="899" t="s">
        <v>1188</v>
      </c>
      <c r="BZ8" s="898" t="s">
        <v>1187</v>
      </c>
      <c r="CA8" s="898" t="s">
        <v>1186</v>
      </c>
      <c r="CB8" s="899" t="s">
        <v>1185</v>
      </c>
      <c r="CC8" s="898" t="s">
        <v>1184</v>
      </c>
      <c r="CD8" s="898" t="s">
        <v>1183</v>
      </c>
      <c r="CE8" s="898" t="s">
        <v>1182</v>
      </c>
      <c r="CF8" s="898" t="s">
        <v>1181</v>
      </c>
      <c r="CG8" s="898" t="s">
        <v>1180</v>
      </c>
      <c r="CH8" s="898" t="s">
        <v>1179</v>
      </c>
    </row>
    <row r="9" spans="1:86" s="857" customFormat="1" ht="16.5" customHeight="1" thickTop="1">
      <c r="A9" s="896">
        <v>1</v>
      </c>
      <c r="B9" s="896"/>
      <c r="C9" s="896" t="s">
        <v>81</v>
      </c>
      <c r="D9" s="1" t="s">
        <v>1151</v>
      </c>
      <c r="E9" s="106">
        <v>32000</v>
      </c>
      <c r="F9" s="890"/>
      <c r="G9" s="885">
        <f t="shared" ref="G9:G33" si="0">F9/E9</f>
        <v>0</v>
      </c>
      <c r="H9" s="884"/>
      <c r="I9" s="883"/>
      <c r="J9" s="883"/>
      <c r="K9" s="882"/>
      <c r="L9" s="876">
        <v>6</v>
      </c>
      <c r="M9" s="881">
        <f t="shared" ref="M9:M33" si="1">F9/L9</f>
        <v>0</v>
      </c>
      <c r="N9" s="895" t="s">
        <v>1178</v>
      </c>
      <c r="O9" s="884" t="s">
        <v>1177</v>
      </c>
      <c r="P9" s="879" t="e">
        <f>(N9/F9)</f>
        <v>#VALUE!</v>
      </c>
      <c r="Q9" s="895" t="s">
        <v>1176</v>
      </c>
      <c r="R9" s="879" t="e">
        <f t="shared" ref="R9:R33" si="2">Q9/8</f>
        <v>#VALUE!</v>
      </c>
      <c r="S9" s="879" t="s">
        <v>1175</v>
      </c>
      <c r="T9" s="876" t="s">
        <v>1174</v>
      </c>
      <c r="U9" s="878">
        <v>0.10100000000000001</v>
      </c>
      <c r="V9" s="857" t="e">
        <f t="shared" ref="V9:V33" si="3">T9*U9</f>
        <v>#VALUE!</v>
      </c>
      <c r="AF9" s="892" t="s">
        <v>1173</v>
      </c>
      <c r="AG9" s="876" t="s">
        <v>1172</v>
      </c>
      <c r="AH9" s="876" t="s">
        <v>1171</v>
      </c>
      <c r="AI9" s="895" t="s">
        <v>1170</v>
      </c>
      <c r="AJ9" s="892" t="s">
        <v>227</v>
      </c>
      <c r="AK9" s="892" t="s">
        <v>227</v>
      </c>
      <c r="AL9" s="876" t="s">
        <v>1169</v>
      </c>
      <c r="AM9" s="892" t="s">
        <v>1168</v>
      </c>
      <c r="AN9" s="876" t="s">
        <v>1167</v>
      </c>
      <c r="AO9" s="892" t="s">
        <v>1166</v>
      </c>
      <c r="AP9" s="876" t="s">
        <v>1165</v>
      </c>
      <c r="AQ9" s="876" t="s">
        <v>1165</v>
      </c>
      <c r="AR9" s="876" t="s">
        <v>1165</v>
      </c>
      <c r="AS9" s="876" t="s">
        <v>1165</v>
      </c>
      <c r="AT9" s="876" t="s">
        <v>1165</v>
      </c>
      <c r="AU9" s="876" t="s">
        <v>1165</v>
      </c>
      <c r="AV9" s="876" t="s">
        <v>1164</v>
      </c>
      <c r="AW9" s="876" t="s">
        <v>1164</v>
      </c>
      <c r="AX9" s="876" t="s">
        <v>1164</v>
      </c>
      <c r="AY9" s="876" t="s">
        <v>1164</v>
      </c>
      <c r="AZ9" s="876" t="s">
        <v>1164</v>
      </c>
      <c r="BA9" s="876" t="s">
        <v>1164</v>
      </c>
      <c r="BB9" s="895" t="s">
        <v>1163</v>
      </c>
      <c r="BC9" s="895" t="s">
        <v>1163</v>
      </c>
      <c r="BD9" s="895" t="s">
        <v>1163</v>
      </c>
      <c r="BE9" s="895" t="s">
        <v>1163</v>
      </c>
      <c r="BF9" s="895" t="s">
        <v>1163</v>
      </c>
      <c r="BG9" s="895" t="s">
        <v>1163</v>
      </c>
      <c r="BH9" s="874" t="e">
        <f t="shared" ref="BH9:BH33" si="4">BN9*AV9*L9/20</f>
        <v>#VALUE!</v>
      </c>
      <c r="BI9" s="874" t="e">
        <f t="shared" ref="BI9:BI33" si="5">BO9*AW9*L9/20</f>
        <v>#VALUE!</v>
      </c>
      <c r="BJ9" s="874" t="e">
        <f t="shared" ref="BJ9:BJ33" si="6">BP9*AX9*HB9/20</f>
        <v>#VALUE!</v>
      </c>
      <c r="BK9" s="874" t="e">
        <f t="shared" ref="BK9:BK33" si="7">BQ9*AY9*L9/20</f>
        <v>#VALUE!</v>
      </c>
      <c r="BL9" s="874" t="e">
        <f t="shared" ref="BL9:BL33" si="8">BR9*AZ9*L9/20</f>
        <v>#VALUE!</v>
      </c>
      <c r="BM9" s="874" t="e">
        <f t="shared" ref="BM9:BM33" si="9">BS9*BA9*L9/20</f>
        <v>#VALUE!</v>
      </c>
      <c r="BN9" s="893" t="s">
        <v>1162</v>
      </c>
      <c r="BO9" s="893" t="s">
        <v>1162</v>
      </c>
      <c r="BP9" s="893" t="s">
        <v>1162</v>
      </c>
      <c r="BQ9" s="893" t="s">
        <v>1162</v>
      </c>
      <c r="BR9" s="893" t="s">
        <v>1162</v>
      </c>
      <c r="BS9" s="893" t="s">
        <v>1162</v>
      </c>
      <c r="BT9" s="893"/>
      <c r="BU9" s="893"/>
      <c r="BV9" s="893"/>
      <c r="BW9" s="893"/>
      <c r="BX9" s="893"/>
      <c r="BY9" s="893"/>
      <c r="BZ9" s="892" t="s">
        <v>227</v>
      </c>
      <c r="CA9" s="894">
        <v>0.26</v>
      </c>
      <c r="CB9" s="893" t="s">
        <v>1161</v>
      </c>
      <c r="CC9" s="892" t="s">
        <v>227</v>
      </c>
      <c r="CD9" s="892" t="s">
        <v>227</v>
      </c>
      <c r="CE9" s="892" t="s">
        <v>227</v>
      </c>
      <c r="CF9" s="892" t="s">
        <v>227</v>
      </c>
      <c r="CG9" s="892" t="s">
        <v>227</v>
      </c>
      <c r="CH9" s="892" t="s">
        <v>227</v>
      </c>
    </row>
    <row r="10" spans="1:86">
      <c r="A10" s="887">
        <v>2</v>
      </c>
      <c r="B10" s="887"/>
      <c r="C10" s="887" t="s">
        <v>766</v>
      </c>
      <c r="D10" s="891" t="s">
        <v>1151</v>
      </c>
      <c r="E10" s="106">
        <v>16000</v>
      </c>
      <c r="F10" s="890"/>
      <c r="G10" s="885">
        <f t="shared" si="0"/>
        <v>0</v>
      </c>
      <c r="H10" s="884"/>
      <c r="I10" s="883"/>
      <c r="J10" s="883"/>
      <c r="K10" s="882"/>
      <c r="L10" s="876">
        <v>6</v>
      </c>
      <c r="M10" s="881">
        <f t="shared" si="1"/>
        <v>0</v>
      </c>
      <c r="N10" s="875"/>
      <c r="O10" s="880"/>
      <c r="P10" s="879" t="e">
        <f t="shared" ref="P10:P33" si="10">(N10/F10)*1000</f>
        <v>#DIV/0!</v>
      </c>
      <c r="Q10" s="875"/>
      <c r="R10" s="879">
        <f t="shared" si="2"/>
        <v>0</v>
      </c>
      <c r="T10" s="877"/>
      <c r="U10" s="878">
        <v>0.10100000000000001</v>
      </c>
      <c r="V10" s="857">
        <f t="shared" si="3"/>
        <v>0</v>
      </c>
      <c r="W10" s="857"/>
      <c r="X10" s="857"/>
      <c r="Y10" s="857"/>
      <c r="Z10" s="857"/>
      <c r="AA10" s="857"/>
      <c r="AB10" s="857"/>
      <c r="AC10" s="857"/>
      <c r="AD10" s="857"/>
      <c r="AE10" s="857"/>
      <c r="AF10" s="872"/>
      <c r="AG10" s="877"/>
      <c r="AH10" s="877"/>
      <c r="AI10" s="875"/>
      <c r="AJ10" s="872"/>
      <c r="AK10" s="872"/>
      <c r="AL10" s="877"/>
      <c r="AM10" s="872"/>
      <c r="AN10" s="877"/>
      <c r="AO10" s="872"/>
      <c r="AP10" s="877"/>
      <c r="AQ10" s="877"/>
      <c r="AR10" s="877"/>
      <c r="AS10" s="877"/>
      <c r="AT10" s="877"/>
      <c r="AU10" s="877"/>
      <c r="AV10" s="876"/>
      <c r="AW10" s="876"/>
      <c r="AX10" s="876"/>
      <c r="AY10" s="876"/>
      <c r="AZ10" s="876"/>
      <c r="BA10" s="876"/>
      <c r="BB10" s="875"/>
      <c r="BC10" s="875"/>
      <c r="BD10" s="875"/>
      <c r="BE10" s="875"/>
      <c r="BF10" s="875"/>
      <c r="BG10" s="875"/>
      <c r="BH10" s="874">
        <f t="shared" si="4"/>
        <v>0</v>
      </c>
      <c r="BI10" s="874">
        <f t="shared" si="5"/>
        <v>0</v>
      </c>
      <c r="BJ10" s="874">
        <f t="shared" si="6"/>
        <v>0</v>
      </c>
      <c r="BK10" s="874">
        <f t="shared" si="7"/>
        <v>0</v>
      </c>
      <c r="BL10" s="874">
        <f t="shared" si="8"/>
        <v>0</v>
      </c>
      <c r="BM10" s="874">
        <f t="shared" si="9"/>
        <v>0</v>
      </c>
      <c r="BN10" s="873"/>
      <c r="BO10" s="873"/>
      <c r="BP10" s="873"/>
      <c r="BQ10" s="873"/>
      <c r="BR10" s="873"/>
      <c r="BS10" s="873"/>
      <c r="BT10" s="873"/>
      <c r="BU10" s="873"/>
      <c r="BV10" s="873"/>
      <c r="BW10" s="873"/>
      <c r="BX10" s="873"/>
      <c r="BY10" s="873"/>
      <c r="BZ10" s="872"/>
      <c r="CA10" s="557"/>
      <c r="CB10" s="873"/>
      <c r="CC10" s="872"/>
      <c r="CD10" s="872"/>
      <c r="CE10" s="872"/>
      <c r="CF10" s="872"/>
      <c r="CG10" s="872"/>
      <c r="CH10" s="872"/>
    </row>
    <row r="11" spans="1:86">
      <c r="A11" s="887">
        <v>3</v>
      </c>
      <c r="B11" s="887"/>
      <c r="C11" s="887" t="s">
        <v>83</v>
      </c>
      <c r="D11" s="1" t="s">
        <v>1151</v>
      </c>
      <c r="E11" s="106">
        <v>27000</v>
      </c>
      <c r="F11" s="890"/>
      <c r="G11" s="885">
        <f t="shared" si="0"/>
        <v>0</v>
      </c>
      <c r="H11" s="884"/>
      <c r="I11" s="883"/>
      <c r="J11" s="883"/>
      <c r="K11" s="882"/>
      <c r="L11" s="876">
        <v>6</v>
      </c>
      <c r="M11" s="881">
        <f t="shared" si="1"/>
        <v>0</v>
      </c>
      <c r="N11" s="875"/>
      <c r="O11" s="880"/>
      <c r="P11" s="879" t="e">
        <f t="shared" si="10"/>
        <v>#DIV/0!</v>
      </c>
      <c r="Q11" s="875"/>
      <c r="R11" s="879">
        <f t="shared" si="2"/>
        <v>0</v>
      </c>
      <c r="T11" s="877"/>
      <c r="U11" s="878">
        <v>0.10100000000000001</v>
      </c>
      <c r="V11" s="857">
        <f t="shared" si="3"/>
        <v>0</v>
      </c>
      <c r="W11" s="857"/>
      <c r="X11" s="857"/>
      <c r="Y11" s="857"/>
      <c r="Z11" s="857"/>
      <c r="AA11" s="857"/>
      <c r="AB11" s="857"/>
      <c r="AC11" s="857"/>
      <c r="AD11" s="857"/>
      <c r="AE11" s="857"/>
      <c r="AF11" s="872"/>
      <c r="AG11" s="877"/>
      <c r="AH11" s="877"/>
      <c r="AI11" s="875"/>
      <c r="AJ11" s="872"/>
      <c r="AK11" s="872"/>
      <c r="AL11" s="877"/>
      <c r="AM11" s="872"/>
      <c r="AN11" s="877"/>
      <c r="AO11" s="872"/>
      <c r="AP11" s="877"/>
      <c r="AQ11" s="877"/>
      <c r="AR11" s="877"/>
      <c r="AS11" s="877"/>
      <c r="AT11" s="877"/>
      <c r="AU11" s="877"/>
      <c r="AV11" s="876"/>
      <c r="AW11" s="876"/>
      <c r="AX11" s="876"/>
      <c r="AY11" s="876"/>
      <c r="AZ11" s="876"/>
      <c r="BA11" s="876"/>
      <c r="BB11" s="875"/>
      <c r="BC11" s="875"/>
      <c r="BD11" s="875"/>
      <c r="BE11" s="875"/>
      <c r="BF11" s="875"/>
      <c r="BG11" s="875"/>
      <c r="BH11" s="874">
        <f t="shared" si="4"/>
        <v>0</v>
      </c>
      <c r="BI11" s="874">
        <f t="shared" si="5"/>
        <v>0</v>
      </c>
      <c r="BJ11" s="874">
        <f t="shared" si="6"/>
        <v>0</v>
      </c>
      <c r="BK11" s="874">
        <f t="shared" si="7"/>
        <v>0</v>
      </c>
      <c r="BL11" s="874">
        <f t="shared" si="8"/>
        <v>0</v>
      </c>
      <c r="BM11" s="874">
        <f t="shared" si="9"/>
        <v>0</v>
      </c>
      <c r="BN11" s="873"/>
      <c r="BO11" s="873"/>
      <c r="BP11" s="873"/>
      <c r="BQ11" s="873"/>
      <c r="BR11" s="873"/>
      <c r="BS11" s="873"/>
      <c r="BT11" s="873"/>
      <c r="BU11" s="873"/>
      <c r="BV11" s="873"/>
      <c r="BW11" s="873"/>
      <c r="BX11" s="873"/>
      <c r="BY11" s="873"/>
      <c r="BZ11" s="872"/>
      <c r="CA11" s="557"/>
      <c r="CB11" s="873"/>
      <c r="CC11" s="872"/>
      <c r="CD11" s="872"/>
      <c r="CE11" s="872"/>
      <c r="CF11" s="872"/>
      <c r="CG11" s="872"/>
      <c r="CH11" s="872"/>
    </row>
    <row r="12" spans="1:86">
      <c r="A12" s="887">
        <v>4</v>
      </c>
      <c r="B12" s="887"/>
      <c r="C12" s="887" t="s">
        <v>88</v>
      </c>
      <c r="D12" s="1" t="s">
        <v>1160</v>
      </c>
      <c r="E12" s="106">
        <v>70000</v>
      </c>
      <c r="F12" s="890"/>
      <c r="G12" s="885">
        <f t="shared" si="0"/>
        <v>0</v>
      </c>
      <c r="H12" s="884"/>
      <c r="I12" s="883"/>
      <c r="J12" s="883"/>
      <c r="K12" s="882"/>
      <c r="L12" s="876">
        <v>6</v>
      </c>
      <c r="M12" s="881">
        <f t="shared" si="1"/>
        <v>0</v>
      </c>
      <c r="N12" s="875"/>
      <c r="O12" s="880"/>
      <c r="P12" s="879" t="e">
        <f t="shared" si="10"/>
        <v>#DIV/0!</v>
      </c>
      <c r="Q12" s="875"/>
      <c r="R12" s="879">
        <f t="shared" si="2"/>
        <v>0</v>
      </c>
      <c r="T12" s="877"/>
      <c r="U12" s="878">
        <v>0.10100000000000001</v>
      </c>
      <c r="V12" s="857">
        <f t="shared" si="3"/>
        <v>0</v>
      </c>
      <c r="W12" s="857"/>
      <c r="X12" s="857"/>
      <c r="Y12" s="857"/>
      <c r="Z12" s="857"/>
      <c r="AA12" s="857"/>
      <c r="AB12" s="857"/>
      <c r="AC12" s="857"/>
      <c r="AD12" s="857"/>
      <c r="AE12" s="857"/>
      <c r="AF12" s="872"/>
      <c r="AG12" s="877"/>
      <c r="AH12" s="877"/>
      <c r="AI12" s="875"/>
      <c r="AJ12" s="872"/>
      <c r="AK12" s="872"/>
      <c r="AL12" s="877"/>
      <c r="AM12" s="872"/>
      <c r="AN12" s="877"/>
      <c r="AO12" s="872"/>
      <c r="AP12" s="877"/>
      <c r="AQ12" s="877"/>
      <c r="AR12" s="877"/>
      <c r="AS12" s="877"/>
      <c r="AT12" s="877"/>
      <c r="AU12" s="877"/>
      <c r="AV12" s="876"/>
      <c r="AW12" s="876"/>
      <c r="AX12" s="876"/>
      <c r="AY12" s="876"/>
      <c r="AZ12" s="876"/>
      <c r="BA12" s="876"/>
      <c r="BB12" s="875"/>
      <c r="BC12" s="875"/>
      <c r="BD12" s="875"/>
      <c r="BE12" s="875"/>
      <c r="BF12" s="875"/>
      <c r="BG12" s="875"/>
      <c r="BH12" s="874">
        <f t="shared" si="4"/>
        <v>0</v>
      </c>
      <c r="BI12" s="874">
        <f t="shared" si="5"/>
        <v>0</v>
      </c>
      <c r="BJ12" s="874">
        <f t="shared" si="6"/>
        <v>0</v>
      </c>
      <c r="BK12" s="874">
        <f t="shared" si="7"/>
        <v>0</v>
      </c>
      <c r="BL12" s="874">
        <f t="shared" si="8"/>
        <v>0</v>
      </c>
      <c r="BM12" s="874">
        <f t="shared" si="9"/>
        <v>0</v>
      </c>
      <c r="BN12" s="873"/>
      <c r="BO12" s="873"/>
      <c r="BP12" s="873"/>
      <c r="BQ12" s="873"/>
      <c r="BR12" s="873"/>
      <c r="BS12" s="873"/>
      <c r="BT12" s="873"/>
      <c r="BU12" s="873"/>
      <c r="BV12" s="873"/>
      <c r="BW12" s="873"/>
      <c r="BX12" s="873"/>
      <c r="BY12" s="873"/>
      <c r="BZ12" s="872"/>
      <c r="CA12" s="557"/>
      <c r="CB12" s="873"/>
      <c r="CC12" s="872"/>
      <c r="CD12" s="872"/>
      <c r="CE12" s="872"/>
      <c r="CF12" s="872"/>
      <c r="CG12" s="872"/>
      <c r="CH12" s="872"/>
    </row>
    <row r="13" spans="1:86">
      <c r="A13" s="887">
        <v>5</v>
      </c>
      <c r="B13" s="887"/>
      <c r="C13" s="887" t="s">
        <v>506</v>
      </c>
      <c r="D13" s="1" t="s">
        <v>1159</v>
      </c>
      <c r="E13" s="106">
        <v>13000</v>
      </c>
      <c r="F13" s="890"/>
      <c r="G13" s="885">
        <f t="shared" si="0"/>
        <v>0</v>
      </c>
      <c r="H13" s="884"/>
      <c r="I13" s="883"/>
      <c r="J13" s="883"/>
      <c r="K13" s="882"/>
      <c r="L13" s="876">
        <v>6</v>
      </c>
      <c r="M13" s="881">
        <f t="shared" si="1"/>
        <v>0</v>
      </c>
      <c r="N13" s="875"/>
      <c r="O13" s="880"/>
      <c r="P13" s="879" t="e">
        <f t="shared" si="10"/>
        <v>#DIV/0!</v>
      </c>
      <c r="Q13" s="875"/>
      <c r="R13" s="879">
        <f t="shared" si="2"/>
        <v>0</v>
      </c>
      <c r="T13" s="877"/>
      <c r="U13" s="878">
        <v>0.10100000000000001</v>
      </c>
      <c r="V13" s="857">
        <f t="shared" si="3"/>
        <v>0</v>
      </c>
      <c r="W13" s="857"/>
      <c r="X13" s="857"/>
      <c r="Y13" s="857"/>
      <c r="Z13" s="857"/>
      <c r="AA13" s="857"/>
      <c r="AB13" s="857"/>
      <c r="AC13" s="857"/>
      <c r="AD13" s="857"/>
      <c r="AE13" s="857"/>
      <c r="AF13" s="872"/>
      <c r="AG13" s="877"/>
      <c r="AH13" s="877"/>
      <c r="AI13" s="875"/>
      <c r="AJ13" s="872"/>
      <c r="AK13" s="872"/>
      <c r="AL13" s="877"/>
      <c r="AM13" s="872"/>
      <c r="AN13" s="877"/>
      <c r="AO13" s="872"/>
      <c r="AP13" s="877"/>
      <c r="AQ13" s="877"/>
      <c r="AR13" s="877"/>
      <c r="AS13" s="877"/>
      <c r="AT13" s="877"/>
      <c r="AU13" s="877"/>
      <c r="AV13" s="876"/>
      <c r="AW13" s="876"/>
      <c r="AX13" s="876"/>
      <c r="AY13" s="876"/>
      <c r="AZ13" s="876"/>
      <c r="BA13" s="876"/>
      <c r="BB13" s="875"/>
      <c r="BC13" s="875"/>
      <c r="BD13" s="875"/>
      <c r="BE13" s="875"/>
      <c r="BF13" s="875"/>
      <c r="BG13" s="875"/>
      <c r="BH13" s="874">
        <f t="shared" si="4"/>
        <v>0</v>
      </c>
      <c r="BI13" s="874">
        <f t="shared" si="5"/>
        <v>0</v>
      </c>
      <c r="BJ13" s="874">
        <f t="shared" si="6"/>
        <v>0</v>
      </c>
      <c r="BK13" s="874">
        <f t="shared" si="7"/>
        <v>0</v>
      </c>
      <c r="BL13" s="874">
        <f t="shared" si="8"/>
        <v>0</v>
      </c>
      <c r="BM13" s="874">
        <f t="shared" si="9"/>
        <v>0</v>
      </c>
      <c r="BN13" s="873"/>
      <c r="BO13" s="873"/>
      <c r="BP13" s="873"/>
      <c r="BQ13" s="873"/>
      <c r="BR13" s="873"/>
      <c r="BS13" s="873"/>
      <c r="BT13" s="873"/>
      <c r="BU13" s="873"/>
      <c r="BV13" s="873"/>
      <c r="BW13" s="873"/>
      <c r="BX13" s="873"/>
      <c r="BY13" s="873"/>
      <c r="BZ13" s="872"/>
      <c r="CA13" s="557"/>
      <c r="CB13" s="873"/>
      <c r="CC13" s="872"/>
      <c r="CD13" s="872"/>
      <c r="CE13" s="872"/>
      <c r="CF13" s="872"/>
      <c r="CG13" s="872"/>
      <c r="CH13" s="872"/>
    </row>
    <row r="14" spans="1:86">
      <c r="A14" s="887">
        <v>6</v>
      </c>
      <c r="B14" s="887"/>
      <c r="C14" s="887" t="s">
        <v>765</v>
      </c>
      <c r="D14" s="891" t="s">
        <v>1151</v>
      </c>
      <c r="E14" s="106">
        <v>80000</v>
      </c>
      <c r="F14" s="890"/>
      <c r="G14" s="885">
        <f t="shared" si="0"/>
        <v>0</v>
      </c>
      <c r="H14" s="884"/>
      <c r="I14" s="883"/>
      <c r="J14" s="883"/>
      <c r="K14" s="882"/>
      <c r="L14" s="876">
        <v>6</v>
      </c>
      <c r="M14" s="881">
        <f t="shared" si="1"/>
        <v>0</v>
      </c>
      <c r="N14" s="875"/>
      <c r="O14" s="880"/>
      <c r="P14" s="879" t="e">
        <f t="shared" si="10"/>
        <v>#DIV/0!</v>
      </c>
      <c r="Q14" s="875"/>
      <c r="R14" s="879">
        <f t="shared" si="2"/>
        <v>0</v>
      </c>
      <c r="T14" s="877"/>
      <c r="U14" s="878">
        <v>0.10100000000000001</v>
      </c>
      <c r="V14" s="857">
        <f t="shared" si="3"/>
        <v>0</v>
      </c>
      <c r="W14" s="857"/>
      <c r="X14" s="857"/>
      <c r="Y14" s="857"/>
      <c r="Z14" s="857"/>
      <c r="AA14" s="857"/>
      <c r="AB14" s="857"/>
      <c r="AC14" s="857"/>
      <c r="AD14" s="857"/>
      <c r="AE14" s="857"/>
      <c r="AF14" s="872"/>
      <c r="AG14" s="877"/>
      <c r="AH14" s="877"/>
      <c r="AI14" s="875"/>
      <c r="AJ14" s="872"/>
      <c r="AK14" s="872"/>
      <c r="AL14" s="877"/>
      <c r="AM14" s="872"/>
      <c r="AN14" s="877"/>
      <c r="AO14" s="872"/>
      <c r="AP14" s="877"/>
      <c r="AQ14" s="877"/>
      <c r="AR14" s="877"/>
      <c r="AS14" s="877"/>
      <c r="AT14" s="877"/>
      <c r="AU14" s="877"/>
      <c r="AV14" s="876"/>
      <c r="AW14" s="876"/>
      <c r="AX14" s="876"/>
      <c r="AY14" s="876"/>
      <c r="AZ14" s="876"/>
      <c r="BA14" s="876"/>
      <c r="BB14" s="875"/>
      <c r="BC14" s="875"/>
      <c r="BD14" s="875"/>
      <c r="BE14" s="875"/>
      <c r="BF14" s="875"/>
      <c r="BG14" s="875"/>
      <c r="BH14" s="874">
        <f t="shared" si="4"/>
        <v>0</v>
      </c>
      <c r="BI14" s="874">
        <f t="shared" si="5"/>
        <v>0</v>
      </c>
      <c r="BJ14" s="874">
        <f t="shared" si="6"/>
        <v>0</v>
      </c>
      <c r="BK14" s="874">
        <f t="shared" si="7"/>
        <v>0</v>
      </c>
      <c r="BL14" s="874">
        <f t="shared" si="8"/>
        <v>0</v>
      </c>
      <c r="BM14" s="874">
        <f t="shared" si="9"/>
        <v>0</v>
      </c>
      <c r="BN14" s="873"/>
      <c r="BO14" s="873"/>
      <c r="BP14" s="873"/>
      <c r="BQ14" s="873"/>
      <c r="BR14" s="873"/>
      <c r="BS14" s="873"/>
      <c r="BT14" s="873"/>
      <c r="BU14" s="873"/>
      <c r="BV14" s="873"/>
      <c r="BW14" s="873"/>
      <c r="BX14" s="873"/>
      <c r="BY14" s="873"/>
      <c r="BZ14" s="872"/>
      <c r="CA14" s="557"/>
      <c r="CB14" s="873"/>
      <c r="CC14" s="872"/>
      <c r="CD14" s="872"/>
      <c r="CE14" s="872"/>
      <c r="CF14" s="872"/>
      <c r="CG14" s="872"/>
      <c r="CH14" s="872"/>
    </row>
    <row r="15" spans="1:86">
      <c r="A15" s="887">
        <v>7</v>
      </c>
      <c r="B15" s="887"/>
      <c r="C15" s="887" t="s">
        <v>764</v>
      </c>
      <c r="D15" s="891" t="s">
        <v>1151</v>
      </c>
      <c r="E15" s="106">
        <v>26000</v>
      </c>
      <c r="F15" s="890"/>
      <c r="G15" s="885">
        <f t="shared" si="0"/>
        <v>0</v>
      </c>
      <c r="H15" s="884"/>
      <c r="I15" s="883"/>
      <c r="J15" s="883"/>
      <c r="K15" s="882"/>
      <c r="L15" s="876">
        <v>6</v>
      </c>
      <c r="M15" s="881">
        <f t="shared" si="1"/>
        <v>0</v>
      </c>
      <c r="N15" s="875"/>
      <c r="O15" s="880"/>
      <c r="P15" s="879" t="e">
        <f t="shared" si="10"/>
        <v>#DIV/0!</v>
      </c>
      <c r="Q15" s="875"/>
      <c r="R15" s="879">
        <f t="shared" si="2"/>
        <v>0</v>
      </c>
      <c r="T15" s="877"/>
      <c r="U15" s="878">
        <v>0.10100000000000001</v>
      </c>
      <c r="V15" s="857">
        <f t="shared" si="3"/>
        <v>0</v>
      </c>
      <c r="W15" s="857"/>
      <c r="X15" s="857"/>
      <c r="Y15" s="857"/>
      <c r="Z15" s="857"/>
      <c r="AA15" s="857"/>
      <c r="AB15" s="857"/>
      <c r="AC15" s="857"/>
      <c r="AD15" s="857"/>
      <c r="AE15" s="857"/>
      <c r="AF15" s="872"/>
      <c r="AG15" s="877"/>
      <c r="AH15" s="877"/>
      <c r="AI15" s="875"/>
      <c r="AJ15" s="872"/>
      <c r="AK15" s="872"/>
      <c r="AL15" s="877"/>
      <c r="AM15" s="872"/>
      <c r="AN15" s="877"/>
      <c r="AO15" s="872"/>
      <c r="AP15" s="877"/>
      <c r="AQ15" s="877"/>
      <c r="AR15" s="877"/>
      <c r="AS15" s="877"/>
      <c r="AT15" s="877"/>
      <c r="AU15" s="877"/>
      <c r="AV15" s="876"/>
      <c r="AW15" s="876"/>
      <c r="AX15" s="876"/>
      <c r="AY15" s="876"/>
      <c r="AZ15" s="876"/>
      <c r="BA15" s="876"/>
      <c r="BB15" s="875"/>
      <c r="BC15" s="875"/>
      <c r="BD15" s="875"/>
      <c r="BE15" s="875"/>
      <c r="BF15" s="875"/>
      <c r="BG15" s="875"/>
      <c r="BH15" s="874">
        <f t="shared" si="4"/>
        <v>0</v>
      </c>
      <c r="BI15" s="874">
        <f t="shared" si="5"/>
        <v>0</v>
      </c>
      <c r="BJ15" s="874">
        <f t="shared" si="6"/>
        <v>0</v>
      </c>
      <c r="BK15" s="874">
        <f t="shared" si="7"/>
        <v>0</v>
      </c>
      <c r="BL15" s="874">
        <f t="shared" si="8"/>
        <v>0</v>
      </c>
      <c r="BM15" s="874">
        <f t="shared" si="9"/>
        <v>0</v>
      </c>
      <c r="BN15" s="873"/>
      <c r="BO15" s="873"/>
      <c r="BP15" s="873"/>
      <c r="BQ15" s="873"/>
      <c r="BR15" s="873"/>
      <c r="BS15" s="873"/>
      <c r="BT15" s="873"/>
      <c r="BU15" s="873"/>
      <c r="BV15" s="873"/>
      <c r="BW15" s="873"/>
      <c r="BX15" s="873"/>
      <c r="BY15" s="873"/>
      <c r="BZ15" s="872"/>
      <c r="CA15" s="557"/>
      <c r="CB15" s="873"/>
      <c r="CC15" s="872"/>
      <c r="CD15" s="872"/>
      <c r="CE15" s="872"/>
      <c r="CF15" s="872"/>
      <c r="CG15" s="872"/>
      <c r="CH15" s="872"/>
    </row>
    <row r="16" spans="1:86">
      <c r="A16" s="887">
        <v>8</v>
      </c>
      <c r="B16" s="887"/>
      <c r="C16" s="887" t="s">
        <v>51</v>
      </c>
      <c r="D16" s="1" t="s">
        <v>1158</v>
      </c>
      <c r="E16" s="106">
        <v>244000</v>
      </c>
      <c r="F16" s="890"/>
      <c r="G16" s="885">
        <f t="shared" si="0"/>
        <v>0</v>
      </c>
      <c r="H16" s="884"/>
      <c r="I16" s="883"/>
      <c r="J16" s="883"/>
      <c r="K16" s="882"/>
      <c r="L16" s="876">
        <v>6</v>
      </c>
      <c r="M16" s="881">
        <f t="shared" si="1"/>
        <v>0</v>
      </c>
      <c r="N16" s="875"/>
      <c r="O16" s="880"/>
      <c r="P16" s="879" t="e">
        <f t="shared" si="10"/>
        <v>#DIV/0!</v>
      </c>
      <c r="Q16" s="875"/>
      <c r="R16" s="879">
        <f t="shared" si="2"/>
        <v>0</v>
      </c>
      <c r="T16" s="877"/>
      <c r="U16" s="878">
        <v>0.10100000000000001</v>
      </c>
      <c r="V16" s="857">
        <f t="shared" si="3"/>
        <v>0</v>
      </c>
      <c r="W16" s="857"/>
      <c r="X16" s="857"/>
      <c r="Y16" s="857"/>
      <c r="Z16" s="857"/>
      <c r="AA16" s="857"/>
      <c r="AB16" s="857"/>
      <c r="AC16" s="857"/>
      <c r="AD16" s="857"/>
      <c r="AE16" s="857"/>
      <c r="AF16" s="872"/>
      <c r="AG16" s="877"/>
      <c r="AH16" s="877"/>
      <c r="AI16" s="875"/>
      <c r="AJ16" s="872"/>
      <c r="AK16" s="872"/>
      <c r="AL16" s="877"/>
      <c r="AM16" s="872"/>
      <c r="AN16" s="877"/>
      <c r="AO16" s="872"/>
      <c r="AP16" s="877"/>
      <c r="AQ16" s="877"/>
      <c r="AR16" s="877"/>
      <c r="AS16" s="877"/>
      <c r="AT16" s="877"/>
      <c r="AU16" s="877"/>
      <c r="AV16" s="876"/>
      <c r="AW16" s="876"/>
      <c r="AX16" s="876"/>
      <c r="AY16" s="876"/>
      <c r="AZ16" s="876"/>
      <c r="BA16" s="876"/>
      <c r="BB16" s="875"/>
      <c r="BC16" s="875"/>
      <c r="BD16" s="875"/>
      <c r="BE16" s="875"/>
      <c r="BF16" s="875"/>
      <c r="BG16" s="875"/>
      <c r="BH16" s="874">
        <f t="shared" si="4"/>
        <v>0</v>
      </c>
      <c r="BI16" s="874">
        <f t="shared" si="5"/>
        <v>0</v>
      </c>
      <c r="BJ16" s="874">
        <f t="shared" si="6"/>
        <v>0</v>
      </c>
      <c r="BK16" s="874">
        <f t="shared" si="7"/>
        <v>0</v>
      </c>
      <c r="BL16" s="874">
        <f t="shared" si="8"/>
        <v>0</v>
      </c>
      <c r="BM16" s="874">
        <f t="shared" si="9"/>
        <v>0</v>
      </c>
      <c r="BN16" s="873"/>
      <c r="BO16" s="873"/>
      <c r="BP16" s="873"/>
      <c r="BQ16" s="873"/>
      <c r="BR16" s="873"/>
      <c r="BS16" s="873"/>
      <c r="BT16" s="873"/>
      <c r="BU16" s="873"/>
      <c r="BV16" s="873"/>
      <c r="BW16" s="873"/>
      <c r="BX16" s="873"/>
      <c r="BY16" s="873"/>
      <c r="BZ16" s="872"/>
      <c r="CA16" s="557"/>
      <c r="CB16" s="873"/>
      <c r="CC16" s="872"/>
      <c r="CD16" s="872"/>
      <c r="CE16" s="872"/>
      <c r="CF16" s="872"/>
      <c r="CG16" s="872"/>
      <c r="CH16" s="872"/>
    </row>
    <row r="17" spans="1:86">
      <c r="A17" s="887">
        <v>9</v>
      </c>
      <c r="B17" s="887"/>
      <c r="C17" s="887" t="s">
        <v>768</v>
      </c>
      <c r="D17" s="887" t="s">
        <v>1150</v>
      </c>
      <c r="E17" s="106">
        <v>100000</v>
      </c>
      <c r="F17" s="890"/>
      <c r="G17" s="885">
        <f t="shared" si="0"/>
        <v>0</v>
      </c>
      <c r="H17" s="884"/>
      <c r="I17" s="883"/>
      <c r="J17" s="883"/>
      <c r="K17" s="882"/>
      <c r="L17" s="876">
        <v>6</v>
      </c>
      <c r="M17" s="881">
        <f t="shared" si="1"/>
        <v>0</v>
      </c>
      <c r="N17" s="875"/>
      <c r="O17" s="880"/>
      <c r="P17" s="879" t="e">
        <f t="shared" si="10"/>
        <v>#DIV/0!</v>
      </c>
      <c r="Q17" s="875"/>
      <c r="R17" s="879">
        <f t="shared" si="2"/>
        <v>0</v>
      </c>
      <c r="T17" s="877"/>
      <c r="U17" s="878">
        <v>0.10100000000000001</v>
      </c>
      <c r="V17" s="857">
        <f t="shared" si="3"/>
        <v>0</v>
      </c>
      <c r="W17" s="857"/>
      <c r="X17" s="857"/>
      <c r="Y17" s="857"/>
      <c r="Z17" s="857"/>
      <c r="AA17" s="857"/>
      <c r="AB17" s="857"/>
      <c r="AC17" s="857"/>
      <c r="AD17" s="857"/>
      <c r="AE17" s="857"/>
      <c r="AF17" s="872"/>
      <c r="AG17" s="877"/>
      <c r="AH17" s="877"/>
      <c r="AI17" s="875"/>
      <c r="AJ17" s="872"/>
      <c r="AK17" s="872"/>
      <c r="AL17" s="877"/>
      <c r="AM17" s="872"/>
      <c r="AN17" s="877"/>
      <c r="AO17" s="872"/>
      <c r="AP17" s="877"/>
      <c r="AQ17" s="877"/>
      <c r="AR17" s="877"/>
      <c r="AS17" s="877"/>
      <c r="AT17" s="877"/>
      <c r="AU17" s="877"/>
      <c r="AV17" s="876"/>
      <c r="AW17" s="876"/>
      <c r="AX17" s="876"/>
      <c r="AY17" s="876"/>
      <c r="AZ17" s="876"/>
      <c r="BA17" s="876"/>
      <c r="BB17" s="875"/>
      <c r="BC17" s="875"/>
      <c r="BD17" s="875"/>
      <c r="BE17" s="875"/>
      <c r="BF17" s="875"/>
      <c r="BG17" s="875"/>
      <c r="BH17" s="874">
        <f t="shared" si="4"/>
        <v>0</v>
      </c>
      <c r="BI17" s="874">
        <f t="shared" si="5"/>
        <v>0</v>
      </c>
      <c r="BJ17" s="874">
        <f t="shared" si="6"/>
        <v>0</v>
      </c>
      <c r="BK17" s="874">
        <f t="shared" si="7"/>
        <v>0</v>
      </c>
      <c r="BL17" s="874">
        <f t="shared" si="8"/>
        <v>0</v>
      </c>
      <c r="BM17" s="874">
        <f t="shared" si="9"/>
        <v>0</v>
      </c>
      <c r="BN17" s="873"/>
      <c r="BO17" s="873"/>
      <c r="BP17" s="873"/>
      <c r="BQ17" s="873"/>
      <c r="BR17" s="873"/>
      <c r="BS17" s="873"/>
      <c r="BT17" s="873"/>
      <c r="BU17" s="873"/>
      <c r="BV17" s="873"/>
      <c r="BW17" s="873"/>
      <c r="BX17" s="873"/>
      <c r="BY17" s="873"/>
      <c r="BZ17" s="872"/>
      <c r="CA17" s="557"/>
      <c r="CB17" s="873"/>
      <c r="CC17" s="872"/>
      <c r="CD17" s="872"/>
      <c r="CE17" s="872"/>
      <c r="CF17" s="872"/>
      <c r="CG17" s="872"/>
      <c r="CH17" s="872"/>
    </row>
    <row r="18" spans="1:86">
      <c r="A18" s="887">
        <v>10</v>
      </c>
      <c r="B18" s="887"/>
      <c r="C18" s="887" t="s">
        <v>498</v>
      </c>
      <c r="D18" s="887" t="s">
        <v>1151</v>
      </c>
      <c r="E18" s="106">
        <v>37000</v>
      </c>
      <c r="F18" s="890"/>
      <c r="G18" s="885">
        <f t="shared" si="0"/>
        <v>0</v>
      </c>
      <c r="H18" s="884"/>
      <c r="I18" s="883"/>
      <c r="J18" s="883"/>
      <c r="K18" s="882"/>
      <c r="L18" s="876">
        <v>6</v>
      </c>
      <c r="M18" s="881">
        <f t="shared" si="1"/>
        <v>0</v>
      </c>
      <c r="N18" s="875"/>
      <c r="O18" s="880"/>
      <c r="P18" s="879" t="e">
        <f t="shared" si="10"/>
        <v>#DIV/0!</v>
      </c>
      <c r="Q18" s="875"/>
      <c r="R18" s="879">
        <f t="shared" si="2"/>
        <v>0</v>
      </c>
      <c r="T18" s="877"/>
      <c r="U18" s="878">
        <v>0.10100000000000001</v>
      </c>
      <c r="V18" s="857">
        <f t="shared" si="3"/>
        <v>0</v>
      </c>
      <c r="W18" s="857"/>
      <c r="X18" s="857"/>
      <c r="Y18" s="857"/>
      <c r="Z18" s="857"/>
      <c r="AA18" s="857"/>
      <c r="AB18" s="857"/>
      <c r="AC18" s="857"/>
      <c r="AD18" s="857"/>
      <c r="AE18" s="857"/>
      <c r="AF18" s="872"/>
      <c r="AG18" s="877"/>
      <c r="AH18" s="877"/>
      <c r="AI18" s="875"/>
      <c r="AJ18" s="872"/>
      <c r="AK18" s="872"/>
      <c r="AL18" s="877"/>
      <c r="AM18" s="872"/>
      <c r="AN18" s="877"/>
      <c r="AO18" s="872"/>
      <c r="AP18" s="877"/>
      <c r="AQ18" s="877"/>
      <c r="AR18" s="877"/>
      <c r="AS18" s="877"/>
      <c r="AT18" s="877"/>
      <c r="AU18" s="877"/>
      <c r="AV18" s="876"/>
      <c r="AW18" s="876"/>
      <c r="AX18" s="876"/>
      <c r="AY18" s="876"/>
      <c r="AZ18" s="876"/>
      <c r="BA18" s="876"/>
      <c r="BB18" s="875"/>
      <c r="BC18" s="875"/>
      <c r="BD18" s="875"/>
      <c r="BE18" s="875"/>
      <c r="BF18" s="875"/>
      <c r="BG18" s="875"/>
      <c r="BH18" s="874">
        <f t="shared" si="4"/>
        <v>0</v>
      </c>
      <c r="BI18" s="874">
        <f t="shared" si="5"/>
        <v>0</v>
      </c>
      <c r="BJ18" s="874">
        <f t="shared" si="6"/>
        <v>0</v>
      </c>
      <c r="BK18" s="874">
        <f t="shared" si="7"/>
        <v>0</v>
      </c>
      <c r="BL18" s="874">
        <f t="shared" si="8"/>
        <v>0</v>
      </c>
      <c r="BM18" s="874">
        <f t="shared" si="9"/>
        <v>0</v>
      </c>
      <c r="BN18" s="873"/>
      <c r="BO18" s="873"/>
      <c r="BP18" s="873"/>
      <c r="BQ18" s="873"/>
      <c r="BR18" s="873"/>
      <c r="BS18" s="873"/>
      <c r="BT18" s="873"/>
      <c r="BU18" s="873"/>
      <c r="BV18" s="873"/>
      <c r="BW18" s="873"/>
      <c r="BX18" s="873"/>
      <c r="BY18" s="873"/>
      <c r="BZ18" s="872"/>
      <c r="CA18" s="557"/>
      <c r="CB18" s="873"/>
      <c r="CC18" s="872"/>
      <c r="CD18" s="872"/>
      <c r="CE18" s="872"/>
      <c r="CF18" s="872"/>
      <c r="CG18" s="872"/>
      <c r="CH18" s="872"/>
    </row>
    <row r="19" spans="1:86">
      <c r="A19" s="887">
        <v>11</v>
      </c>
      <c r="B19" s="887"/>
      <c r="C19" s="887" t="s">
        <v>771</v>
      </c>
      <c r="D19" s="887" t="s">
        <v>1149</v>
      </c>
      <c r="E19" s="106">
        <v>83000</v>
      </c>
      <c r="F19" s="890"/>
      <c r="G19" s="885">
        <f t="shared" si="0"/>
        <v>0</v>
      </c>
      <c r="H19" s="884"/>
      <c r="I19" s="883"/>
      <c r="J19" s="883"/>
      <c r="K19" s="882"/>
      <c r="L19" s="876">
        <v>6</v>
      </c>
      <c r="M19" s="881">
        <f t="shared" si="1"/>
        <v>0</v>
      </c>
      <c r="N19" s="875"/>
      <c r="O19" s="880"/>
      <c r="P19" s="879" t="e">
        <f t="shared" si="10"/>
        <v>#DIV/0!</v>
      </c>
      <c r="Q19" s="875"/>
      <c r="R19" s="879">
        <f t="shared" si="2"/>
        <v>0</v>
      </c>
      <c r="T19" s="877"/>
      <c r="U19" s="878">
        <v>0.10100000000000001</v>
      </c>
      <c r="V19" s="857">
        <f t="shared" si="3"/>
        <v>0</v>
      </c>
      <c r="W19" s="857"/>
      <c r="X19" s="857"/>
      <c r="Y19" s="857"/>
      <c r="Z19" s="857"/>
      <c r="AA19" s="857"/>
      <c r="AB19" s="857"/>
      <c r="AC19" s="857"/>
      <c r="AD19" s="857"/>
      <c r="AE19" s="857"/>
      <c r="AF19" s="872"/>
      <c r="AG19" s="877"/>
      <c r="AH19" s="877"/>
      <c r="AI19" s="875"/>
      <c r="AJ19" s="872"/>
      <c r="AK19" s="872"/>
      <c r="AL19" s="877"/>
      <c r="AM19" s="872"/>
      <c r="AN19" s="877"/>
      <c r="AO19" s="872"/>
      <c r="AP19" s="877"/>
      <c r="AQ19" s="877"/>
      <c r="AR19" s="877"/>
      <c r="AS19" s="877"/>
      <c r="AT19" s="877"/>
      <c r="AU19" s="877"/>
      <c r="AV19" s="876"/>
      <c r="AW19" s="876"/>
      <c r="AX19" s="876"/>
      <c r="AY19" s="876"/>
      <c r="AZ19" s="876"/>
      <c r="BA19" s="876"/>
      <c r="BB19" s="875"/>
      <c r="BC19" s="875"/>
      <c r="BD19" s="875"/>
      <c r="BE19" s="875"/>
      <c r="BF19" s="875"/>
      <c r="BG19" s="875"/>
      <c r="BH19" s="874">
        <f t="shared" si="4"/>
        <v>0</v>
      </c>
      <c r="BI19" s="874">
        <f t="shared" si="5"/>
        <v>0</v>
      </c>
      <c r="BJ19" s="874">
        <f t="shared" si="6"/>
        <v>0</v>
      </c>
      <c r="BK19" s="874">
        <f t="shared" si="7"/>
        <v>0</v>
      </c>
      <c r="BL19" s="874">
        <f t="shared" si="8"/>
        <v>0</v>
      </c>
      <c r="BM19" s="874">
        <f t="shared" si="9"/>
        <v>0</v>
      </c>
      <c r="BN19" s="873"/>
      <c r="BO19" s="873"/>
      <c r="BP19" s="873"/>
      <c r="BQ19" s="873"/>
      <c r="BR19" s="873"/>
      <c r="BS19" s="873"/>
      <c r="BT19" s="873"/>
      <c r="BU19" s="873"/>
      <c r="BV19" s="873"/>
      <c r="BW19" s="873"/>
      <c r="BX19" s="873"/>
      <c r="BY19" s="873"/>
      <c r="BZ19" s="872"/>
      <c r="CA19" s="557"/>
      <c r="CB19" s="873"/>
      <c r="CC19" s="872"/>
      <c r="CD19" s="872"/>
      <c r="CE19" s="872"/>
      <c r="CF19" s="872"/>
      <c r="CG19" s="872"/>
      <c r="CH19" s="872"/>
    </row>
    <row r="20" spans="1:86">
      <c r="A20" s="887">
        <v>12</v>
      </c>
      <c r="B20" s="887"/>
      <c r="C20" s="887" t="s">
        <v>769</v>
      </c>
      <c r="D20" s="887" t="s">
        <v>1151</v>
      </c>
      <c r="E20" s="106">
        <v>16000</v>
      </c>
      <c r="F20" s="890"/>
      <c r="G20" s="885">
        <f t="shared" si="0"/>
        <v>0</v>
      </c>
      <c r="H20" s="884"/>
      <c r="I20" s="883"/>
      <c r="J20" s="883"/>
      <c r="K20" s="882"/>
      <c r="L20" s="876">
        <v>6</v>
      </c>
      <c r="M20" s="881">
        <f t="shared" si="1"/>
        <v>0</v>
      </c>
      <c r="N20" s="875"/>
      <c r="O20" s="880"/>
      <c r="P20" s="879" t="e">
        <f t="shared" si="10"/>
        <v>#DIV/0!</v>
      </c>
      <c r="Q20" s="875"/>
      <c r="R20" s="879">
        <f t="shared" si="2"/>
        <v>0</v>
      </c>
      <c r="T20" s="877"/>
      <c r="U20" s="878">
        <v>0.10100000000000001</v>
      </c>
      <c r="V20" s="857">
        <f t="shared" si="3"/>
        <v>0</v>
      </c>
      <c r="W20" s="857"/>
      <c r="X20" s="857"/>
      <c r="Y20" s="857"/>
      <c r="Z20" s="857"/>
      <c r="AA20" s="857"/>
      <c r="AB20" s="857"/>
      <c r="AC20" s="857"/>
      <c r="AD20" s="857"/>
      <c r="AE20" s="857"/>
      <c r="AF20" s="872"/>
      <c r="AG20" s="877"/>
      <c r="AH20" s="877"/>
      <c r="AI20" s="875"/>
      <c r="AJ20" s="872"/>
      <c r="AK20" s="872"/>
      <c r="AL20" s="877"/>
      <c r="AM20" s="872"/>
      <c r="AN20" s="877"/>
      <c r="AO20" s="872"/>
      <c r="AP20" s="877"/>
      <c r="AQ20" s="877"/>
      <c r="AR20" s="877"/>
      <c r="AS20" s="877"/>
      <c r="AT20" s="877"/>
      <c r="AU20" s="877"/>
      <c r="AV20" s="876"/>
      <c r="AW20" s="876"/>
      <c r="AX20" s="876"/>
      <c r="AY20" s="876"/>
      <c r="AZ20" s="876"/>
      <c r="BA20" s="876"/>
      <c r="BB20" s="875"/>
      <c r="BC20" s="875"/>
      <c r="BD20" s="875"/>
      <c r="BE20" s="875"/>
      <c r="BF20" s="875"/>
      <c r="BG20" s="875"/>
      <c r="BH20" s="874">
        <f t="shared" si="4"/>
        <v>0</v>
      </c>
      <c r="BI20" s="874">
        <f t="shared" si="5"/>
        <v>0</v>
      </c>
      <c r="BJ20" s="874">
        <f t="shared" si="6"/>
        <v>0</v>
      </c>
      <c r="BK20" s="874">
        <f t="shared" si="7"/>
        <v>0</v>
      </c>
      <c r="BL20" s="874">
        <f t="shared" si="8"/>
        <v>0</v>
      </c>
      <c r="BM20" s="874">
        <f t="shared" si="9"/>
        <v>0</v>
      </c>
      <c r="BN20" s="873"/>
      <c r="BO20" s="873"/>
      <c r="BP20" s="873"/>
      <c r="BQ20" s="873"/>
      <c r="BR20" s="873"/>
      <c r="BS20" s="873"/>
      <c r="BT20" s="873"/>
      <c r="BU20" s="873"/>
      <c r="BV20" s="873"/>
      <c r="BW20" s="873"/>
      <c r="BX20" s="873"/>
      <c r="BY20" s="873"/>
      <c r="BZ20" s="872"/>
      <c r="CA20" s="557"/>
      <c r="CB20" s="873"/>
      <c r="CC20" s="872"/>
      <c r="CD20" s="872"/>
      <c r="CE20" s="872"/>
      <c r="CF20" s="872"/>
      <c r="CG20" s="872"/>
      <c r="CH20" s="872"/>
    </row>
    <row r="21" spans="1:86">
      <c r="A21" s="887">
        <v>13</v>
      </c>
      <c r="B21" s="887"/>
      <c r="C21" s="888" t="s">
        <v>1157</v>
      </c>
      <c r="D21" s="887" t="s">
        <v>1151</v>
      </c>
      <c r="E21" s="106">
        <v>23000</v>
      </c>
      <c r="F21" s="886"/>
      <c r="G21" s="885">
        <f t="shared" si="0"/>
        <v>0</v>
      </c>
      <c r="H21" s="884"/>
      <c r="I21" s="883"/>
      <c r="J21" s="883"/>
      <c r="K21" s="882"/>
      <c r="L21" s="876">
        <v>6</v>
      </c>
      <c r="M21" s="881">
        <f t="shared" si="1"/>
        <v>0</v>
      </c>
      <c r="N21" s="875"/>
      <c r="O21" s="880"/>
      <c r="P21" s="879" t="e">
        <f t="shared" si="10"/>
        <v>#DIV/0!</v>
      </c>
      <c r="Q21" s="875"/>
      <c r="R21" s="879">
        <f t="shared" si="2"/>
        <v>0</v>
      </c>
      <c r="T21" s="877"/>
      <c r="U21" s="878">
        <v>0.10100000000000001</v>
      </c>
      <c r="V21" s="857">
        <f t="shared" si="3"/>
        <v>0</v>
      </c>
      <c r="W21" s="857"/>
      <c r="X21" s="857"/>
      <c r="Y21" s="857"/>
      <c r="Z21" s="857"/>
      <c r="AA21" s="857"/>
      <c r="AB21" s="857"/>
      <c r="AC21" s="857"/>
      <c r="AD21" s="857"/>
      <c r="AE21" s="857"/>
      <c r="AF21" s="872"/>
      <c r="AG21" s="877"/>
      <c r="AH21" s="877"/>
      <c r="AI21" s="875"/>
      <c r="AJ21" s="872"/>
      <c r="AK21" s="872"/>
      <c r="AL21" s="877"/>
      <c r="AM21" s="872"/>
      <c r="AN21" s="877"/>
      <c r="AO21" s="872"/>
      <c r="AP21" s="877"/>
      <c r="AQ21" s="877"/>
      <c r="AR21" s="877"/>
      <c r="AS21" s="877"/>
      <c r="AT21" s="877"/>
      <c r="AU21" s="877"/>
      <c r="AV21" s="876"/>
      <c r="AW21" s="876"/>
      <c r="AX21" s="876"/>
      <c r="AY21" s="876"/>
      <c r="AZ21" s="876"/>
      <c r="BA21" s="876"/>
      <c r="BB21" s="875"/>
      <c r="BC21" s="875"/>
      <c r="BD21" s="875"/>
      <c r="BE21" s="875"/>
      <c r="BF21" s="875"/>
      <c r="BG21" s="875"/>
      <c r="BH21" s="874">
        <f t="shared" si="4"/>
        <v>0</v>
      </c>
      <c r="BI21" s="874">
        <f t="shared" si="5"/>
        <v>0</v>
      </c>
      <c r="BJ21" s="874">
        <f t="shared" si="6"/>
        <v>0</v>
      </c>
      <c r="BK21" s="874">
        <f t="shared" si="7"/>
        <v>0</v>
      </c>
      <c r="BL21" s="874">
        <f t="shared" si="8"/>
        <v>0</v>
      </c>
      <c r="BM21" s="874">
        <f t="shared" si="9"/>
        <v>0</v>
      </c>
      <c r="BN21" s="873"/>
      <c r="BO21" s="873"/>
      <c r="BP21" s="873"/>
      <c r="BQ21" s="873"/>
      <c r="BR21" s="873"/>
      <c r="BS21" s="873"/>
      <c r="BT21" s="873"/>
      <c r="BU21" s="873"/>
      <c r="BV21" s="873"/>
      <c r="BW21" s="873"/>
      <c r="BX21" s="873"/>
      <c r="BY21" s="873"/>
      <c r="BZ21" s="872"/>
      <c r="CA21" s="557"/>
      <c r="CB21" s="873"/>
      <c r="CC21" s="872"/>
      <c r="CD21" s="872"/>
      <c r="CE21" s="872"/>
      <c r="CF21" s="872"/>
      <c r="CG21" s="872"/>
      <c r="CH21" s="872"/>
    </row>
    <row r="22" spans="1:86">
      <c r="A22" s="887">
        <v>14</v>
      </c>
      <c r="B22" s="887"/>
      <c r="C22" s="888" t="s">
        <v>90</v>
      </c>
      <c r="D22" s="887" t="s">
        <v>1151</v>
      </c>
      <c r="E22" s="106">
        <v>6900</v>
      </c>
      <c r="F22" s="886"/>
      <c r="G22" s="885">
        <f t="shared" si="0"/>
        <v>0</v>
      </c>
      <c r="H22" s="884"/>
      <c r="I22" s="883"/>
      <c r="J22" s="883"/>
      <c r="K22" s="882"/>
      <c r="L22" s="876">
        <v>6</v>
      </c>
      <c r="M22" s="881">
        <f t="shared" si="1"/>
        <v>0</v>
      </c>
      <c r="N22" s="875"/>
      <c r="O22" s="880"/>
      <c r="P22" s="879" t="e">
        <f t="shared" si="10"/>
        <v>#DIV/0!</v>
      </c>
      <c r="Q22" s="875"/>
      <c r="R22" s="879">
        <f t="shared" si="2"/>
        <v>0</v>
      </c>
      <c r="T22" s="877"/>
      <c r="U22" s="878">
        <v>0.10100000000000001</v>
      </c>
      <c r="V22" s="857">
        <f t="shared" si="3"/>
        <v>0</v>
      </c>
      <c r="W22" s="857"/>
      <c r="X22" s="857"/>
      <c r="Y22" s="857"/>
      <c r="Z22" s="857"/>
      <c r="AA22" s="857"/>
      <c r="AB22" s="857"/>
      <c r="AC22" s="857"/>
      <c r="AD22" s="857"/>
      <c r="AE22" s="857"/>
      <c r="AF22" s="872"/>
      <c r="AG22" s="877"/>
      <c r="AH22" s="877"/>
      <c r="AI22" s="875"/>
      <c r="AJ22" s="872"/>
      <c r="AK22" s="872"/>
      <c r="AL22" s="877"/>
      <c r="AM22" s="872"/>
      <c r="AN22" s="877"/>
      <c r="AO22" s="872"/>
      <c r="AP22" s="877"/>
      <c r="AQ22" s="877"/>
      <c r="AR22" s="877"/>
      <c r="AS22" s="877"/>
      <c r="AT22" s="877"/>
      <c r="AU22" s="877"/>
      <c r="AV22" s="876"/>
      <c r="AW22" s="876"/>
      <c r="AX22" s="876"/>
      <c r="AY22" s="876"/>
      <c r="AZ22" s="876"/>
      <c r="BA22" s="876"/>
      <c r="BB22" s="875"/>
      <c r="BC22" s="875"/>
      <c r="BD22" s="875"/>
      <c r="BE22" s="875"/>
      <c r="BF22" s="875"/>
      <c r="BG22" s="875"/>
      <c r="BH22" s="874">
        <f t="shared" si="4"/>
        <v>0</v>
      </c>
      <c r="BI22" s="874">
        <f t="shared" si="5"/>
        <v>0</v>
      </c>
      <c r="BJ22" s="874">
        <f t="shared" si="6"/>
        <v>0</v>
      </c>
      <c r="BK22" s="874">
        <f t="shared" si="7"/>
        <v>0</v>
      </c>
      <c r="BL22" s="874">
        <f t="shared" si="8"/>
        <v>0</v>
      </c>
      <c r="BM22" s="874">
        <f t="shared" si="9"/>
        <v>0</v>
      </c>
      <c r="BN22" s="873"/>
      <c r="BO22" s="873"/>
      <c r="BP22" s="873"/>
      <c r="BQ22" s="873"/>
      <c r="BR22" s="873"/>
      <c r="BS22" s="873"/>
      <c r="BT22" s="873"/>
      <c r="BU22" s="873"/>
      <c r="BV22" s="873"/>
      <c r="BW22" s="873"/>
      <c r="BX22" s="873"/>
      <c r="BY22" s="873"/>
      <c r="BZ22" s="872"/>
      <c r="CA22" s="557"/>
      <c r="CB22" s="873"/>
      <c r="CC22" s="872"/>
      <c r="CD22" s="872"/>
      <c r="CE22" s="872"/>
      <c r="CF22" s="872"/>
      <c r="CG22" s="872"/>
      <c r="CH22" s="872"/>
    </row>
    <row r="23" spans="1:86">
      <c r="A23" s="887">
        <v>15</v>
      </c>
      <c r="B23" s="887"/>
      <c r="C23" s="887" t="s">
        <v>526</v>
      </c>
      <c r="D23" s="889" t="s">
        <v>1151</v>
      </c>
      <c r="E23" s="106">
        <v>39000</v>
      </c>
      <c r="F23" s="886"/>
      <c r="G23" s="885">
        <f t="shared" si="0"/>
        <v>0</v>
      </c>
      <c r="H23" s="884"/>
      <c r="I23" s="883"/>
      <c r="J23" s="883"/>
      <c r="K23" s="882"/>
      <c r="L23" s="876">
        <v>6</v>
      </c>
      <c r="M23" s="881">
        <f t="shared" si="1"/>
        <v>0</v>
      </c>
      <c r="N23" s="875"/>
      <c r="O23" s="880"/>
      <c r="P23" s="879" t="e">
        <f t="shared" si="10"/>
        <v>#DIV/0!</v>
      </c>
      <c r="Q23" s="875"/>
      <c r="R23" s="879">
        <f t="shared" si="2"/>
        <v>0</v>
      </c>
      <c r="T23" s="877"/>
      <c r="U23" s="878">
        <v>0.10100000000000001</v>
      </c>
      <c r="V23" s="857">
        <f t="shared" si="3"/>
        <v>0</v>
      </c>
      <c r="W23" s="857"/>
      <c r="X23" s="857"/>
      <c r="Y23" s="857"/>
      <c r="Z23" s="857"/>
      <c r="AA23" s="857"/>
      <c r="AB23" s="857"/>
      <c r="AC23" s="857"/>
      <c r="AD23" s="857"/>
      <c r="AE23" s="857"/>
      <c r="AF23" s="872"/>
      <c r="AG23" s="877"/>
      <c r="AH23" s="877"/>
      <c r="AI23" s="875"/>
      <c r="AJ23" s="872"/>
      <c r="AK23" s="872"/>
      <c r="AL23" s="877"/>
      <c r="AM23" s="872"/>
      <c r="AN23" s="877"/>
      <c r="AO23" s="872"/>
      <c r="AP23" s="877"/>
      <c r="AQ23" s="877"/>
      <c r="AR23" s="877"/>
      <c r="AS23" s="877"/>
      <c r="AT23" s="877"/>
      <c r="AU23" s="877"/>
      <c r="AV23" s="876"/>
      <c r="AW23" s="876"/>
      <c r="AX23" s="876"/>
      <c r="AY23" s="876"/>
      <c r="AZ23" s="876"/>
      <c r="BA23" s="876"/>
      <c r="BB23" s="875"/>
      <c r="BC23" s="875"/>
      <c r="BD23" s="875"/>
      <c r="BE23" s="875"/>
      <c r="BF23" s="875"/>
      <c r="BG23" s="875"/>
      <c r="BH23" s="874">
        <f t="shared" si="4"/>
        <v>0</v>
      </c>
      <c r="BI23" s="874">
        <f t="shared" si="5"/>
        <v>0</v>
      </c>
      <c r="BJ23" s="874">
        <f t="shared" si="6"/>
        <v>0</v>
      </c>
      <c r="BK23" s="874">
        <f t="shared" si="7"/>
        <v>0</v>
      </c>
      <c r="BL23" s="874">
        <f t="shared" si="8"/>
        <v>0</v>
      </c>
      <c r="BM23" s="874">
        <f t="shared" si="9"/>
        <v>0</v>
      </c>
      <c r="BN23" s="873"/>
      <c r="BO23" s="873"/>
      <c r="BP23" s="873"/>
      <c r="BQ23" s="873"/>
      <c r="BR23" s="873"/>
      <c r="BS23" s="873"/>
      <c r="BT23" s="873"/>
      <c r="BU23" s="873"/>
      <c r="BV23" s="873"/>
      <c r="BW23" s="873"/>
      <c r="BX23" s="873"/>
      <c r="BY23" s="873"/>
      <c r="BZ23" s="872"/>
      <c r="CA23" s="557"/>
      <c r="CB23" s="873"/>
      <c r="CC23" s="872"/>
      <c r="CD23" s="872"/>
      <c r="CE23" s="872"/>
      <c r="CF23" s="872"/>
      <c r="CG23" s="872"/>
      <c r="CH23" s="872"/>
    </row>
    <row r="24" spans="1:86">
      <c r="A24" s="887">
        <v>16</v>
      </c>
      <c r="B24" s="887"/>
      <c r="C24" s="888" t="s">
        <v>1156</v>
      </c>
      <c r="D24" s="887" t="s">
        <v>1151</v>
      </c>
      <c r="E24" s="106">
        <v>13000</v>
      </c>
      <c r="F24" s="886"/>
      <c r="G24" s="885">
        <f t="shared" si="0"/>
        <v>0</v>
      </c>
      <c r="H24" s="884"/>
      <c r="I24" s="883"/>
      <c r="J24" s="883"/>
      <c r="K24" s="882"/>
      <c r="L24" s="876">
        <v>6</v>
      </c>
      <c r="M24" s="881">
        <f t="shared" si="1"/>
        <v>0</v>
      </c>
      <c r="N24" s="875"/>
      <c r="O24" s="880"/>
      <c r="P24" s="879" t="e">
        <f t="shared" si="10"/>
        <v>#DIV/0!</v>
      </c>
      <c r="Q24" s="875"/>
      <c r="R24" s="879">
        <f t="shared" si="2"/>
        <v>0</v>
      </c>
      <c r="T24" s="877"/>
      <c r="U24" s="878">
        <v>0.10100000000000001</v>
      </c>
      <c r="V24" s="857">
        <f t="shared" si="3"/>
        <v>0</v>
      </c>
      <c r="W24" s="857"/>
      <c r="X24" s="857"/>
      <c r="Y24" s="857"/>
      <c r="Z24" s="857"/>
      <c r="AA24" s="857"/>
      <c r="AB24" s="857"/>
      <c r="AC24" s="857"/>
      <c r="AD24" s="857"/>
      <c r="AE24" s="857"/>
      <c r="AF24" s="872"/>
      <c r="AG24" s="877"/>
      <c r="AH24" s="877"/>
      <c r="AI24" s="875"/>
      <c r="AJ24" s="872"/>
      <c r="AK24" s="872"/>
      <c r="AL24" s="877"/>
      <c r="AM24" s="872"/>
      <c r="AN24" s="877"/>
      <c r="AO24" s="872"/>
      <c r="AP24" s="877"/>
      <c r="AQ24" s="877"/>
      <c r="AR24" s="877"/>
      <c r="AS24" s="877"/>
      <c r="AT24" s="877"/>
      <c r="AU24" s="877"/>
      <c r="AV24" s="876"/>
      <c r="AW24" s="876"/>
      <c r="AX24" s="876"/>
      <c r="AY24" s="876"/>
      <c r="AZ24" s="876"/>
      <c r="BA24" s="876"/>
      <c r="BB24" s="875"/>
      <c r="BC24" s="875"/>
      <c r="BD24" s="875"/>
      <c r="BE24" s="875"/>
      <c r="BF24" s="875"/>
      <c r="BG24" s="875"/>
      <c r="BH24" s="874">
        <f t="shared" si="4"/>
        <v>0</v>
      </c>
      <c r="BI24" s="874">
        <f t="shared" si="5"/>
        <v>0</v>
      </c>
      <c r="BJ24" s="874">
        <f t="shared" si="6"/>
        <v>0</v>
      </c>
      <c r="BK24" s="874">
        <f t="shared" si="7"/>
        <v>0</v>
      </c>
      <c r="BL24" s="874">
        <f t="shared" si="8"/>
        <v>0</v>
      </c>
      <c r="BM24" s="874">
        <f t="shared" si="9"/>
        <v>0</v>
      </c>
      <c r="BN24" s="873"/>
      <c r="BO24" s="873"/>
      <c r="BP24" s="873"/>
      <c r="BQ24" s="873"/>
      <c r="BR24" s="873"/>
      <c r="BS24" s="873"/>
      <c r="BT24" s="873"/>
      <c r="BU24" s="873"/>
      <c r="BV24" s="873"/>
      <c r="BW24" s="873"/>
      <c r="BX24" s="873"/>
      <c r="BY24" s="873"/>
      <c r="BZ24" s="872"/>
      <c r="CA24" s="557"/>
      <c r="CB24" s="873"/>
      <c r="CC24" s="872"/>
      <c r="CD24" s="872"/>
      <c r="CE24" s="872"/>
      <c r="CF24" s="872"/>
      <c r="CG24" s="872"/>
      <c r="CH24" s="872"/>
    </row>
    <row r="25" spans="1:86">
      <c r="A25" s="887">
        <v>17</v>
      </c>
      <c r="B25" s="887"/>
      <c r="C25" s="572" t="s">
        <v>770</v>
      </c>
      <c r="D25" s="889" t="s">
        <v>1150</v>
      </c>
      <c r="E25" s="106">
        <v>26000</v>
      </c>
      <c r="F25" s="886"/>
      <c r="G25" s="885">
        <f t="shared" si="0"/>
        <v>0</v>
      </c>
      <c r="H25" s="884"/>
      <c r="I25" s="883"/>
      <c r="J25" s="883"/>
      <c r="K25" s="882"/>
      <c r="L25" s="876">
        <v>6</v>
      </c>
      <c r="M25" s="881">
        <f t="shared" si="1"/>
        <v>0</v>
      </c>
      <c r="N25" s="875"/>
      <c r="O25" s="880"/>
      <c r="P25" s="879" t="e">
        <f t="shared" si="10"/>
        <v>#DIV/0!</v>
      </c>
      <c r="Q25" s="875"/>
      <c r="R25" s="879">
        <f t="shared" si="2"/>
        <v>0</v>
      </c>
      <c r="T25" s="877"/>
      <c r="U25" s="878">
        <v>0.10100000000000001</v>
      </c>
      <c r="V25" s="857">
        <f t="shared" si="3"/>
        <v>0</v>
      </c>
      <c r="W25" s="857"/>
      <c r="X25" s="857"/>
      <c r="Y25" s="857"/>
      <c r="Z25" s="857"/>
      <c r="AA25" s="857"/>
      <c r="AB25" s="857"/>
      <c r="AC25" s="857"/>
      <c r="AD25" s="857"/>
      <c r="AE25" s="857"/>
      <c r="AF25" s="872"/>
      <c r="AG25" s="877"/>
      <c r="AH25" s="877"/>
      <c r="AI25" s="875"/>
      <c r="AJ25" s="872"/>
      <c r="AK25" s="872"/>
      <c r="AL25" s="877"/>
      <c r="AM25" s="872"/>
      <c r="AN25" s="877"/>
      <c r="AO25" s="872"/>
      <c r="AP25" s="877"/>
      <c r="AQ25" s="877"/>
      <c r="AR25" s="877"/>
      <c r="AS25" s="877"/>
      <c r="AT25" s="877"/>
      <c r="AU25" s="877"/>
      <c r="AV25" s="876"/>
      <c r="AW25" s="876"/>
      <c r="AX25" s="876"/>
      <c r="AY25" s="876"/>
      <c r="AZ25" s="876"/>
      <c r="BA25" s="876"/>
      <c r="BB25" s="875"/>
      <c r="BC25" s="875"/>
      <c r="BD25" s="875"/>
      <c r="BE25" s="875"/>
      <c r="BF25" s="875"/>
      <c r="BG25" s="875"/>
      <c r="BH25" s="874">
        <f t="shared" si="4"/>
        <v>0</v>
      </c>
      <c r="BI25" s="874">
        <f t="shared" si="5"/>
        <v>0</v>
      </c>
      <c r="BJ25" s="874">
        <f t="shared" si="6"/>
        <v>0</v>
      </c>
      <c r="BK25" s="874">
        <f t="shared" si="7"/>
        <v>0</v>
      </c>
      <c r="BL25" s="874">
        <f t="shared" si="8"/>
        <v>0</v>
      </c>
      <c r="BM25" s="874">
        <f t="shared" si="9"/>
        <v>0</v>
      </c>
      <c r="BN25" s="873"/>
      <c r="BO25" s="873"/>
      <c r="BP25" s="873"/>
      <c r="BQ25" s="873"/>
      <c r="BR25" s="873"/>
      <c r="BS25" s="873"/>
      <c r="BT25" s="873"/>
      <c r="BU25" s="873"/>
      <c r="BV25" s="873"/>
      <c r="BW25" s="873"/>
      <c r="BX25" s="873"/>
      <c r="BY25" s="873"/>
      <c r="BZ25" s="872"/>
      <c r="CA25" s="557"/>
      <c r="CB25" s="873"/>
      <c r="CC25" s="872"/>
      <c r="CD25" s="872"/>
      <c r="CE25" s="872"/>
      <c r="CF25" s="872"/>
      <c r="CG25" s="872"/>
      <c r="CH25" s="872"/>
    </row>
    <row r="26" spans="1:86">
      <c r="A26" s="887">
        <v>18</v>
      </c>
      <c r="B26" s="887"/>
      <c r="C26" s="888" t="s">
        <v>1155</v>
      </c>
      <c r="D26" s="887" t="s">
        <v>1154</v>
      </c>
      <c r="E26" s="106">
        <v>17000</v>
      </c>
      <c r="F26" s="886"/>
      <c r="G26" s="885">
        <f t="shared" si="0"/>
        <v>0</v>
      </c>
      <c r="H26" s="884"/>
      <c r="I26" s="883"/>
      <c r="J26" s="883"/>
      <c r="K26" s="882"/>
      <c r="L26" s="876">
        <v>6</v>
      </c>
      <c r="M26" s="881">
        <f t="shared" si="1"/>
        <v>0</v>
      </c>
      <c r="N26" s="875"/>
      <c r="O26" s="880"/>
      <c r="P26" s="879" t="e">
        <f t="shared" si="10"/>
        <v>#DIV/0!</v>
      </c>
      <c r="Q26" s="875"/>
      <c r="R26" s="879">
        <f t="shared" si="2"/>
        <v>0</v>
      </c>
      <c r="T26" s="877"/>
      <c r="U26" s="878">
        <v>0.10100000000000001</v>
      </c>
      <c r="V26" s="857">
        <f t="shared" si="3"/>
        <v>0</v>
      </c>
      <c r="W26" s="857"/>
      <c r="X26" s="857"/>
      <c r="Y26" s="857"/>
      <c r="Z26" s="857"/>
      <c r="AA26" s="857"/>
      <c r="AB26" s="857"/>
      <c r="AC26" s="857"/>
      <c r="AD26" s="857"/>
      <c r="AE26" s="857"/>
      <c r="AF26" s="872"/>
      <c r="AG26" s="877"/>
      <c r="AH26" s="877"/>
      <c r="AI26" s="875"/>
      <c r="AJ26" s="872"/>
      <c r="AK26" s="872"/>
      <c r="AL26" s="877"/>
      <c r="AM26" s="872"/>
      <c r="AN26" s="877"/>
      <c r="AO26" s="872"/>
      <c r="AP26" s="877"/>
      <c r="AQ26" s="877"/>
      <c r="AR26" s="877"/>
      <c r="AS26" s="877"/>
      <c r="AT26" s="877"/>
      <c r="AU26" s="877"/>
      <c r="AV26" s="876"/>
      <c r="AW26" s="876"/>
      <c r="AX26" s="876"/>
      <c r="AY26" s="876"/>
      <c r="AZ26" s="876"/>
      <c r="BA26" s="876"/>
      <c r="BB26" s="875"/>
      <c r="BC26" s="875"/>
      <c r="BD26" s="875"/>
      <c r="BE26" s="875"/>
      <c r="BF26" s="875"/>
      <c r="BG26" s="875"/>
      <c r="BH26" s="874">
        <f t="shared" si="4"/>
        <v>0</v>
      </c>
      <c r="BI26" s="874">
        <f t="shared" si="5"/>
        <v>0</v>
      </c>
      <c r="BJ26" s="874">
        <f t="shared" si="6"/>
        <v>0</v>
      </c>
      <c r="BK26" s="874">
        <f t="shared" si="7"/>
        <v>0</v>
      </c>
      <c r="BL26" s="874">
        <f t="shared" si="8"/>
        <v>0</v>
      </c>
      <c r="BM26" s="874">
        <f t="shared" si="9"/>
        <v>0</v>
      </c>
      <c r="BN26" s="873"/>
      <c r="BO26" s="873"/>
      <c r="BP26" s="873"/>
      <c r="BQ26" s="873"/>
      <c r="BR26" s="873"/>
      <c r="BS26" s="873"/>
      <c r="BT26" s="873"/>
      <c r="BU26" s="873"/>
      <c r="BV26" s="873"/>
      <c r="BW26" s="873"/>
      <c r="BX26" s="873"/>
      <c r="BY26" s="873"/>
      <c r="BZ26" s="872"/>
      <c r="CA26" s="557"/>
      <c r="CB26" s="873"/>
      <c r="CC26" s="872"/>
      <c r="CD26" s="872"/>
      <c r="CE26" s="872"/>
      <c r="CF26" s="872"/>
      <c r="CG26" s="872"/>
      <c r="CH26" s="872"/>
    </row>
    <row r="27" spans="1:86">
      <c r="A27" s="887">
        <v>19</v>
      </c>
      <c r="B27" s="887"/>
      <c r="C27" s="572" t="s">
        <v>767</v>
      </c>
      <c r="D27" s="889" t="s">
        <v>1150</v>
      </c>
      <c r="E27" s="106">
        <v>29000</v>
      </c>
      <c r="F27" s="886"/>
      <c r="G27" s="885">
        <f t="shared" si="0"/>
        <v>0</v>
      </c>
      <c r="H27" s="884"/>
      <c r="I27" s="883"/>
      <c r="J27" s="883"/>
      <c r="K27" s="882"/>
      <c r="L27" s="876">
        <v>6</v>
      </c>
      <c r="M27" s="881">
        <f t="shared" si="1"/>
        <v>0</v>
      </c>
      <c r="N27" s="875"/>
      <c r="O27" s="880"/>
      <c r="P27" s="879" t="e">
        <f t="shared" si="10"/>
        <v>#DIV/0!</v>
      </c>
      <c r="Q27" s="875"/>
      <c r="R27" s="879">
        <f t="shared" si="2"/>
        <v>0</v>
      </c>
      <c r="T27" s="877"/>
      <c r="U27" s="878">
        <v>0.10100000000000001</v>
      </c>
      <c r="V27" s="857">
        <f t="shared" si="3"/>
        <v>0</v>
      </c>
      <c r="W27" s="857"/>
      <c r="X27" s="857"/>
      <c r="Y27" s="857"/>
      <c r="Z27" s="857"/>
      <c r="AA27" s="857"/>
      <c r="AB27" s="857"/>
      <c r="AC27" s="857"/>
      <c r="AD27" s="857"/>
      <c r="AE27" s="857"/>
      <c r="AF27" s="872"/>
      <c r="AG27" s="877"/>
      <c r="AH27" s="877"/>
      <c r="AI27" s="875"/>
      <c r="AJ27" s="872"/>
      <c r="AK27" s="872"/>
      <c r="AL27" s="877"/>
      <c r="AM27" s="872"/>
      <c r="AN27" s="877"/>
      <c r="AO27" s="872"/>
      <c r="AP27" s="877"/>
      <c r="AQ27" s="877"/>
      <c r="AR27" s="877"/>
      <c r="AS27" s="877"/>
      <c r="AT27" s="877"/>
      <c r="AU27" s="877"/>
      <c r="AV27" s="876"/>
      <c r="AW27" s="876"/>
      <c r="AX27" s="876"/>
      <c r="AY27" s="876"/>
      <c r="AZ27" s="876"/>
      <c r="BA27" s="876"/>
      <c r="BB27" s="875"/>
      <c r="BC27" s="875"/>
      <c r="BD27" s="875"/>
      <c r="BE27" s="875"/>
      <c r="BF27" s="875"/>
      <c r="BG27" s="875"/>
      <c r="BH27" s="874">
        <f t="shared" si="4"/>
        <v>0</v>
      </c>
      <c r="BI27" s="874">
        <f t="shared" si="5"/>
        <v>0</v>
      </c>
      <c r="BJ27" s="874">
        <f t="shared" si="6"/>
        <v>0</v>
      </c>
      <c r="BK27" s="874">
        <f t="shared" si="7"/>
        <v>0</v>
      </c>
      <c r="BL27" s="874">
        <f t="shared" si="8"/>
        <v>0</v>
      </c>
      <c r="BM27" s="874">
        <f t="shared" si="9"/>
        <v>0</v>
      </c>
      <c r="BN27" s="873"/>
      <c r="BO27" s="873"/>
      <c r="BP27" s="873"/>
      <c r="BQ27" s="873"/>
      <c r="BR27" s="873"/>
      <c r="BS27" s="873"/>
      <c r="BT27" s="873"/>
      <c r="BU27" s="873"/>
      <c r="BV27" s="873"/>
      <c r="BW27" s="873"/>
      <c r="BX27" s="873"/>
      <c r="BY27" s="873"/>
      <c r="BZ27" s="872"/>
      <c r="CA27" s="557"/>
      <c r="CB27" s="873"/>
      <c r="CC27" s="872"/>
      <c r="CD27" s="872"/>
      <c r="CE27" s="872"/>
      <c r="CF27" s="872"/>
      <c r="CG27" s="872"/>
      <c r="CH27" s="872"/>
    </row>
    <row r="28" spans="1:86">
      <c r="A28" s="887">
        <v>20</v>
      </c>
      <c r="B28" s="887"/>
      <c r="C28" s="888" t="s">
        <v>1153</v>
      </c>
      <c r="D28" s="887" t="s">
        <v>1150</v>
      </c>
      <c r="E28" s="106">
        <v>15000</v>
      </c>
      <c r="F28" s="886"/>
      <c r="G28" s="885">
        <f t="shared" si="0"/>
        <v>0</v>
      </c>
      <c r="H28" s="884"/>
      <c r="I28" s="883"/>
      <c r="J28" s="883"/>
      <c r="K28" s="882"/>
      <c r="L28" s="876">
        <v>6</v>
      </c>
      <c r="M28" s="881">
        <f t="shared" si="1"/>
        <v>0</v>
      </c>
      <c r="N28" s="875"/>
      <c r="O28" s="880"/>
      <c r="P28" s="879" t="e">
        <f t="shared" si="10"/>
        <v>#DIV/0!</v>
      </c>
      <c r="Q28" s="875"/>
      <c r="R28" s="879">
        <f t="shared" si="2"/>
        <v>0</v>
      </c>
      <c r="T28" s="877"/>
      <c r="U28" s="878">
        <v>0.10100000000000001</v>
      </c>
      <c r="V28" s="857">
        <f t="shared" si="3"/>
        <v>0</v>
      </c>
      <c r="W28" s="857"/>
      <c r="X28" s="857"/>
      <c r="Y28" s="857"/>
      <c r="Z28" s="857"/>
      <c r="AA28" s="857"/>
      <c r="AB28" s="857"/>
      <c r="AC28" s="857"/>
      <c r="AD28" s="857"/>
      <c r="AE28" s="857"/>
      <c r="AF28" s="872"/>
      <c r="AG28" s="877"/>
      <c r="AH28" s="877"/>
      <c r="AI28" s="875"/>
      <c r="AJ28" s="872"/>
      <c r="AK28" s="872"/>
      <c r="AL28" s="877"/>
      <c r="AM28" s="872"/>
      <c r="AN28" s="877"/>
      <c r="AO28" s="872"/>
      <c r="AP28" s="877"/>
      <c r="AQ28" s="877"/>
      <c r="AR28" s="877"/>
      <c r="AS28" s="877"/>
      <c r="AT28" s="877"/>
      <c r="AU28" s="877"/>
      <c r="AV28" s="876"/>
      <c r="AW28" s="876"/>
      <c r="AX28" s="876"/>
      <c r="AY28" s="876"/>
      <c r="AZ28" s="876"/>
      <c r="BA28" s="876"/>
      <c r="BB28" s="875"/>
      <c r="BC28" s="875"/>
      <c r="BD28" s="875"/>
      <c r="BE28" s="875"/>
      <c r="BF28" s="875"/>
      <c r="BG28" s="875"/>
      <c r="BH28" s="874">
        <f t="shared" si="4"/>
        <v>0</v>
      </c>
      <c r="BI28" s="874">
        <f t="shared" si="5"/>
        <v>0</v>
      </c>
      <c r="BJ28" s="874">
        <f t="shared" si="6"/>
        <v>0</v>
      </c>
      <c r="BK28" s="874">
        <f t="shared" si="7"/>
        <v>0</v>
      </c>
      <c r="BL28" s="874">
        <f t="shared" si="8"/>
        <v>0</v>
      </c>
      <c r="BM28" s="874">
        <f t="shared" si="9"/>
        <v>0</v>
      </c>
      <c r="BN28" s="873"/>
      <c r="BO28" s="873"/>
      <c r="BP28" s="873"/>
      <c r="BQ28" s="873"/>
      <c r="BR28" s="873"/>
      <c r="BS28" s="873"/>
      <c r="BT28" s="873"/>
      <c r="BU28" s="873"/>
      <c r="BV28" s="873"/>
      <c r="BW28" s="873"/>
      <c r="BX28" s="873"/>
      <c r="BY28" s="873"/>
      <c r="BZ28" s="872"/>
      <c r="CA28" s="557"/>
      <c r="CB28" s="873"/>
      <c r="CC28" s="872"/>
      <c r="CD28" s="872"/>
      <c r="CE28" s="872"/>
      <c r="CF28" s="872"/>
      <c r="CG28" s="872"/>
      <c r="CH28" s="872"/>
    </row>
    <row r="29" spans="1:86">
      <c r="A29" s="887">
        <v>21</v>
      </c>
      <c r="B29" s="887"/>
      <c r="C29" s="888" t="s">
        <v>1152</v>
      </c>
      <c r="D29" s="887" t="s">
        <v>1151</v>
      </c>
      <c r="E29" s="106">
        <v>18000</v>
      </c>
      <c r="F29" s="886"/>
      <c r="G29" s="885">
        <f t="shared" si="0"/>
        <v>0</v>
      </c>
      <c r="H29" s="884"/>
      <c r="I29" s="883"/>
      <c r="J29" s="883"/>
      <c r="K29" s="882"/>
      <c r="L29" s="876">
        <v>6</v>
      </c>
      <c r="M29" s="881">
        <f t="shared" si="1"/>
        <v>0</v>
      </c>
      <c r="N29" s="875"/>
      <c r="O29" s="880"/>
      <c r="P29" s="879" t="e">
        <f t="shared" si="10"/>
        <v>#DIV/0!</v>
      </c>
      <c r="Q29" s="875"/>
      <c r="R29" s="879">
        <f t="shared" si="2"/>
        <v>0</v>
      </c>
      <c r="T29" s="877"/>
      <c r="U29" s="878">
        <v>0.10100000000000001</v>
      </c>
      <c r="V29" s="857">
        <f t="shared" si="3"/>
        <v>0</v>
      </c>
      <c r="W29" s="857"/>
      <c r="X29" s="857"/>
      <c r="Y29" s="857"/>
      <c r="Z29" s="857"/>
      <c r="AA29" s="857"/>
      <c r="AB29" s="857"/>
      <c r="AC29" s="857"/>
      <c r="AD29" s="857"/>
      <c r="AE29" s="857"/>
      <c r="AF29" s="872"/>
      <c r="AG29" s="877"/>
      <c r="AH29" s="877"/>
      <c r="AI29" s="875"/>
      <c r="AJ29" s="872"/>
      <c r="AK29" s="872"/>
      <c r="AL29" s="877"/>
      <c r="AM29" s="872"/>
      <c r="AN29" s="877"/>
      <c r="AO29" s="872"/>
      <c r="AP29" s="877"/>
      <c r="AQ29" s="877"/>
      <c r="AR29" s="877"/>
      <c r="AS29" s="877"/>
      <c r="AT29" s="877"/>
      <c r="AU29" s="877"/>
      <c r="AV29" s="876"/>
      <c r="AW29" s="876"/>
      <c r="AX29" s="876"/>
      <c r="AY29" s="876"/>
      <c r="AZ29" s="876"/>
      <c r="BA29" s="876"/>
      <c r="BB29" s="875"/>
      <c r="BC29" s="875"/>
      <c r="BD29" s="875"/>
      <c r="BE29" s="875"/>
      <c r="BF29" s="875"/>
      <c r="BG29" s="875"/>
      <c r="BH29" s="874">
        <f t="shared" si="4"/>
        <v>0</v>
      </c>
      <c r="BI29" s="874">
        <f t="shared" si="5"/>
        <v>0</v>
      </c>
      <c r="BJ29" s="874">
        <f t="shared" si="6"/>
        <v>0</v>
      </c>
      <c r="BK29" s="874">
        <f t="shared" si="7"/>
        <v>0</v>
      </c>
      <c r="BL29" s="874">
        <f t="shared" si="8"/>
        <v>0</v>
      </c>
      <c r="BM29" s="874">
        <f t="shared" si="9"/>
        <v>0</v>
      </c>
      <c r="BN29" s="873"/>
      <c r="BO29" s="873"/>
      <c r="BP29" s="873"/>
      <c r="BQ29" s="873"/>
      <c r="BR29" s="873"/>
      <c r="BS29" s="873"/>
      <c r="BT29" s="873"/>
      <c r="BU29" s="873"/>
      <c r="BV29" s="873"/>
      <c r="BW29" s="873"/>
      <c r="BX29" s="873"/>
      <c r="BY29" s="873"/>
      <c r="BZ29" s="872"/>
      <c r="CA29" s="557"/>
      <c r="CB29" s="873"/>
      <c r="CC29" s="872"/>
      <c r="CD29" s="872"/>
      <c r="CE29" s="872"/>
      <c r="CF29" s="872"/>
      <c r="CG29" s="872"/>
      <c r="CH29" s="872"/>
    </row>
    <row r="30" spans="1:86">
      <c r="A30" s="887">
        <v>22</v>
      </c>
      <c r="B30" s="887"/>
      <c r="C30" s="888" t="s">
        <v>89</v>
      </c>
      <c r="D30" s="889" t="s">
        <v>1151</v>
      </c>
      <c r="E30" s="106">
        <v>46000</v>
      </c>
      <c r="F30" s="886"/>
      <c r="G30" s="885">
        <f t="shared" si="0"/>
        <v>0</v>
      </c>
      <c r="H30" s="884"/>
      <c r="I30" s="883"/>
      <c r="J30" s="883"/>
      <c r="K30" s="882"/>
      <c r="L30" s="876">
        <v>6</v>
      </c>
      <c r="M30" s="881">
        <f t="shared" si="1"/>
        <v>0</v>
      </c>
      <c r="N30" s="875"/>
      <c r="O30" s="880"/>
      <c r="P30" s="879" t="e">
        <f t="shared" si="10"/>
        <v>#DIV/0!</v>
      </c>
      <c r="Q30" s="875"/>
      <c r="R30" s="879">
        <f t="shared" si="2"/>
        <v>0</v>
      </c>
      <c r="T30" s="877"/>
      <c r="U30" s="878">
        <v>0.10100000000000001</v>
      </c>
      <c r="V30" s="857">
        <f t="shared" si="3"/>
        <v>0</v>
      </c>
      <c r="W30" s="857"/>
      <c r="X30" s="857"/>
      <c r="Y30" s="857"/>
      <c r="Z30" s="857"/>
      <c r="AA30" s="857"/>
      <c r="AB30" s="857"/>
      <c r="AC30" s="857"/>
      <c r="AD30" s="857"/>
      <c r="AE30" s="857"/>
      <c r="AF30" s="872"/>
      <c r="AG30" s="877"/>
      <c r="AH30" s="877"/>
      <c r="AI30" s="875"/>
      <c r="AJ30" s="872"/>
      <c r="AK30" s="872"/>
      <c r="AL30" s="877"/>
      <c r="AM30" s="872"/>
      <c r="AN30" s="877"/>
      <c r="AO30" s="872"/>
      <c r="AP30" s="877"/>
      <c r="AQ30" s="877"/>
      <c r="AR30" s="877"/>
      <c r="AS30" s="877"/>
      <c r="AT30" s="877"/>
      <c r="AU30" s="877"/>
      <c r="AV30" s="876"/>
      <c r="AW30" s="876"/>
      <c r="AX30" s="876"/>
      <c r="AY30" s="876"/>
      <c r="AZ30" s="876"/>
      <c r="BA30" s="876"/>
      <c r="BB30" s="875"/>
      <c r="BC30" s="875"/>
      <c r="BD30" s="875"/>
      <c r="BE30" s="875"/>
      <c r="BF30" s="875"/>
      <c r="BG30" s="875"/>
      <c r="BH30" s="874">
        <f t="shared" si="4"/>
        <v>0</v>
      </c>
      <c r="BI30" s="874">
        <f t="shared" si="5"/>
        <v>0</v>
      </c>
      <c r="BJ30" s="874">
        <f t="shared" si="6"/>
        <v>0</v>
      </c>
      <c r="BK30" s="874">
        <f t="shared" si="7"/>
        <v>0</v>
      </c>
      <c r="BL30" s="874">
        <f t="shared" si="8"/>
        <v>0</v>
      </c>
      <c r="BM30" s="874">
        <f t="shared" si="9"/>
        <v>0</v>
      </c>
      <c r="BN30" s="873"/>
      <c r="BO30" s="873"/>
      <c r="BP30" s="873"/>
      <c r="BQ30" s="873"/>
      <c r="BR30" s="873"/>
      <c r="BS30" s="873"/>
      <c r="BT30" s="873"/>
      <c r="BU30" s="873"/>
      <c r="BV30" s="873"/>
      <c r="BW30" s="873"/>
      <c r="BX30" s="873"/>
      <c r="BY30" s="873"/>
      <c r="BZ30" s="872"/>
      <c r="CA30" s="557"/>
      <c r="CB30" s="873"/>
      <c r="CC30" s="872"/>
      <c r="CD30" s="872"/>
      <c r="CE30" s="872"/>
      <c r="CF30" s="872"/>
      <c r="CG30" s="872"/>
      <c r="CH30" s="872"/>
    </row>
    <row r="31" spans="1:86">
      <c r="A31" s="887">
        <v>23</v>
      </c>
      <c r="B31" s="887"/>
      <c r="C31" s="572" t="s">
        <v>85</v>
      </c>
      <c r="D31" s="889" t="s">
        <v>1150</v>
      </c>
      <c r="E31" s="106">
        <v>104000</v>
      </c>
      <c r="F31" s="886"/>
      <c r="G31" s="885">
        <f t="shared" si="0"/>
        <v>0</v>
      </c>
      <c r="H31" s="884"/>
      <c r="I31" s="883"/>
      <c r="J31" s="883"/>
      <c r="K31" s="882"/>
      <c r="L31" s="876">
        <v>6</v>
      </c>
      <c r="M31" s="881">
        <f t="shared" si="1"/>
        <v>0</v>
      </c>
      <c r="N31" s="875"/>
      <c r="O31" s="880"/>
      <c r="P31" s="879" t="e">
        <f t="shared" si="10"/>
        <v>#DIV/0!</v>
      </c>
      <c r="Q31" s="875"/>
      <c r="R31" s="879">
        <f t="shared" si="2"/>
        <v>0</v>
      </c>
      <c r="T31" s="877"/>
      <c r="U31" s="878">
        <v>0.10100000000000001</v>
      </c>
      <c r="V31" s="857">
        <f t="shared" si="3"/>
        <v>0</v>
      </c>
      <c r="W31" s="857"/>
      <c r="X31" s="857"/>
      <c r="Y31" s="857"/>
      <c r="Z31" s="857"/>
      <c r="AA31" s="857"/>
      <c r="AB31" s="857"/>
      <c r="AC31" s="857"/>
      <c r="AD31" s="857"/>
      <c r="AE31" s="857"/>
      <c r="AF31" s="872"/>
      <c r="AG31" s="877"/>
      <c r="AH31" s="877"/>
      <c r="AI31" s="875"/>
      <c r="AJ31" s="872"/>
      <c r="AK31" s="872"/>
      <c r="AL31" s="877"/>
      <c r="AM31" s="872"/>
      <c r="AN31" s="877"/>
      <c r="AO31" s="872"/>
      <c r="AP31" s="877"/>
      <c r="AQ31" s="877"/>
      <c r="AR31" s="877"/>
      <c r="AS31" s="877"/>
      <c r="AT31" s="877"/>
      <c r="AU31" s="877"/>
      <c r="AV31" s="876"/>
      <c r="AW31" s="876"/>
      <c r="AX31" s="876"/>
      <c r="AY31" s="876"/>
      <c r="AZ31" s="876"/>
      <c r="BA31" s="876"/>
      <c r="BB31" s="875"/>
      <c r="BC31" s="875"/>
      <c r="BD31" s="875"/>
      <c r="BE31" s="875"/>
      <c r="BF31" s="875"/>
      <c r="BG31" s="875"/>
      <c r="BH31" s="874">
        <f t="shared" si="4"/>
        <v>0</v>
      </c>
      <c r="BI31" s="874">
        <f t="shared" si="5"/>
        <v>0</v>
      </c>
      <c r="BJ31" s="874">
        <f t="shared" si="6"/>
        <v>0</v>
      </c>
      <c r="BK31" s="874">
        <f t="shared" si="7"/>
        <v>0</v>
      </c>
      <c r="BL31" s="874">
        <f t="shared" si="8"/>
        <v>0</v>
      </c>
      <c r="BM31" s="874">
        <f t="shared" si="9"/>
        <v>0</v>
      </c>
      <c r="BN31" s="873"/>
      <c r="BO31" s="873"/>
      <c r="BP31" s="873"/>
      <c r="BQ31" s="873"/>
      <c r="BR31" s="873"/>
      <c r="BS31" s="873"/>
      <c r="BT31" s="873"/>
      <c r="BU31" s="873"/>
      <c r="BV31" s="873"/>
      <c r="BW31" s="873"/>
      <c r="BX31" s="873"/>
      <c r="BY31" s="873"/>
      <c r="BZ31" s="872"/>
      <c r="CA31" s="557"/>
      <c r="CB31" s="873"/>
      <c r="CC31" s="872"/>
      <c r="CD31" s="872"/>
      <c r="CE31" s="872"/>
      <c r="CF31" s="872"/>
      <c r="CG31" s="872"/>
      <c r="CH31" s="872"/>
    </row>
    <row r="32" spans="1:86">
      <c r="A32" s="887">
        <v>24</v>
      </c>
      <c r="B32" s="887"/>
      <c r="C32" s="888" t="s">
        <v>82</v>
      </c>
      <c r="D32" s="887" t="s">
        <v>1150</v>
      </c>
      <c r="E32" s="106">
        <v>66000</v>
      </c>
      <c r="F32" s="886"/>
      <c r="G32" s="885">
        <f t="shared" si="0"/>
        <v>0</v>
      </c>
      <c r="H32" s="884"/>
      <c r="I32" s="883"/>
      <c r="J32" s="883"/>
      <c r="K32" s="882"/>
      <c r="L32" s="876">
        <v>6</v>
      </c>
      <c r="M32" s="881">
        <f t="shared" si="1"/>
        <v>0</v>
      </c>
      <c r="N32" s="875"/>
      <c r="O32" s="880"/>
      <c r="P32" s="879" t="e">
        <f t="shared" si="10"/>
        <v>#DIV/0!</v>
      </c>
      <c r="Q32" s="875"/>
      <c r="R32" s="879">
        <f t="shared" si="2"/>
        <v>0</v>
      </c>
      <c r="T32" s="877"/>
      <c r="U32" s="878">
        <v>0.10100000000000001</v>
      </c>
      <c r="V32" s="857">
        <f t="shared" si="3"/>
        <v>0</v>
      </c>
      <c r="W32" s="857"/>
      <c r="X32" s="857"/>
      <c r="Y32" s="857"/>
      <c r="Z32" s="857"/>
      <c r="AA32" s="857"/>
      <c r="AB32" s="857"/>
      <c r="AC32" s="857"/>
      <c r="AD32" s="857"/>
      <c r="AE32" s="857"/>
      <c r="AF32" s="872"/>
      <c r="AG32" s="877"/>
      <c r="AH32" s="877"/>
      <c r="AI32" s="875"/>
      <c r="AJ32" s="872"/>
      <c r="AK32" s="872"/>
      <c r="AL32" s="877"/>
      <c r="AM32" s="872"/>
      <c r="AN32" s="877"/>
      <c r="AO32" s="872"/>
      <c r="AP32" s="877"/>
      <c r="AQ32" s="877"/>
      <c r="AR32" s="877"/>
      <c r="AS32" s="877"/>
      <c r="AT32" s="877"/>
      <c r="AU32" s="877"/>
      <c r="AV32" s="876"/>
      <c r="AW32" s="876"/>
      <c r="AX32" s="876"/>
      <c r="AY32" s="876"/>
      <c r="AZ32" s="876"/>
      <c r="BA32" s="876"/>
      <c r="BB32" s="875"/>
      <c r="BC32" s="875"/>
      <c r="BD32" s="875"/>
      <c r="BE32" s="875"/>
      <c r="BF32" s="875"/>
      <c r="BG32" s="875"/>
      <c r="BH32" s="874">
        <f t="shared" si="4"/>
        <v>0</v>
      </c>
      <c r="BI32" s="874">
        <f t="shared" si="5"/>
        <v>0</v>
      </c>
      <c r="BJ32" s="874">
        <f t="shared" si="6"/>
        <v>0</v>
      </c>
      <c r="BK32" s="874">
        <f t="shared" si="7"/>
        <v>0</v>
      </c>
      <c r="BL32" s="874">
        <f t="shared" si="8"/>
        <v>0</v>
      </c>
      <c r="BM32" s="874">
        <f t="shared" si="9"/>
        <v>0</v>
      </c>
      <c r="BN32" s="873"/>
      <c r="BO32" s="873"/>
      <c r="BP32" s="873"/>
      <c r="BQ32" s="873"/>
      <c r="BR32" s="873"/>
      <c r="BS32" s="873"/>
      <c r="BT32" s="873"/>
      <c r="BU32" s="873"/>
      <c r="BV32" s="873"/>
      <c r="BW32" s="873"/>
      <c r="BX32" s="873"/>
      <c r="BY32" s="873"/>
      <c r="BZ32" s="872"/>
      <c r="CA32" s="557"/>
      <c r="CB32" s="873"/>
      <c r="CC32" s="872"/>
      <c r="CD32" s="872"/>
      <c r="CE32" s="872"/>
      <c r="CF32" s="872"/>
      <c r="CG32" s="872"/>
      <c r="CH32" s="872"/>
    </row>
    <row r="33" spans="1:88">
      <c r="A33" s="887">
        <v>25</v>
      </c>
      <c r="B33" s="887"/>
      <c r="C33" s="887" t="s">
        <v>159</v>
      </c>
      <c r="D33" s="887" t="s">
        <v>1149</v>
      </c>
      <c r="E33" s="106">
        <v>40000</v>
      </c>
      <c r="F33" s="886"/>
      <c r="G33" s="885">
        <f t="shared" si="0"/>
        <v>0</v>
      </c>
      <c r="H33" s="884"/>
      <c r="I33" s="883"/>
      <c r="J33" s="883"/>
      <c r="K33" s="882"/>
      <c r="L33" s="876">
        <v>6</v>
      </c>
      <c r="M33" s="881">
        <f t="shared" si="1"/>
        <v>0</v>
      </c>
      <c r="N33" s="875"/>
      <c r="O33" s="880"/>
      <c r="P33" s="879" t="e">
        <f t="shared" si="10"/>
        <v>#DIV/0!</v>
      </c>
      <c r="Q33" s="875"/>
      <c r="R33" s="879">
        <f t="shared" si="2"/>
        <v>0</v>
      </c>
      <c r="T33" s="877"/>
      <c r="U33" s="878">
        <v>0.10100000000000001</v>
      </c>
      <c r="V33" s="857">
        <f t="shared" si="3"/>
        <v>0</v>
      </c>
      <c r="W33" s="857"/>
      <c r="X33" s="857"/>
      <c r="Y33" s="857"/>
      <c r="Z33" s="857"/>
      <c r="AA33" s="857"/>
      <c r="AB33" s="857"/>
      <c r="AC33" s="857"/>
      <c r="AD33" s="857"/>
      <c r="AE33" s="857"/>
      <c r="AF33" s="872"/>
      <c r="AG33" s="877"/>
      <c r="AH33" s="877"/>
      <c r="AI33" s="875"/>
      <c r="AJ33" s="872"/>
      <c r="AK33" s="872"/>
      <c r="AL33" s="877"/>
      <c r="AM33" s="872"/>
      <c r="AN33" s="877"/>
      <c r="AO33" s="872"/>
      <c r="AP33" s="877"/>
      <c r="AQ33" s="877"/>
      <c r="AR33" s="877"/>
      <c r="AS33" s="877"/>
      <c r="AT33" s="877"/>
      <c r="AU33" s="877"/>
      <c r="AV33" s="876"/>
      <c r="AW33" s="876"/>
      <c r="AX33" s="876"/>
      <c r="AY33" s="876"/>
      <c r="AZ33" s="876"/>
      <c r="BA33" s="876"/>
      <c r="BB33" s="875"/>
      <c r="BC33" s="875"/>
      <c r="BD33" s="875"/>
      <c r="BE33" s="875"/>
      <c r="BF33" s="875"/>
      <c r="BG33" s="875"/>
      <c r="BH33" s="874">
        <f t="shared" si="4"/>
        <v>0</v>
      </c>
      <c r="BI33" s="874">
        <f t="shared" si="5"/>
        <v>0</v>
      </c>
      <c r="BJ33" s="874">
        <f t="shared" si="6"/>
        <v>0</v>
      </c>
      <c r="BK33" s="874">
        <f t="shared" si="7"/>
        <v>0</v>
      </c>
      <c r="BL33" s="874">
        <f t="shared" si="8"/>
        <v>0</v>
      </c>
      <c r="BM33" s="874">
        <f t="shared" si="9"/>
        <v>0</v>
      </c>
      <c r="BN33" s="873"/>
      <c r="BO33" s="873"/>
      <c r="BP33" s="873"/>
      <c r="BQ33" s="873"/>
      <c r="BR33" s="873"/>
      <c r="BS33" s="873"/>
      <c r="BT33" s="873"/>
      <c r="BU33" s="873"/>
      <c r="BV33" s="873"/>
      <c r="BW33" s="873"/>
      <c r="BX33" s="873"/>
      <c r="BY33" s="873"/>
      <c r="BZ33" s="872"/>
      <c r="CA33" s="557"/>
      <c r="CB33" s="873"/>
      <c r="CC33" s="872"/>
      <c r="CD33" s="872"/>
      <c r="CE33" s="872"/>
      <c r="CF33" s="872"/>
      <c r="CG33" s="872"/>
      <c r="CH33" s="872"/>
    </row>
    <row r="35" spans="1:88" s="158" customFormat="1">
      <c r="D35" s="158" t="s">
        <v>472</v>
      </c>
      <c r="E35" s="251"/>
      <c r="F35" s="251"/>
      <c r="G35" s="871"/>
      <c r="H35" s="863"/>
      <c r="I35" s="864"/>
      <c r="J35" s="864"/>
      <c r="K35" s="863"/>
      <c r="N35" s="541" t="s">
        <v>742</v>
      </c>
      <c r="O35" s="542"/>
      <c r="P35" s="541"/>
      <c r="Q35" s="541"/>
      <c r="R35" s="541"/>
      <c r="S35" s="541"/>
      <c r="U35" s="543"/>
      <c r="AF35" s="543"/>
      <c r="AI35" s="541"/>
      <c r="AJ35" s="543"/>
      <c r="AK35" s="543"/>
      <c r="AM35" s="543"/>
      <c r="AO35" s="543"/>
      <c r="AV35" s="862"/>
      <c r="AW35" s="862"/>
      <c r="AX35" s="862"/>
      <c r="AY35" s="862"/>
      <c r="AZ35" s="862"/>
      <c r="BA35" s="862"/>
      <c r="BB35" s="541"/>
      <c r="BC35" s="541"/>
      <c r="BD35" s="541"/>
      <c r="BE35" s="541"/>
      <c r="BF35" s="541"/>
      <c r="BG35" s="541"/>
      <c r="BH35" s="861"/>
      <c r="BI35" s="861"/>
      <c r="BJ35" s="861"/>
      <c r="BK35" s="861"/>
      <c r="BL35" s="861"/>
      <c r="BN35" s="861"/>
      <c r="BO35" s="861"/>
      <c r="BP35" s="861"/>
      <c r="BQ35" s="861"/>
      <c r="BR35" s="861"/>
      <c r="BS35" s="861"/>
      <c r="BT35" s="861"/>
      <c r="BU35" s="861"/>
      <c r="BV35" s="861"/>
      <c r="BW35" s="861"/>
      <c r="BX35" s="861"/>
      <c r="BY35" s="861"/>
      <c r="BZ35" s="543"/>
      <c r="CA35" s="543"/>
      <c r="CB35" s="861"/>
      <c r="CC35" s="543"/>
      <c r="CD35" s="543"/>
      <c r="CE35" s="543"/>
      <c r="CF35" s="543"/>
      <c r="CG35" s="543"/>
      <c r="CH35" s="543"/>
    </row>
    <row r="36" spans="1:88" s="158" customFormat="1">
      <c r="D36" s="252" t="s">
        <v>473</v>
      </c>
      <c r="E36" s="253">
        <v>0</v>
      </c>
      <c r="N36" s="541" t="s">
        <v>743</v>
      </c>
      <c r="O36" s="542"/>
      <c r="P36" s="541"/>
      <c r="Q36" s="541"/>
      <c r="R36" s="541"/>
      <c r="S36" s="541"/>
      <c r="X36" s="870" t="s">
        <v>1148</v>
      </c>
      <c r="Y36" s="869"/>
      <c r="Z36" s="868" t="s">
        <v>1147</v>
      </c>
      <c r="AA36" s="868" t="s">
        <v>1146</v>
      </c>
      <c r="AH36" s="543"/>
      <c r="AK36" s="541"/>
      <c r="AL36" s="543"/>
      <c r="AM36" s="543"/>
      <c r="AO36" s="543"/>
      <c r="AQ36" s="543"/>
      <c r="AX36" s="862"/>
      <c r="AY36" s="862"/>
      <c r="AZ36" s="862"/>
      <c r="BA36" s="862"/>
      <c r="BB36" s="862"/>
      <c r="BC36" s="862"/>
      <c r="BD36" s="541"/>
      <c r="BE36" s="541"/>
      <c r="BF36" s="541"/>
      <c r="BG36" s="541"/>
      <c r="BH36" s="541"/>
      <c r="BI36" s="541"/>
      <c r="BJ36" s="861"/>
      <c r="BK36" s="861"/>
      <c r="BL36" s="861"/>
      <c r="BM36" s="861"/>
      <c r="BN36" s="861"/>
      <c r="BP36" s="861"/>
      <c r="BQ36" s="861"/>
      <c r="BR36" s="861"/>
      <c r="BS36" s="861"/>
      <c r="BT36" s="861"/>
      <c r="BU36" s="861"/>
      <c r="BV36" s="861"/>
      <c r="BW36" s="861"/>
      <c r="BX36" s="861"/>
      <c r="BY36" s="861"/>
      <c r="BZ36" s="861"/>
      <c r="CA36" s="861"/>
      <c r="CB36" s="543"/>
      <c r="CC36" s="543"/>
      <c r="CD36" s="861"/>
      <c r="CE36" s="543"/>
      <c r="CF36" s="543"/>
      <c r="CG36" s="543"/>
      <c r="CH36" s="543"/>
      <c r="CI36" s="543"/>
      <c r="CJ36" s="543"/>
    </row>
    <row r="37" spans="1:88" s="158" customFormat="1">
      <c r="D37" s="252" t="s">
        <v>474</v>
      </c>
      <c r="E37" s="253">
        <v>0</v>
      </c>
      <c r="N37" s="544" t="s">
        <v>93</v>
      </c>
      <c r="O37" s="545" t="s">
        <v>744</v>
      </c>
      <c r="P37" s="546" t="s">
        <v>745</v>
      </c>
      <c r="Q37" s="547" t="s">
        <v>746</v>
      </c>
      <c r="R37" s="547" t="s">
        <v>747</v>
      </c>
      <c r="S37" s="158" t="s">
        <v>748</v>
      </c>
      <c r="T37" s="547" t="s">
        <v>749</v>
      </c>
      <c r="V37" s="158" t="s">
        <v>750</v>
      </c>
      <c r="X37" s="158" t="s">
        <v>1145</v>
      </c>
      <c r="Y37" s="543"/>
      <c r="Z37" s="161">
        <v>0.98</v>
      </c>
      <c r="AA37" s="867">
        <f>ABS(Z37-1)</f>
        <v>2.0000000000000018E-2</v>
      </c>
      <c r="AH37" s="543"/>
      <c r="AK37" s="541"/>
      <c r="AL37" s="543"/>
      <c r="AM37" s="543"/>
      <c r="AO37" s="543"/>
      <c r="AQ37" s="543"/>
      <c r="AX37" s="862"/>
      <c r="AY37" s="862"/>
      <c r="AZ37" s="862"/>
      <c r="BA37" s="862"/>
      <c r="BB37" s="862"/>
      <c r="BC37" s="862"/>
      <c r="BD37" s="541"/>
      <c r="BE37" s="541"/>
      <c r="BF37" s="541"/>
      <c r="BG37" s="541"/>
      <c r="BH37" s="541"/>
      <c r="BI37" s="541"/>
      <c r="BJ37" s="861"/>
      <c r="BK37" s="861"/>
      <c r="BL37" s="861"/>
      <c r="BM37" s="861"/>
      <c r="BN37" s="861"/>
      <c r="BP37" s="861"/>
      <c r="BQ37" s="861"/>
      <c r="BR37" s="861"/>
      <c r="BS37" s="861"/>
      <c r="BT37" s="861"/>
      <c r="BU37" s="861"/>
      <c r="BV37" s="861"/>
      <c r="BW37" s="861"/>
      <c r="BX37" s="861"/>
      <c r="BY37" s="861"/>
      <c r="BZ37" s="861"/>
      <c r="CA37" s="861"/>
      <c r="CB37" s="543"/>
      <c r="CC37" s="543"/>
      <c r="CD37" s="861"/>
      <c r="CE37" s="543"/>
      <c r="CF37" s="543"/>
      <c r="CG37" s="543"/>
      <c r="CH37" s="543"/>
      <c r="CI37" s="543"/>
      <c r="CJ37" s="543"/>
    </row>
    <row r="38" spans="1:88" s="158" customFormat="1">
      <c r="D38" s="252" t="s">
        <v>475</v>
      </c>
      <c r="E38" s="253">
        <f>1%*0</f>
        <v>0</v>
      </c>
      <c r="F38" s="158" t="s">
        <v>740</v>
      </c>
      <c r="H38" s="863"/>
      <c r="I38" s="864"/>
      <c r="J38" s="864"/>
      <c r="K38" s="863"/>
      <c r="N38" s="481">
        <v>2000</v>
      </c>
      <c r="O38" s="548">
        <v>39.769637454815403</v>
      </c>
      <c r="P38" s="541"/>
      <c r="Q38" s="133">
        <v>9.3778330122147192E-3</v>
      </c>
      <c r="R38" s="549">
        <f>R39/(1+Q38)</f>
        <v>90.457190646077194</v>
      </c>
      <c r="S38" s="287">
        <v>2499044442112</v>
      </c>
      <c r="X38" s="158" t="s">
        <v>24</v>
      </c>
      <c r="Z38" s="161">
        <v>0.57999999999999996</v>
      </c>
      <c r="AA38" s="867">
        <f>ABS(Z38-1)</f>
        <v>0.42000000000000004</v>
      </c>
      <c r="AH38" s="543"/>
      <c r="AK38" s="541"/>
      <c r="AL38" s="543"/>
      <c r="AM38" s="543"/>
      <c r="AO38" s="543"/>
      <c r="AQ38" s="543"/>
      <c r="AX38" s="862"/>
      <c r="AY38" s="862"/>
      <c r="AZ38" s="862"/>
      <c r="BA38" s="862"/>
      <c r="BB38" s="862"/>
      <c r="BC38" s="862"/>
      <c r="BD38" s="541"/>
      <c r="BE38" s="541"/>
      <c r="BF38" s="541"/>
      <c r="BG38" s="541"/>
      <c r="BH38" s="541"/>
      <c r="BI38" s="541"/>
      <c r="BJ38" s="861"/>
      <c r="BK38" s="861"/>
      <c r="BL38" s="861"/>
      <c r="BM38" s="861"/>
      <c r="BN38" s="861"/>
      <c r="BP38" s="861"/>
      <c r="BQ38" s="861"/>
      <c r="BR38" s="861"/>
      <c r="BS38" s="861"/>
      <c r="BT38" s="861"/>
      <c r="BU38" s="861"/>
      <c r="BV38" s="861"/>
      <c r="BW38" s="861"/>
      <c r="BX38" s="861"/>
      <c r="BY38" s="861"/>
      <c r="BZ38" s="861"/>
      <c r="CA38" s="861"/>
      <c r="CB38" s="543"/>
      <c r="CC38" s="543"/>
      <c r="CD38" s="861"/>
      <c r="CE38" s="543"/>
      <c r="CF38" s="543"/>
      <c r="CG38" s="543"/>
      <c r="CH38" s="543"/>
      <c r="CI38" s="543"/>
      <c r="CJ38" s="543"/>
    </row>
    <row r="39" spans="1:88" s="158" customFormat="1">
      <c r="D39" s="115" t="s">
        <v>476</v>
      </c>
      <c r="E39" s="914"/>
      <c r="F39" s="12"/>
      <c r="G39" s="12"/>
      <c r="H39" s="12"/>
      <c r="I39" s="12"/>
      <c r="J39" s="4"/>
      <c r="K39" s="863"/>
      <c r="N39" s="481">
        <v>2001</v>
      </c>
      <c r="O39" s="548">
        <v>48.277867065377997</v>
      </c>
      <c r="P39" s="550">
        <f t="shared" ref="P39:P47" si="11">(O39-O38)/O38</f>
        <v>0.21393782179254936</v>
      </c>
      <c r="Q39" s="133">
        <v>2.3848413954639401E-2</v>
      </c>
      <c r="R39" s="549">
        <f>R40/(1+Q39)</f>
        <v>91.305483074710182</v>
      </c>
      <c r="S39" s="287">
        <v>2621311025152</v>
      </c>
      <c r="T39" s="551">
        <f t="shared" ref="T39:T47" si="12">(S39-S38)/S38</f>
        <v>4.8925333611382155E-2</v>
      </c>
      <c r="X39" s="158" t="s">
        <v>13</v>
      </c>
      <c r="Y39" s="543"/>
      <c r="Z39" s="161">
        <v>0.63</v>
      </c>
      <c r="AA39" s="867">
        <f>ABS(Z39-1)</f>
        <v>0.37</v>
      </c>
      <c r="AH39" s="543"/>
      <c r="AK39" s="541"/>
      <c r="AL39" s="543"/>
      <c r="AM39" s="543"/>
      <c r="AO39" s="543"/>
      <c r="AQ39" s="543"/>
      <c r="AX39" s="862"/>
      <c r="AY39" s="862"/>
      <c r="AZ39" s="862"/>
      <c r="BA39" s="862"/>
      <c r="BB39" s="862"/>
      <c r="BC39" s="862"/>
      <c r="BD39" s="541"/>
      <c r="BE39" s="541"/>
      <c r="BF39" s="541"/>
      <c r="BG39" s="541"/>
      <c r="BH39" s="541"/>
      <c r="BI39" s="541"/>
      <c r="BJ39" s="861"/>
      <c r="BK39" s="861"/>
      <c r="BL39" s="861"/>
      <c r="BM39" s="861"/>
      <c r="BN39" s="861"/>
      <c r="BP39" s="861"/>
      <c r="BQ39" s="861"/>
      <c r="BR39" s="861"/>
      <c r="BS39" s="861"/>
      <c r="BT39" s="861"/>
      <c r="BU39" s="861"/>
      <c r="BV39" s="861"/>
      <c r="BW39" s="861"/>
      <c r="BX39" s="861"/>
      <c r="BY39" s="861"/>
      <c r="BZ39" s="861"/>
      <c r="CA39" s="861"/>
      <c r="CB39" s="543"/>
      <c r="CC39" s="543"/>
      <c r="CD39" s="861"/>
      <c r="CE39" s="543"/>
      <c r="CF39" s="543"/>
      <c r="CG39" s="543"/>
      <c r="CH39" s="543"/>
      <c r="CI39" s="543"/>
      <c r="CJ39" s="543"/>
    </row>
    <row r="40" spans="1:88" s="158" customFormat="1">
      <c r="D40" s="115" t="s">
        <v>477</v>
      </c>
      <c r="E40" s="915">
        <v>1</v>
      </c>
      <c r="F40" s="12">
        <v>2</v>
      </c>
      <c r="G40" s="12">
        <v>3</v>
      </c>
      <c r="H40" s="12">
        <v>4</v>
      </c>
      <c r="I40" s="12">
        <v>5</v>
      </c>
      <c r="J40" s="864"/>
      <c r="K40" s="863"/>
      <c r="N40" s="481">
        <v>2002</v>
      </c>
      <c r="O40" s="548">
        <v>59.0116516363586</v>
      </c>
      <c r="P40" s="550">
        <f t="shared" si="11"/>
        <v>0.22233344643094707</v>
      </c>
      <c r="Q40" s="133">
        <v>3.8817397624366398E-3</v>
      </c>
      <c r="R40" s="549">
        <f>R41/(1+Q40)</f>
        <v>93.482974031404183</v>
      </c>
      <c r="S40" s="287">
        <v>2692488975515.7437</v>
      </c>
      <c r="T40" s="551">
        <f t="shared" si="12"/>
        <v>2.7153569218142021E-2</v>
      </c>
      <c r="X40" s="158" t="s">
        <v>1144</v>
      </c>
      <c r="Y40" s="543"/>
      <c r="Z40" s="161">
        <v>0.69</v>
      </c>
      <c r="AA40" s="867">
        <f>ABS(Z40-1)</f>
        <v>0.31000000000000005</v>
      </c>
      <c r="AH40" s="543"/>
      <c r="AK40" s="541"/>
      <c r="AL40" s="543"/>
      <c r="AM40" s="543"/>
      <c r="AO40" s="543"/>
      <c r="AQ40" s="543"/>
      <c r="AX40" s="862"/>
      <c r="AY40" s="862"/>
      <c r="AZ40" s="862"/>
      <c r="BA40" s="862"/>
      <c r="BB40" s="862"/>
      <c r="BC40" s="862"/>
      <c r="BD40" s="541"/>
      <c r="BE40" s="541"/>
      <c r="BF40" s="541"/>
      <c r="BG40" s="541"/>
      <c r="BH40" s="541"/>
      <c r="BI40" s="541"/>
      <c r="BJ40" s="861"/>
      <c r="BK40" s="861"/>
      <c r="BL40" s="861"/>
      <c r="BM40" s="861"/>
      <c r="BN40" s="861"/>
      <c r="BP40" s="861"/>
      <c r="BQ40" s="861"/>
      <c r="BR40" s="861"/>
      <c r="BS40" s="861"/>
      <c r="BT40" s="861"/>
      <c r="BU40" s="861"/>
      <c r="BV40" s="861"/>
      <c r="BW40" s="861"/>
      <c r="BX40" s="861"/>
      <c r="BY40" s="861"/>
      <c r="BZ40" s="861"/>
      <c r="CA40" s="861"/>
      <c r="CB40" s="543"/>
      <c r="CC40" s="543"/>
      <c r="CD40" s="861"/>
      <c r="CE40" s="543"/>
      <c r="CF40" s="543"/>
      <c r="CG40" s="543"/>
      <c r="CH40" s="543"/>
      <c r="CI40" s="543"/>
      <c r="CJ40" s="543"/>
    </row>
    <row r="41" spans="1:88" s="158" customFormat="1">
      <c r="D41" s="115" t="s">
        <v>478</v>
      </c>
      <c r="E41" s="109">
        <v>0.05</v>
      </c>
      <c r="F41" s="109">
        <v>0.2</v>
      </c>
      <c r="G41" s="109">
        <v>0.35</v>
      </c>
      <c r="H41" s="109">
        <v>0.35</v>
      </c>
      <c r="I41" s="109">
        <v>0.05</v>
      </c>
      <c r="J41" s="864"/>
      <c r="K41" s="863"/>
      <c r="N41" s="481">
        <v>2003</v>
      </c>
      <c r="O41" s="548">
        <v>71.641076520665194</v>
      </c>
      <c r="P41" s="550">
        <f t="shared" si="11"/>
        <v>0.21401578390199266</v>
      </c>
      <c r="Q41" s="133">
        <v>3.3446799864373399E-2</v>
      </c>
      <c r="R41" s="549">
        <f>R42/(1+Q41)</f>
        <v>93.845850608812725</v>
      </c>
      <c r="S41" s="287">
        <v>2845110652295.5903</v>
      </c>
      <c r="T41" s="551">
        <f t="shared" si="12"/>
        <v>5.6684234612552925E-2</v>
      </c>
      <c r="X41" s="158" t="s">
        <v>1143</v>
      </c>
      <c r="Y41" s="543"/>
      <c r="Z41" s="161">
        <v>0.62</v>
      </c>
      <c r="AA41" s="867">
        <f>ABS(Z41-1)</f>
        <v>0.38</v>
      </c>
      <c r="AH41" s="543"/>
      <c r="AK41" s="541"/>
      <c r="AL41" s="543"/>
      <c r="AM41" s="543"/>
      <c r="AO41" s="543"/>
      <c r="AQ41" s="543"/>
      <c r="AX41" s="862"/>
      <c r="AY41" s="862"/>
      <c r="AZ41" s="862"/>
      <c r="BA41" s="862"/>
      <c r="BB41" s="862"/>
      <c r="BC41" s="862"/>
      <c r="BD41" s="541"/>
      <c r="BE41" s="541"/>
      <c r="BF41" s="541"/>
      <c r="BG41" s="541"/>
      <c r="BH41" s="541"/>
      <c r="BI41" s="541"/>
      <c r="BJ41" s="861"/>
      <c r="BK41" s="861"/>
      <c r="BL41" s="861"/>
      <c r="BM41" s="861"/>
      <c r="BN41" s="861"/>
      <c r="BP41" s="861"/>
      <c r="BQ41" s="861"/>
      <c r="BR41" s="861"/>
      <c r="BS41" s="861"/>
      <c r="BT41" s="861"/>
      <c r="BU41" s="861"/>
      <c r="BV41" s="861"/>
      <c r="BW41" s="861"/>
      <c r="BX41" s="861"/>
      <c r="BY41" s="861"/>
      <c r="BZ41" s="861"/>
      <c r="CA41" s="861"/>
      <c r="CB41" s="543"/>
      <c r="CC41" s="543"/>
      <c r="CD41" s="861"/>
      <c r="CE41" s="543"/>
      <c r="CF41" s="543"/>
      <c r="CG41" s="543"/>
      <c r="CH41" s="543"/>
      <c r="CI41" s="543"/>
      <c r="CJ41" s="543"/>
    </row>
    <row r="42" spans="1:88" s="158" customFormat="1">
      <c r="H42" s="863"/>
      <c r="I42" s="864"/>
      <c r="J42" s="864"/>
      <c r="K42" s="863"/>
      <c r="N42" s="481">
        <v>2004</v>
      </c>
      <c r="O42" s="548">
        <v>84.513394065121304</v>
      </c>
      <c r="P42" s="550">
        <f t="shared" si="11"/>
        <v>0.17967789108728749</v>
      </c>
      <c r="Q42" s="133">
        <v>3.1090534842684099E-2</v>
      </c>
      <c r="R42" s="549">
        <f>R43/(1+Q42)</f>
        <v>96.984693992227577</v>
      </c>
      <c r="S42" s="287">
        <v>2999805000000</v>
      </c>
      <c r="T42" s="551">
        <f t="shared" si="12"/>
        <v>5.4371996948376626E-2</v>
      </c>
      <c r="Y42" s="543"/>
      <c r="AH42" s="543"/>
      <c r="AK42" s="541"/>
      <c r="AL42" s="543"/>
      <c r="AM42" s="543"/>
      <c r="AO42" s="543"/>
      <c r="AQ42" s="543"/>
      <c r="AX42" s="862"/>
      <c r="AY42" s="862"/>
      <c r="AZ42" s="862"/>
      <c r="BA42" s="862"/>
      <c r="BB42" s="862"/>
      <c r="BC42" s="862"/>
      <c r="BD42" s="541"/>
      <c r="BE42" s="541"/>
      <c r="BF42" s="541"/>
      <c r="BG42" s="541"/>
      <c r="BH42" s="541"/>
      <c r="BI42" s="541"/>
      <c r="BJ42" s="861"/>
      <c r="BK42" s="861"/>
      <c r="BL42" s="861"/>
      <c r="BM42" s="861"/>
      <c r="BN42" s="861"/>
      <c r="BP42" s="861"/>
      <c r="BQ42" s="861"/>
      <c r="BR42" s="861"/>
      <c r="BS42" s="861"/>
      <c r="BT42" s="861"/>
      <c r="BU42" s="861"/>
      <c r="BV42" s="861"/>
      <c r="BW42" s="861"/>
      <c r="BX42" s="861"/>
      <c r="BY42" s="861"/>
      <c r="BZ42" s="861"/>
      <c r="CA42" s="861"/>
      <c r="CB42" s="543"/>
      <c r="CC42" s="543"/>
      <c r="CD42" s="861"/>
      <c r="CE42" s="543"/>
      <c r="CF42" s="543"/>
      <c r="CG42" s="543"/>
      <c r="CH42" s="543"/>
      <c r="CI42" s="543"/>
      <c r="CJ42" s="543"/>
    </row>
    <row r="43" spans="1:88" s="158" customFormat="1">
      <c r="D43" s="158" t="s">
        <v>479</v>
      </c>
      <c r="E43" s="161">
        <v>4995</v>
      </c>
      <c r="F43" s="158" t="s">
        <v>480</v>
      </c>
      <c r="H43" s="863"/>
      <c r="I43" s="864"/>
      <c r="J43" s="864"/>
      <c r="K43" s="863"/>
      <c r="N43" s="481">
        <v>2005</v>
      </c>
      <c r="O43" s="548">
        <v>100</v>
      </c>
      <c r="P43" s="550">
        <f t="shared" si="11"/>
        <v>0.18324439701173972</v>
      </c>
      <c r="Q43" s="133">
        <v>2.8147285038391201E-2</v>
      </c>
      <c r="R43" s="552">
        <v>100</v>
      </c>
      <c r="S43" s="287">
        <v>3155795000000</v>
      </c>
      <c r="T43" s="551">
        <f t="shared" si="12"/>
        <v>5.2000046669700199E-2</v>
      </c>
      <c r="Y43" s="543"/>
      <c r="AA43" s="158" t="s">
        <v>1142</v>
      </c>
      <c r="AH43" s="543"/>
      <c r="AK43" s="541"/>
      <c r="AL43" s="543"/>
      <c r="AM43" s="543"/>
      <c r="AO43" s="543"/>
      <c r="AQ43" s="543"/>
      <c r="AX43" s="862"/>
      <c r="AY43" s="862"/>
      <c r="AZ43" s="862"/>
      <c r="BA43" s="862"/>
      <c r="BB43" s="862"/>
      <c r="BC43" s="862"/>
      <c r="BD43" s="541"/>
      <c r="BE43" s="541"/>
      <c r="BF43" s="541"/>
      <c r="BG43" s="541"/>
      <c r="BH43" s="541"/>
      <c r="BI43" s="541"/>
      <c r="BJ43" s="861"/>
      <c r="BK43" s="861"/>
      <c r="BL43" s="861"/>
      <c r="BM43" s="861"/>
      <c r="BN43" s="861"/>
      <c r="BP43" s="861"/>
      <c r="BQ43" s="861"/>
      <c r="BR43" s="861"/>
      <c r="BS43" s="861"/>
      <c r="BT43" s="861"/>
      <c r="BU43" s="861"/>
      <c r="BV43" s="861"/>
      <c r="BW43" s="861"/>
      <c r="BX43" s="861"/>
      <c r="BY43" s="861"/>
      <c r="BZ43" s="861"/>
      <c r="CA43" s="861"/>
      <c r="CB43" s="543"/>
      <c r="CC43" s="543"/>
      <c r="CD43" s="861"/>
      <c r="CE43" s="543"/>
      <c r="CF43" s="543"/>
      <c r="CG43" s="543"/>
      <c r="CH43" s="543"/>
      <c r="CI43" s="543"/>
      <c r="CJ43" s="543"/>
    </row>
    <row r="44" spans="1:88" s="158" customFormat="1">
      <c r="H44" s="863"/>
      <c r="I44" s="864"/>
      <c r="J44" s="864"/>
      <c r="K44" s="863"/>
      <c r="N44" s="481">
        <v>2006</v>
      </c>
      <c r="O44" s="548">
        <v>109.019572472265</v>
      </c>
      <c r="P44" s="550">
        <f t="shared" si="11"/>
        <v>9.0195724722649973E-2</v>
      </c>
      <c r="Q44" s="133">
        <v>3.8616107172161102E-2</v>
      </c>
      <c r="R44" s="549">
        <f t="shared" ref="R44:R50" si="13">R43*(1+Q44)</f>
        <v>103.86161071721611</v>
      </c>
      <c r="S44" s="287">
        <v>3356135325422.4502</v>
      </c>
      <c r="T44" s="551">
        <f t="shared" si="12"/>
        <v>6.3483314164085494E-2</v>
      </c>
      <c r="Y44" s="543"/>
      <c r="AA44" s="866" t="s">
        <v>1141</v>
      </c>
      <c r="AH44" s="543"/>
      <c r="AK44" s="541"/>
      <c r="AL44" s="543"/>
      <c r="AM44" s="543"/>
      <c r="AO44" s="543"/>
      <c r="AQ44" s="543"/>
      <c r="AX44" s="862"/>
      <c r="AY44" s="862"/>
      <c r="AZ44" s="862"/>
      <c r="BA44" s="862"/>
      <c r="BB44" s="862"/>
      <c r="BC44" s="862"/>
      <c r="BD44" s="541"/>
      <c r="BE44" s="541"/>
      <c r="BF44" s="541"/>
      <c r="BG44" s="541"/>
      <c r="BH44" s="541"/>
      <c r="BI44" s="541"/>
      <c r="BJ44" s="861"/>
      <c r="BK44" s="861"/>
      <c r="BL44" s="861"/>
      <c r="BM44" s="861"/>
      <c r="BN44" s="861"/>
      <c r="BP44" s="861"/>
      <c r="BQ44" s="861"/>
      <c r="BR44" s="861"/>
      <c r="BS44" s="861"/>
      <c r="BT44" s="861"/>
      <c r="BU44" s="861"/>
      <c r="BV44" s="861"/>
      <c r="BW44" s="861"/>
      <c r="BX44" s="861"/>
      <c r="BY44" s="861"/>
      <c r="BZ44" s="861"/>
      <c r="CA44" s="861"/>
      <c r="CB44" s="543"/>
      <c r="CC44" s="543"/>
      <c r="CD44" s="861"/>
      <c r="CE44" s="543"/>
      <c r="CF44" s="543"/>
      <c r="CG44" s="543"/>
      <c r="CH44" s="543"/>
      <c r="CI44" s="543"/>
      <c r="CJ44" s="543"/>
    </row>
    <row r="45" spans="1:88" s="158" customFormat="1">
      <c r="D45" s="158" t="s">
        <v>224</v>
      </c>
      <c r="E45" s="159">
        <v>13881336</v>
      </c>
      <c r="F45" s="158" t="s">
        <v>225</v>
      </c>
      <c r="H45" s="863"/>
      <c r="I45" s="864"/>
      <c r="J45" s="864"/>
      <c r="K45" s="863"/>
      <c r="N45" s="481">
        <v>2007</v>
      </c>
      <c r="O45" s="548">
        <v>120.63816944307599</v>
      </c>
      <c r="P45" s="550">
        <f t="shared" si="11"/>
        <v>0.10657349600015001</v>
      </c>
      <c r="Q45" s="133">
        <v>3.6541159402364097E-2</v>
      </c>
      <c r="R45" s="549">
        <f t="shared" si="13"/>
        <v>107.6568343902202</v>
      </c>
      <c r="S45" s="287">
        <v>3563997611969.4399</v>
      </c>
      <c r="T45" s="551">
        <f t="shared" si="12"/>
        <v>6.1935013458024157E-2</v>
      </c>
      <c r="Y45" s="543"/>
      <c r="AA45" s="866" t="s">
        <v>1140</v>
      </c>
      <c r="AH45" s="543"/>
      <c r="AK45" s="541"/>
      <c r="AL45" s="543"/>
      <c r="AM45" s="543"/>
      <c r="AO45" s="543"/>
      <c r="AQ45" s="543"/>
      <c r="AX45" s="862"/>
      <c r="AY45" s="862"/>
      <c r="AZ45" s="862"/>
      <c r="BA45" s="862"/>
      <c r="BB45" s="862"/>
      <c r="BC45" s="862"/>
      <c r="BD45" s="541"/>
      <c r="BE45" s="541"/>
      <c r="BF45" s="541"/>
      <c r="BG45" s="541"/>
      <c r="BH45" s="541"/>
      <c r="BI45" s="541"/>
      <c r="BJ45" s="861"/>
      <c r="BK45" s="861"/>
      <c r="BL45" s="861"/>
      <c r="BM45" s="861"/>
      <c r="BN45" s="861"/>
      <c r="BP45" s="861"/>
      <c r="BQ45" s="861"/>
      <c r="BR45" s="861"/>
      <c r="BS45" s="861"/>
      <c r="BT45" s="861"/>
      <c r="BU45" s="861"/>
      <c r="BV45" s="861"/>
      <c r="BW45" s="861"/>
      <c r="BX45" s="861"/>
      <c r="BY45" s="861"/>
      <c r="BZ45" s="861"/>
      <c r="CA45" s="861"/>
      <c r="CB45" s="543"/>
      <c r="CC45" s="543"/>
      <c r="CD45" s="861"/>
      <c r="CE45" s="543"/>
      <c r="CF45" s="543"/>
      <c r="CG45" s="543"/>
      <c r="CH45" s="543"/>
      <c r="CI45" s="543"/>
      <c r="CJ45" s="543"/>
    </row>
    <row r="46" spans="1:88" s="158" customFormat="1">
      <c r="D46" s="158" t="s">
        <v>226</v>
      </c>
      <c r="E46" s="160">
        <v>2.4665054805529722E-2</v>
      </c>
      <c r="F46" s="161" t="s">
        <v>227</v>
      </c>
      <c r="G46" s="158" t="s">
        <v>1338</v>
      </c>
      <c r="H46" s="863"/>
      <c r="I46" s="864"/>
      <c r="J46" s="864"/>
      <c r="K46" s="863"/>
      <c r="N46" s="481">
        <v>2008</v>
      </c>
      <c r="O46" s="548">
        <v>135.652087337214</v>
      </c>
      <c r="P46" s="550">
        <f t="shared" si="11"/>
        <v>0.12445412561753461</v>
      </c>
      <c r="Q46" s="133">
        <v>3.08799236486446E-2</v>
      </c>
      <c r="R46" s="549">
        <f t="shared" si="13"/>
        <v>110.98126921644497</v>
      </c>
      <c r="S46" s="287">
        <v>3765436029701.6401</v>
      </c>
      <c r="T46" s="551">
        <f t="shared" si="12"/>
        <v>5.6520357100039345E-2</v>
      </c>
      <c r="U46" s="161" t="s">
        <v>751</v>
      </c>
      <c r="V46" s="553">
        <v>12620219</v>
      </c>
      <c r="W46" s="161" t="s">
        <v>1338</v>
      </c>
      <c r="Y46" s="543"/>
      <c r="AA46" s="866" t="s">
        <v>1139</v>
      </c>
      <c r="AH46" s="543"/>
      <c r="AK46" s="541"/>
      <c r="AL46" s="543"/>
      <c r="AM46" s="543"/>
      <c r="AO46" s="543"/>
      <c r="AQ46" s="543"/>
      <c r="AX46" s="862"/>
      <c r="AY46" s="862"/>
      <c r="AZ46" s="862"/>
      <c r="BA46" s="862"/>
      <c r="BB46" s="862"/>
      <c r="BC46" s="862"/>
      <c r="BD46" s="541"/>
      <c r="BE46" s="541"/>
      <c r="BF46" s="541"/>
      <c r="BG46" s="541"/>
      <c r="BH46" s="541"/>
      <c r="BI46" s="541"/>
      <c r="BJ46" s="861"/>
      <c r="BK46" s="861"/>
      <c r="BL46" s="861"/>
      <c r="BM46" s="861"/>
      <c r="BN46" s="861"/>
      <c r="BP46" s="861"/>
      <c r="BQ46" s="861"/>
      <c r="BR46" s="861"/>
      <c r="BS46" s="861"/>
      <c r="BT46" s="861"/>
      <c r="BU46" s="861"/>
      <c r="BV46" s="861"/>
      <c r="BW46" s="861"/>
      <c r="BX46" s="861"/>
      <c r="BY46" s="861"/>
      <c r="BZ46" s="861"/>
      <c r="CA46" s="861"/>
      <c r="CB46" s="543"/>
      <c r="CC46" s="543"/>
      <c r="CD46" s="861"/>
      <c r="CE46" s="543"/>
      <c r="CF46" s="543"/>
      <c r="CG46" s="543"/>
      <c r="CH46" s="543"/>
      <c r="CI46" s="543"/>
      <c r="CJ46" s="543"/>
    </row>
    <row r="47" spans="1:88" s="158" customFormat="1">
      <c r="D47" s="158" t="s">
        <v>228</v>
      </c>
      <c r="E47" s="162">
        <v>4.9000000000000002E-2</v>
      </c>
      <c r="H47" s="863"/>
      <c r="I47" s="864"/>
      <c r="J47" s="864"/>
      <c r="K47" s="863"/>
      <c r="N47" s="481">
        <v>2009</v>
      </c>
      <c r="O47" s="548">
        <v>153.823258008339</v>
      </c>
      <c r="P47" s="550">
        <f t="shared" si="11"/>
        <v>0.1339542282600765</v>
      </c>
      <c r="Q47" s="133">
        <v>3.7194173620328702E-2</v>
      </c>
      <c r="R47" s="549">
        <f t="shared" si="13"/>
        <v>115.10912581228587</v>
      </c>
      <c r="S47" s="287">
        <v>4003015203173.5601</v>
      </c>
      <c r="T47" s="551">
        <f t="shared" si="12"/>
        <v>6.3094731021295522E-2</v>
      </c>
      <c r="U47" s="554">
        <f>(S47/S38)^(1/(N47-N38))-1</f>
        <v>5.3743252425943799E-2</v>
      </c>
      <c r="V47" s="553">
        <v>12935368</v>
      </c>
      <c r="W47" s="161" t="s">
        <v>1338</v>
      </c>
      <c r="Y47" s="543"/>
      <c r="AA47" s="158" t="s">
        <v>1138</v>
      </c>
      <c r="AH47" s="543"/>
      <c r="AK47" s="541"/>
      <c r="AL47" s="543"/>
      <c r="AM47" s="543"/>
      <c r="AO47" s="543"/>
      <c r="AQ47" s="543"/>
      <c r="AX47" s="862"/>
      <c r="AY47" s="862"/>
      <c r="AZ47" s="862"/>
      <c r="BA47" s="862"/>
      <c r="BB47" s="862"/>
      <c r="BC47" s="862"/>
      <c r="BD47" s="541"/>
      <c r="BE47" s="541"/>
      <c r="BF47" s="541"/>
      <c r="BG47" s="541"/>
      <c r="BH47" s="541"/>
      <c r="BI47" s="541"/>
      <c r="BJ47" s="861"/>
      <c r="BK47" s="861"/>
      <c r="BL47" s="861"/>
      <c r="BM47" s="861"/>
      <c r="BN47" s="861"/>
      <c r="BP47" s="861"/>
      <c r="BQ47" s="861"/>
      <c r="BR47" s="861"/>
      <c r="BS47" s="861"/>
      <c r="BT47" s="861"/>
      <c r="BU47" s="861"/>
      <c r="BV47" s="861"/>
      <c r="BW47" s="861"/>
      <c r="BX47" s="861"/>
      <c r="BY47" s="861"/>
      <c r="BZ47" s="861"/>
      <c r="CA47" s="861"/>
      <c r="CB47" s="543"/>
      <c r="CC47" s="543"/>
      <c r="CD47" s="861"/>
      <c r="CE47" s="543"/>
      <c r="CF47" s="543"/>
      <c r="CG47" s="543"/>
      <c r="CH47" s="543"/>
      <c r="CI47" s="543"/>
      <c r="CJ47" s="543"/>
    </row>
    <row r="48" spans="1:88" s="158" customFormat="1">
      <c r="H48" s="863"/>
      <c r="I48" s="864"/>
      <c r="J48" s="864"/>
      <c r="K48" s="863"/>
      <c r="N48" s="481">
        <v>2010</v>
      </c>
      <c r="O48" s="548">
        <f>O47*(1+P48)</f>
        <v>169.35940706718122</v>
      </c>
      <c r="P48" s="555">
        <v>0.10100000000000001</v>
      </c>
      <c r="Q48" s="556">
        <f>AVERAGE(Q38:Q47)</f>
        <v>2.73023970318238E-2</v>
      </c>
      <c r="R48" s="549">
        <f t="shared" si="13"/>
        <v>118.25188086719905</v>
      </c>
      <c r="S48" s="541"/>
      <c r="T48" s="557">
        <v>5.5E-2</v>
      </c>
      <c r="U48" s="543"/>
      <c r="V48" s="543"/>
      <c r="W48" s="543"/>
      <c r="AH48" s="543"/>
      <c r="AK48" s="541"/>
      <c r="AL48" s="543"/>
      <c r="AM48" s="543"/>
      <c r="AO48" s="543"/>
      <c r="AQ48" s="543"/>
      <c r="AX48" s="862"/>
      <c r="AY48" s="862"/>
      <c r="AZ48" s="862"/>
      <c r="BA48" s="862"/>
      <c r="BB48" s="862"/>
      <c r="BC48" s="862"/>
      <c r="BD48" s="541"/>
      <c r="BE48" s="541"/>
      <c r="BF48" s="541"/>
      <c r="BG48" s="541"/>
      <c r="BH48" s="541"/>
      <c r="BI48" s="541"/>
      <c r="BJ48" s="861"/>
      <c r="BK48" s="861"/>
      <c r="BL48" s="861"/>
      <c r="BM48" s="861"/>
      <c r="BN48" s="861"/>
      <c r="BP48" s="861"/>
      <c r="BQ48" s="861"/>
      <c r="BR48" s="861"/>
      <c r="BS48" s="861"/>
      <c r="BT48" s="861"/>
      <c r="BU48" s="861"/>
      <c r="BV48" s="861"/>
      <c r="BW48" s="861"/>
      <c r="BX48" s="861"/>
      <c r="BY48" s="861"/>
      <c r="BZ48" s="861"/>
      <c r="CA48" s="861"/>
      <c r="CB48" s="543"/>
      <c r="CC48" s="543"/>
      <c r="CD48" s="861"/>
      <c r="CE48" s="543"/>
      <c r="CF48" s="543"/>
      <c r="CG48" s="543"/>
      <c r="CH48" s="543"/>
      <c r="CI48" s="543"/>
      <c r="CJ48" s="543"/>
    </row>
    <row r="49" spans="5:88" s="158" customFormat="1">
      <c r="H49" s="863"/>
      <c r="I49" s="864"/>
      <c r="J49" s="864"/>
      <c r="K49" s="863"/>
      <c r="N49" s="558">
        <v>2011</v>
      </c>
      <c r="O49" s="559">
        <f>O48*(1+P49)</f>
        <v>182.06136259721981</v>
      </c>
      <c r="P49" s="560">
        <v>7.4999999999999997E-2</v>
      </c>
      <c r="Q49" s="561">
        <f>Q48</f>
        <v>2.73023970318238E-2</v>
      </c>
      <c r="R49" s="562">
        <f t="shared" si="13"/>
        <v>121.48044066839525</v>
      </c>
      <c r="S49" s="541"/>
      <c r="T49" s="557">
        <v>0.06</v>
      </c>
      <c r="U49" s="543"/>
      <c r="V49" s="553">
        <f>E45</f>
        <v>13881336</v>
      </c>
      <c r="W49" s="543"/>
      <c r="X49" s="865"/>
      <c r="AH49" s="543"/>
      <c r="AK49" s="541"/>
      <c r="AL49" s="543"/>
      <c r="AM49" s="543"/>
      <c r="AO49" s="543"/>
      <c r="AQ49" s="543"/>
      <c r="AX49" s="862"/>
      <c r="AY49" s="862"/>
      <c r="AZ49" s="862"/>
      <c r="BA49" s="862"/>
      <c r="BB49" s="862"/>
      <c r="BC49" s="862"/>
      <c r="BD49" s="541"/>
      <c r="BE49" s="541"/>
      <c r="BF49" s="541"/>
      <c r="BG49" s="541"/>
      <c r="BH49" s="541"/>
      <c r="BI49" s="541"/>
      <c r="BJ49" s="861"/>
      <c r="BK49" s="861"/>
      <c r="BL49" s="861"/>
      <c r="BM49" s="861"/>
      <c r="BN49" s="861"/>
      <c r="BP49" s="861"/>
      <c r="BQ49" s="861"/>
      <c r="BR49" s="861"/>
      <c r="BS49" s="861"/>
      <c r="BT49" s="861"/>
      <c r="BU49" s="861"/>
      <c r="BV49" s="861"/>
      <c r="BW49" s="861"/>
      <c r="BX49" s="861"/>
      <c r="BY49" s="861"/>
      <c r="BZ49" s="861"/>
      <c r="CA49" s="861"/>
      <c r="CB49" s="543"/>
      <c r="CC49" s="543"/>
      <c r="CD49" s="861"/>
      <c r="CE49" s="543"/>
      <c r="CF49" s="543"/>
      <c r="CG49" s="543"/>
      <c r="CH49" s="543"/>
      <c r="CI49" s="543"/>
      <c r="CJ49" s="543"/>
    </row>
    <row r="50" spans="5:88" s="158" customFormat="1">
      <c r="E50" s="253"/>
      <c r="H50" s="863"/>
      <c r="I50" s="864"/>
      <c r="J50" s="864"/>
      <c r="K50" s="863"/>
      <c r="N50" s="563">
        <v>2012</v>
      </c>
      <c r="O50" s="548">
        <f>O49*(1+P50)</f>
        <v>193.89535116603909</v>
      </c>
      <c r="P50" s="555">
        <v>6.5000000000000002E-2</v>
      </c>
      <c r="Q50" s="556">
        <f>Q49</f>
        <v>2.73023970318238E-2</v>
      </c>
      <c r="R50" s="549">
        <f t="shared" si="13"/>
        <v>124.79714789112469</v>
      </c>
      <c r="S50" s="541"/>
      <c r="T50" s="557">
        <v>6.2E-2</v>
      </c>
      <c r="U50" s="543"/>
      <c r="V50" s="543"/>
      <c r="W50" s="543"/>
      <c r="AH50" s="543"/>
      <c r="AK50" s="541"/>
      <c r="AL50" s="543"/>
      <c r="AM50" s="543"/>
      <c r="AO50" s="543"/>
      <c r="AQ50" s="543"/>
      <c r="AX50" s="862"/>
      <c r="AY50" s="862"/>
      <c r="AZ50" s="862"/>
      <c r="BA50" s="862"/>
      <c r="BB50" s="862"/>
      <c r="BC50" s="862"/>
      <c r="BD50" s="541"/>
      <c r="BE50" s="541"/>
      <c r="BF50" s="541"/>
      <c r="BG50" s="541"/>
      <c r="BH50" s="541"/>
      <c r="BI50" s="541"/>
      <c r="BJ50" s="861"/>
      <c r="BK50" s="861"/>
      <c r="BL50" s="861"/>
      <c r="BM50" s="861"/>
      <c r="BN50" s="861"/>
      <c r="BP50" s="861"/>
      <c r="BQ50" s="861"/>
      <c r="BR50" s="861"/>
      <c r="BS50" s="861"/>
      <c r="BT50" s="861"/>
      <c r="BU50" s="861"/>
      <c r="BV50" s="861"/>
      <c r="BW50" s="861"/>
      <c r="BX50" s="861"/>
      <c r="BY50" s="861"/>
      <c r="BZ50" s="861"/>
      <c r="CA50" s="861"/>
      <c r="CB50" s="543"/>
      <c r="CC50" s="543"/>
      <c r="CD50" s="861"/>
      <c r="CE50" s="543"/>
      <c r="CF50" s="543"/>
      <c r="CG50" s="543"/>
      <c r="CH50" s="543"/>
      <c r="CI50" s="543"/>
      <c r="CJ50" s="543"/>
    </row>
    <row r="51" spans="5:88" s="158" customFormat="1">
      <c r="E51" s="253"/>
      <c r="H51" s="863"/>
      <c r="I51" s="864"/>
      <c r="J51" s="864"/>
      <c r="K51" s="863"/>
      <c r="N51" s="541" t="s">
        <v>545</v>
      </c>
      <c r="O51" s="542"/>
      <c r="P51" s="541"/>
      <c r="Q51" s="541"/>
      <c r="R51" s="541"/>
      <c r="S51" s="541"/>
      <c r="T51" s="557">
        <f>U47</f>
        <v>5.3743252425943799E-2</v>
      </c>
      <c r="U51" s="543"/>
      <c r="V51" s="543"/>
      <c r="W51" s="543"/>
      <c r="AH51" s="543"/>
      <c r="AK51" s="541"/>
      <c r="AL51" s="543"/>
      <c r="AM51" s="543"/>
      <c r="AO51" s="543"/>
      <c r="AQ51" s="543"/>
      <c r="AX51" s="862"/>
      <c r="AY51" s="862"/>
      <c r="AZ51" s="862"/>
      <c r="BA51" s="862"/>
      <c r="BB51" s="862"/>
      <c r="BC51" s="862"/>
      <c r="BD51" s="541"/>
      <c r="BE51" s="541"/>
      <c r="BF51" s="541"/>
      <c r="BG51" s="541"/>
      <c r="BH51" s="541"/>
      <c r="BI51" s="541"/>
      <c r="BJ51" s="861"/>
      <c r="BK51" s="861"/>
      <c r="BL51" s="861"/>
      <c r="BM51" s="861"/>
      <c r="BN51" s="861"/>
      <c r="BP51" s="861"/>
      <c r="BQ51" s="861"/>
      <c r="BR51" s="861"/>
      <c r="BS51" s="861"/>
      <c r="BT51" s="861"/>
      <c r="BU51" s="861"/>
      <c r="BV51" s="861"/>
      <c r="BW51" s="861"/>
      <c r="BX51" s="861"/>
      <c r="BY51" s="861"/>
      <c r="BZ51" s="861"/>
      <c r="CA51" s="861"/>
      <c r="CB51" s="543"/>
      <c r="CC51" s="543"/>
      <c r="CD51" s="861"/>
      <c r="CE51" s="543"/>
      <c r="CF51" s="543"/>
      <c r="CG51" s="543"/>
      <c r="CH51" s="543"/>
      <c r="CI51" s="543"/>
      <c r="CJ51" s="543"/>
    </row>
    <row r="52" spans="5:88" s="158" customFormat="1">
      <c r="H52" s="863"/>
      <c r="I52" s="864"/>
      <c r="J52" s="864"/>
      <c r="K52" s="863"/>
      <c r="N52" s="541"/>
      <c r="O52" s="542"/>
      <c r="P52" s="541"/>
      <c r="Q52" s="541"/>
      <c r="R52" s="541"/>
      <c r="S52" s="541"/>
      <c r="U52" s="543"/>
      <c r="AG52" s="543"/>
      <c r="AJ52" s="541"/>
      <c r="AK52" s="543"/>
      <c r="AL52" s="543"/>
      <c r="AN52" s="543"/>
      <c r="AP52" s="543"/>
      <c r="AW52" s="862"/>
      <c r="AX52" s="862"/>
      <c r="AY52" s="862"/>
      <c r="AZ52" s="862"/>
      <c r="BA52" s="862"/>
      <c r="BB52" s="862"/>
      <c r="BC52" s="541"/>
      <c r="BD52" s="541"/>
      <c r="BE52" s="541"/>
      <c r="BF52" s="541"/>
      <c r="BG52" s="541"/>
      <c r="BH52" s="541"/>
      <c r="BI52" s="861"/>
      <c r="BJ52" s="861"/>
      <c r="BK52" s="861"/>
      <c r="BL52" s="861"/>
      <c r="BM52" s="861"/>
      <c r="BO52" s="861"/>
      <c r="BP52" s="861"/>
      <c r="BQ52" s="861"/>
      <c r="BR52" s="861"/>
      <c r="BS52" s="861"/>
      <c r="BT52" s="861"/>
      <c r="BU52" s="861"/>
      <c r="BV52" s="861"/>
      <c r="BW52" s="861"/>
      <c r="BX52" s="861"/>
      <c r="BY52" s="861"/>
      <c r="BZ52" s="861"/>
      <c r="CA52" s="543"/>
      <c r="CB52" s="543"/>
      <c r="CC52" s="861"/>
      <c r="CD52" s="543"/>
      <c r="CE52" s="543"/>
      <c r="CF52" s="543"/>
      <c r="CG52" s="543"/>
      <c r="CH52" s="543"/>
      <c r="CI52" s="543"/>
    </row>
    <row r="53" spans="5:88" s="158" customFormat="1">
      <c r="H53" s="863"/>
      <c r="I53" s="864"/>
      <c r="J53" s="864"/>
      <c r="K53" s="863"/>
      <c r="N53" s="541"/>
      <c r="O53" s="542"/>
      <c r="P53" s="541"/>
      <c r="Q53" s="541"/>
      <c r="R53" s="541"/>
      <c r="S53" s="541"/>
      <c r="U53" s="543"/>
      <c r="AG53" s="543"/>
      <c r="AJ53" s="541"/>
      <c r="AK53" s="543"/>
      <c r="AL53" s="543"/>
      <c r="AN53" s="543"/>
      <c r="AP53" s="543"/>
      <c r="AW53" s="862"/>
      <c r="AX53" s="862"/>
      <c r="AY53" s="862"/>
      <c r="AZ53" s="862"/>
      <c r="BA53" s="862"/>
      <c r="BB53" s="862"/>
      <c r="BC53" s="541"/>
      <c r="BD53" s="541"/>
      <c r="BE53" s="541"/>
      <c r="BF53" s="541"/>
      <c r="BG53" s="541"/>
      <c r="BH53" s="541"/>
      <c r="BI53" s="861"/>
      <c r="BJ53" s="861"/>
      <c r="BK53" s="861"/>
      <c r="BL53" s="861"/>
      <c r="BM53" s="861"/>
      <c r="BO53" s="861"/>
      <c r="BP53" s="861"/>
      <c r="BQ53" s="861"/>
      <c r="BR53" s="861"/>
      <c r="BS53" s="861"/>
      <c r="BT53" s="861"/>
      <c r="BU53" s="861"/>
      <c r="BV53" s="861"/>
      <c r="BW53" s="861"/>
      <c r="BX53" s="861"/>
      <c r="BY53" s="861"/>
      <c r="BZ53" s="861"/>
      <c r="CA53" s="543"/>
      <c r="CB53" s="543"/>
      <c r="CC53" s="861"/>
      <c r="CD53" s="543"/>
      <c r="CE53" s="543"/>
      <c r="CF53" s="543"/>
      <c r="CG53" s="543"/>
      <c r="CH53" s="543"/>
      <c r="CI53" s="543"/>
    </row>
    <row r="54" spans="5:88" s="158" customFormat="1">
      <c r="H54" s="863"/>
      <c r="I54" s="864"/>
      <c r="J54" s="864"/>
      <c r="K54" s="863"/>
      <c r="N54" s="541"/>
      <c r="O54" s="542"/>
      <c r="P54" s="541"/>
      <c r="Q54" s="541"/>
      <c r="R54" s="541"/>
      <c r="S54" s="541"/>
      <c r="U54" s="543"/>
      <c r="AF54" s="543"/>
      <c r="AI54" s="541"/>
      <c r="AJ54" s="543"/>
      <c r="AK54" s="543"/>
      <c r="AM54" s="543"/>
      <c r="AO54" s="543"/>
      <c r="AV54" s="862"/>
      <c r="AW54" s="862"/>
      <c r="AX54" s="862"/>
      <c r="AY54" s="862"/>
      <c r="AZ54" s="862"/>
      <c r="BA54" s="862"/>
      <c r="BB54" s="541"/>
      <c r="BC54" s="541"/>
      <c r="BD54" s="541"/>
      <c r="BE54" s="541"/>
      <c r="BF54" s="541"/>
      <c r="BG54" s="541"/>
      <c r="BH54" s="861"/>
      <c r="BI54" s="861"/>
      <c r="BJ54" s="861"/>
      <c r="BK54" s="861"/>
      <c r="BL54" s="861"/>
      <c r="BN54" s="861"/>
      <c r="BO54" s="861"/>
      <c r="BP54" s="861"/>
      <c r="BQ54" s="861"/>
      <c r="BR54" s="861"/>
      <c r="BS54" s="861"/>
      <c r="BT54" s="861"/>
      <c r="BU54" s="861"/>
      <c r="BV54" s="861"/>
      <c r="BW54" s="861"/>
      <c r="BX54" s="861"/>
      <c r="BY54" s="861"/>
      <c r="BZ54" s="543"/>
      <c r="CA54" s="543"/>
      <c r="CB54" s="861"/>
      <c r="CC54" s="543"/>
      <c r="CD54" s="543"/>
      <c r="CE54" s="543"/>
      <c r="CF54" s="543"/>
      <c r="CG54" s="543"/>
      <c r="CH54" s="543"/>
    </row>
    <row r="55" spans="5:88" s="158" customFormat="1">
      <c r="H55" s="863"/>
      <c r="I55" s="864"/>
      <c r="J55" s="864"/>
      <c r="K55" s="863"/>
      <c r="N55" s="541"/>
      <c r="O55" s="542"/>
      <c r="P55" s="541"/>
      <c r="Q55" s="541"/>
      <c r="R55" s="541"/>
      <c r="S55" s="541"/>
      <c r="U55" s="543"/>
      <c r="AF55" s="543"/>
      <c r="AI55" s="541"/>
      <c r="AJ55" s="543"/>
      <c r="AK55" s="543"/>
      <c r="AM55" s="543"/>
      <c r="AO55" s="543"/>
      <c r="AV55" s="862"/>
      <c r="AW55" s="862"/>
      <c r="AX55" s="862"/>
      <c r="AY55" s="862"/>
      <c r="AZ55" s="862"/>
      <c r="BA55" s="862"/>
      <c r="BB55" s="541"/>
      <c r="BC55" s="541"/>
      <c r="BD55" s="541"/>
      <c r="BE55" s="541"/>
      <c r="BF55" s="541"/>
      <c r="BG55" s="541"/>
      <c r="BH55" s="861"/>
      <c r="BI55" s="861"/>
      <c r="BJ55" s="861"/>
      <c r="BK55" s="861"/>
      <c r="BL55" s="861"/>
      <c r="BN55" s="861"/>
      <c r="BO55" s="861"/>
      <c r="BP55" s="861"/>
      <c r="BQ55" s="861"/>
      <c r="BR55" s="861"/>
      <c r="BS55" s="861"/>
      <c r="BT55" s="861"/>
      <c r="BU55" s="861"/>
      <c r="BV55" s="861"/>
      <c r="BW55" s="861"/>
      <c r="BX55" s="861"/>
      <c r="BY55" s="861"/>
      <c r="BZ55" s="543"/>
      <c r="CA55" s="543"/>
      <c r="CB55" s="861"/>
      <c r="CC55" s="543"/>
      <c r="CD55" s="543"/>
      <c r="CE55" s="543"/>
      <c r="CF55" s="543"/>
      <c r="CG55" s="543"/>
      <c r="CH55" s="543"/>
    </row>
    <row r="56" spans="5:88" s="158" customFormat="1">
      <c r="H56" s="863"/>
      <c r="I56" s="864"/>
      <c r="J56" s="864"/>
      <c r="K56" s="863"/>
      <c r="N56" s="541"/>
      <c r="O56" s="542"/>
      <c r="P56" s="541"/>
      <c r="Q56" s="541"/>
      <c r="R56" s="541"/>
      <c r="S56" s="541"/>
      <c r="U56" s="543"/>
      <c r="AF56" s="543"/>
      <c r="AI56" s="541"/>
      <c r="AJ56" s="543"/>
      <c r="AK56" s="543"/>
      <c r="AM56" s="543"/>
      <c r="AO56" s="543"/>
      <c r="AV56" s="862"/>
      <c r="AW56" s="862"/>
      <c r="AX56" s="862"/>
      <c r="AY56" s="862"/>
      <c r="AZ56" s="862"/>
      <c r="BA56" s="862"/>
      <c r="BB56" s="541"/>
      <c r="BC56" s="541"/>
      <c r="BD56" s="541"/>
      <c r="BE56" s="541"/>
      <c r="BF56" s="541"/>
      <c r="BG56" s="541"/>
      <c r="BH56" s="861"/>
      <c r="BI56" s="861"/>
      <c r="BJ56" s="861"/>
      <c r="BK56" s="861"/>
      <c r="BL56" s="861"/>
      <c r="BN56" s="861"/>
      <c r="BO56" s="861"/>
      <c r="BP56" s="861"/>
      <c r="BQ56" s="861"/>
      <c r="BR56" s="861"/>
      <c r="BS56" s="861"/>
      <c r="BT56" s="861"/>
      <c r="BU56" s="861"/>
      <c r="BV56" s="861"/>
      <c r="BW56" s="861"/>
      <c r="BX56" s="861"/>
      <c r="BY56" s="861"/>
      <c r="BZ56" s="543"/>
      <c r="CA56" s="543"/>
      <c r="CB56" s="861"/>
      <c r="CC56" s="543"/>
      <c r="CD56" s="543"/>
      <c r="CE56" s="543"/>
      <c r="CF56" s="543"/>
      <c r="CG56" s="543"/>
      <c r="CH56" s="543"/>
    </row>
    <row r="57" spans="5:88" s="158" customFormat="1">
      <c r="H57" s="863"/>
      <c r="I57" s="864"/>
      <c r="J57" s="864"/>
      <c r="K57" s="863"/>
      <c r="N57" s="541"/>
      <c r="O57" s="542"/>
      <c r="P57" s="541"/>
      <c r="Q57" s="541"/>
      <c r="R57" s="541"/>
      <c r="S57" s="541"/>
      <c r="U57" s="543"/>
      <c r="AF57" s="543"/>
      <c r="AI57" s="541"/>
      <c r="AJ57" s="543"/>
      <c r="AK57" s="543"/>
      <c r="AM57" s="543"/>
      <c r="AO57" s="543"/>
      <c r="AV57" s="862"/>
      <c r="AW57" s="862"/>
      <c r="AX57" s="862"/>
      <c r="AY57" s="862"/>
      <c r="AZ57" s="862"/>
      <c r="BA57" s="862"/>
      <c r="BB57" s="541"/>
      <c r="BC57" s="541"/>
      <c r="BD57" s="541"/>
      <c r="BE57" s="541"/>
      <c r="BF57" s="541"/>
      <c r="BG57" s="541"/>
      <c r="BH57" s="861"/>
      <c r="BI57" s="861"/>
      <c r="BJ57" s="861"/>
      <c r="BK57" s="861"/>
      <c r="BL57" s="861"/>
      <c r="BN57" s="861"/>
      <c r="BO57" s="861"/>
      <c r="BP57" s="861"/>
      <c r="BQ57" s="861"/>
      <c r="BR57" s="861"/>
      <c r="BS57" s="861"/>
      <c r="BT57" s="861"/>
      <c r="BU57" s="861"/>
      <c r="BV57" s="861"/>
      <c r="BW57" s="861"/>
      <c r="BX57" s="861"/>
      <c r="BY57" s="861"/>
      <c r="BZ57" s="543"/>
      <c r="CA57" s="543"/>
      <c r="CB57" s="861"/>
      <c r="CC57" s="543"/>
      <c r="CD57" s="543"/>
      <c r="CE57" s="543"/>
      <c r="CF57" s="543"/>
      <c r="CG57" s="543"/>
      <c r="CH57" s="543"/>
    </row>
    <row r="58" spans="5:88" s="158" customFormat="1">
      <c r="H58" s="863"/>
      <c r="I58" s="864"/>
      <c r="J58" s="864"/>
      <c r="K58" s="863"/>
      <c r="N58" s="541"/>
      <c r="O58" s="542"/>
      <c r="P58" s="541"/>
      <c r="Q58" s="541"/>
      <c r="R58" s="541"/>
      <c r="S58" s="541"/>
      <c r="U58" s="543"/>
      <c r="AF58" s="543"/>
      <c r="AI58" s="541"/>
      <c r="AJ58" s="543"/>
      <c r="AK58" s="543"/>
      <c r="AM58" s="543"/>
      <c r="AO58" s="543"/>
      <c r="AV58" s="862"/>
      <c r="AW58" s="862"/>
      <c r="AX58" s="862"/>
      <c r="AY58" s="862"/>
      <c r="AZ58" s="862"/>
      <c r="BA58" s="862"/>
      <c r="BB58" s="541"/>
      <c r="BC58" s="541"/>
      <c r="BD58" s="541"/>
      <c r="BE58" s="541"/>
      <c r="BF58" s="541"/>
      <c r="BG58" s="541"/>
      <c r="BH58" s="861"/>
      <c r="BI58" s="861"/>
      <c r="BJ58" s="861"/>
      <c r="BK58" s="861"/>
      <c r="BL58" s="861"/>
      <c r="BN58" s="861"/>
      <c r="BO58" s="861"/>
      <c r="BP58" s="861"/>
      <c r="BQ58" s="861"/>
      <c r="BR58" s="861"/>
      <c r="BS58" s="861"/>
      <c r="BT58" s="861"/>
      <c r="BU58" s="861"/>
      <c r="BV58" s="861"/>
      <c r="BW58" s="861"/>
      <c r="BX58" s="861"/>
      <c r="BY58" s="861"/>
      <c r="BZ58" s="543"/>
      <c r="CA58" s="543"/>
      <c r="CB58" s="861"/>
      <c r="CC58" s="543"/>
      <c r="CD58" s="543"/>
      <c r="CE58" s="543"/>
      <c r="CF58" s="543"/>
      <c r="CG58" s="543"/>
      <c r="CH58" s="543"/>
    </row>
    <row r="59" spans="5:88" s="158" customFormat="1">
      <c r="H59" s="863"/>
      <c r="I59" s="864"/>
      <c r="J59" s="864"/>
      <c r="K59" s="863"/>
      <c r="N59" s="541"/>
      <c r="O59" s="542"/>
      <c r="P59" s="541"/>
      <c r="Q59" s="541"/>
      <c r="R59" s="541"/>
      <c r="S59" s="541"/>
      <c r="U59" s="543"/>
      <c r="AF59" s="543"/>
      <c r="AI59" s="541"/>
      <c r="AJ59" s="543"/>
      <c r="AK59" s="543"/>
      <c r="AM59" s="543"/>
      <c r="AO59" s="543"/>
      <c r="AV59" s="862"/>
      <c r="AW59" s="862"/>
      <c r="AX59" s="862"/>
      <c r="AY59" s="862"/>
      <c r="AZ59" s="862"/>
      <c r="BA59" s="862"/>
      <c r="BB59" s="541"/>
      <c r="BC59" s="541"/>
      <c r="BD59" s="541"/>
      <c r="BE59" s="541"/>
      <c r="BF59" s="541"/>
      <c r="BG59" s="541"/>
      <c r="BH59" s="861"/>
      <c r="BI59" s="861"/>
      <c r="BJ59" s="861"/>
      <c r="BK59" s="861"/>
      <c r="BL59" s="861"/>
      <c r="BN59" s="861"/>
      <c r="BO59" s="861"/>
      <c r="BP59" s="861"/>
      <c r="BQ59" s="861"/>
      <c r="BR59" s="861"/>
      <c r="BS59" s="861"/>
      <c r="BT59" s="861"/>
      <c r="BU59" s="861"/>
      <c r="BV59" s="861"/>
      <c r="BW59" s="861"/>
      <c r="BX59" s="861"/>
      <c r="BY59" s="861"/>
      <c r="BZ59" s="543"/>
      <c r="CA59" s="543"/>
      <c r="CB59" s="861"/>
      <c r="CC59" s="543"/>
      <c r="CD59" s="543"/>
      <c r="CE59" s="543"/>
      <c r="CF59" s="543"/>
      <c r="CG59" s="543"/>
      <c r="CH59" s="543"/>
    </row>
    <row r="60" spans="5:88" s="158" customFormat="1">
      <c r="H60" s="863"/>
      <c r="I60" s="864"/>
      <c r="J60" s="864"/>
      <c r="K60" s="863"/>
      <c r="N60" s="541"/>
      <c r="O60" s="542"/>
      <c r="P60" s="541"/>
      <c r="Q60" s="541"/>
      <c r="R60" s="541"/>
      <c r="S60" s="541"/>
      <c r="U60" s="543"/>
      <c r="AF60" s="543"/>
      <c r="AI60" s="541"/>
      <c r="AJ60" s="543"/>
      <c r="AK60" s="543"/>
      <c r="AM60" s="543"/>
      <c r="AO60" s="543"/>
      <c r="AV60" s="862"/>
      <c r="AW60" s="862"/>
      <c r="AX60" s="862"/>
      <c r="AY60" s="862"/>
      <c r="AZ60" s="862"/>
      <c r="BA60" s="862"/>
      <c r="BB60" s="541"/>
      <c r="BC60" s="541"/>
      <c r="BD60" s="541"/>
      <c r="BE60" s="541"/>
      <c r="BF60" s="541"/>
      <c r="BG60" s="541"/>
      <c r="BH60" s="861"/>
      <c r="BI60" s="861"/>
      <c r="BJ60" s="861"/>
      <c r="BK60" s="861"/>
      <c r="BL60" s="861"/>
      <c r="BN60" s="861"/>
      <c r="BO60" s="861"/>
      <c r="BP60" s="861"/>
      <c r="BQ60" s="861"/>
      <c r="BR60" s="861"/>
      <c r="BS60" s="861"/>
      <c r="BT60" s="861"/>
      <c r="BU60" s="861"/>
      <c r="BV60" s="861"/>
      <c r="BW60" s="861"/>
      <c r="BX60" s="861"/>
      <c r="BY60" s="861"/>
      <c r="BZ60" s="543"/>
      <c r="CA60" s="543"/>
      <c r="CB60" s="861"/>
      <c r="CC60" s="543"/>
      <c r="CD60" s="543"/>
      <c r="CE60" s="543"/>
      <c r="CF60" s="543"/>
      <c r="CG60" s="543"/>
      <c r="CH60" s="543"/>
    </row>
    <row r="61" spans="5:88" s="158" customFormat="1">
      <c r="H61" s="863"/>
      <c r="I61" s="864"/>
      <c r="J61" s="864"/>
      <c r="K61" s="863"/>
      <c r="N61" s="541"/>
      <c r="O61" s="542"/>
      <c r="P61" s="541"/>
      <c r="Q61" s="541"/>
      <c r="R61" s="541"/>
      <c r="S61" s="541"/>
      <c r="U61" s="543"/>
      <c r="AF61" s="543"/>
      <c r="AI61" s="541"/>
      <c r="AJ61" s="543"/>
      <c r="AK61" s="543"/>
      <c r="AM61" s="543"/>
      <c r="AO61" s="543"/>
      <c r="AV61" s="862"/>
      <c r="AW61" s="862"/>
      <c r="AX61" s="862"/>
      <c r="AY61" s="862"/>
      <c r="AZ61" s="862"/>
      <c r="BA61" s="862"/>
      <c r="BB61" s="541"/>
      <c r="BC61" s="541"/>
      <c r="BD61" s="541"/>
      <c r="BE61" s="541"/>
      <c r="BF61" s="541"/>
      <c r="BG61" s="541"/>
      <c r="BH61" s="861"/>
      <c r="BI61" s="861"/>
      <c r="BJ61" s="861"/>
      <c r="BK61" s="861"/>
      <c r="BL61" s="861"/>
      <c r="BN61" s="861"/>
      <c r="BO61" s="861"/>
      <c r="BP61" s="861"/>
      <c r="BQ61" s="861"/>
      <c r="BR61" s="861"/>
      <c r="BS61" s="861"/>
      <c r="BT61" s="861"/>
      <c r="BU61" s="861"/>
      <c r="BV61" s="861"/>
      <c r="BW61" s="861"/>
      <c r="BX61" s="861"/>
      <c r="BY61" s="861"/>
      <c r="BZ61" s="543"/>
      <c r="CA61" s="543"/>
      <c r="CB61" s="861"/>
      <c r="CC61" s="543"/>
      <c r="CD61" s="543"/>
      <c r="CE61" s="543"/>
      <c r="CF61" s="543"/>
      <c r="CG61" s="543"/>
      <c r="CH61" s="543"/>
    </row>
    <row r="62" spans="5:88" s="158" customFormat="1">
      <c r="H62" s="863"/>
      <c r="I62" s="864"/>
      <c r="J62" s="864"/>
      <c r="K62" s="863"/>
      <c r="N62" s="541"/>
      <c r="O62" s="542"/>
      <c r="P62" s="541"/>
      <c r="Q62" s="541"/>
      <c r="R62" s="541"/>
      <c r="S62" s="541"/>
      <c r="U62" s="543"/>
      <c r="AF62" s="543"/>
      <c r="AI62" s="541"/>
      <c r="AJ62" s="543"/>
      <c r="AK62" s="543"/>
      <c r="AM62" s="543"/>
      <c r="AO62" s="543"/>
      <c r="AV62" s="862"/>
      <c r="AW62" s="862"/>
      <c r="AX62" s="862"/>
      <c r="AY62" s="862"/>
      <c r="AZ62" s="862"/>
      <c r="BA62" s="862"/>
      <c r="BB62" s="541"/>
      <c r="BC62" s="541"/>
      <c r="BD62" s="541"/>
      <c r="BE62" s="541"/>
      <c r="BF62" s="541"/>
      <c r="BG62" s="541"/>
      <c r="BH62" s="861"/>
      <c r="BI62" s="861"/>
      <c r="BJ62" s="861"/>
      <c r="BK62" s="861"/>
      <c r="BL62" s="861"/>
      <c r="BN62" s="861"/>
      <c r="BO62" s="861"/>
      <c r="BP62" s="861"/>
      <c r="BQ62" s="861"/>
      <c r="BR62" s="861"/>
      <c r="BS62" s="861"/>
      <c r="BT62" s="861"/>
      <c r="BU62" s="861"/>
      <c r="BV62" s="861"/>
      <c r="BW62" s="861"/>
      <c r="BX62" s="861"/>
      <c r="BY62" s="861"/>
      <c r="BZ62" s="543"/>
      <c r="CA62" s="543"/>
      <c r="CB62" s="861"/>
      <c r="CC62" s="543"/>
      <c r="CD62" s="543"/>
      <c r="CE62" s="543"/>
      <c r="CF62" s="543"/>
      <c r="CG62" s="543"/>
      <c r="CH62" s="543"/>
    </row>
    <row r="63" spans="5:88" s="158" customFormat="1">
      <c r="H63" s="863"/>
      <c r="I63" s="864"/>
      <c r="J63" s="864"/>
      <c r="K63" s="863"/>
      <c r="N63" s="541"/>
      <c r="O63" s="542"/>
      <c r="P63" s="541"/>
      <c r="Q63" s="541"/>
      <c r="R63" s="541"/>
      <c r="S63" s="541"/>
      <c r="U63" s="543"/>
      <c r="AF63" s="543"/>
      <c r="AI63" s="541"/>
      <c r="AJ63" s="543"/>
      <c r="AK63" s="543"/>
      <c r="AM63" s="543"/>
      <c r="AO63" s="543"/>
      <c r="AV63" s="862"/>
      <c r="AW63" s="862"/>
      <c r="AX63" s="862"/>
      <c r="AY63" s="862"/>
      <c r="AZ63" s="862"/>
      <c r="BA63" s="862"/>
      <c r="BB63" s="541"/>
      <c r="BC63" s="541"/>
      <c r="BD63" s="541"/>
      <c r="BE63" s="541"/>
      <c r="BF63" s="541"/>
      <c r="BG63" s="541"/>
      <c r="BH63" s="861"/>
      <c r="BI63" s="861"/>
      <c r="BJ63" s="861"/>
      <c r="BK63" s="861"/>
      <c r="BL63" s="861"/>
      <c r="BN63" s="861"/>
      <c r="BO63" s="861"/>
      <c r="BP63" s="861"/>
      <c r="BQ63" s="861"/>
      <c r="BR63" s="861"/>
      <c r="BS63" s="861"/>
      <c r="BT63" s="861"/>
      <c r="BU63" s="861"/>
      <c r="BV63" s="861"/>
      <c r="BW63" s="861"/>
      <c r="BX63" s="861"/>
      <c r="BY63" s="861"/>
      <c r="BZ63" s="543"/>
      <c r="CA63" s="543"/>
      <c r="CB63" s="861"/>
      <c r="CC63" s="543"/>
      <c r="CD63" s="543"/>
      <c r="CE63" s="543"/>
      <c r="CF63" s="543"/>
      <c r="CG63" s="543"/>
      <c r="CH63" s="543"/>
    </row>
    <row r="64" spans="5:88" s="158" customFormat="1">
      <c r="H64" s="863"/>
      <c r="I64" s="864"/>
      <c r="J64" s="864"/>
      <c r="K64" s="863"/>
      <c r="N64" s="541"/>
      <c r="O64" s="542"/>
      <c r="P64" s="541"/>
      <c r="Q64" s="541"/>
      <c r="R64" s="541"/>
      <c r="S64" s="541"/>
      <c r="U64" s="543"/>
      <c r="AF64" s="543"/>
      <c r="AI64" s="541"/>
      <c r="AJ64" s="543"/>
      <c r="AK64" s="543"/>
      <c r="AM64" s="543"/>
      <c r="AO64" s="543"/>
      <c r="AV64" s="862"/>
      <c r="AW64" s="862"/>
      <c r="AX64" s="862"/>
      <c r="AY64" s="862"/>
      <c r="AZ64" s="862"/>
      <c r="BA64" s="862"/>
      <c r="BB64" s="541"/>
      <c r="BC64" s="541"/>
      <c r="BD64" s="541"/>
      <c r="BE64" s="541"/>
      <c r="BF64" s="541"/>
      <c r="BG64" s="541"/>
      <c r="BH64" s="861"/>
      <c r="BI64" s="861"/>
      <c r="BJ64" s="861"/>
      <c r="BK64" s="861"/>
      <c r="BL64" s="861"/>
      <c r="BN64" s="861"/>
      <c r="BO64" s="861"/>
      <c r="BP64" s="861"/>
      <c r="BQ64" s="861"/>
      <c r="BR64" s="861"/>
      <c r="BS64" s="861"/>
      <c r="BT64" s="861"/>
      <c r="BU64" s="861"/>
      <c r="BV64" s="861"/>
      <c r="BW64" s="861"/>
      <c r="BX64" s="861"/>
      <c r="BY64" s="861"/>
      <c r="BZ64" s="543"/>
      <c r="CA64" s="543"/>
      <c r="CB64" s="861"/>
      <c r="CC64" s="543"/>
      <c r="CD64" s="543"/>
      <c r="CE64" s="543"/>
      <c r="CF64" s="543"/>
      <c r="CG64" s="543"/>
      <c r="CH64" s="543"/>
    </row>
    <row r="65" spans="8:86" s="158" customFormat="1">
      <c r="H65" s="863"/>
      <c r="I65" s="864"/>
      <c r="J65" s="864"/>
      <c r="K65" s="863"/>
      <c r="N65" s="541"/>
      <c r="O65" s="542"/>
      <c r="P65" s="541"/>
      <c r="Q65" s="541"/>
      <c r="R65" s="541"/>
      <c r="S65" s="541"/>
      <c r="U65" s="543"/>
      <c r="AF65" s="543"/>
      <c r="AI65" s="541"/>
      <c r="AJ65" s="543"/>
      <c r="AK65" s="543"/>
      <c r="AM65" s="543"/>
      <c r="AO65" s="543"/>
      <c r="AV65" s="862"/>
      <c r="AW65" s="862"/>
      <c r="AX65" s="862"/>
      <c r="AY65" s="862"/>
      <c r="AZ65" s="862"/>
      <c r="BA65" s="862"/>
      <c r="BB65" s="541"/>
      <c r="BC65" s="541"/>
      <c r="BD65" s="541"/>
      <c r="BE65" s="541"/>
      <c r="BF65" s="541"/>
      <c r="BG65" s="541"/>
      <c r="BH65" s="861"/>
      <c r="BI65" s="861"/>
      <c r="BJ65" s="861"/>
      <c r="BK65" s="861"/>
      <c r="BL65" s="861"/>
      <c r="BN65" s="861"/>
      <c r="BO65" s="861"/>
      <c r="BP65" s="861"/>
      <c r="BQ65" s="861"/>
      <c r="BR65" s="861"/>
      <c r="BS65" s="861"/>
      <c r="BT65" s="861"/>
      <c r="BU65" s="861"/>
      <c r="BV65" s="861"/>
      <c r="BW65" s="861"/>
      <c r="BX65" s="861"/>
      <c r="BY65" s="861"/>
      <c r="BZ65" s="543"/>
      <c r="CA65" s="543"/>
      <c r="CB65" s="861"/>
      <c r="CC65" s="543"/>
      <c r="CD65" s="543"/>
      <c r="CE65" s="543"/>
      <c r="CF65" s="543"/>
      <c r="CG65" s="543"/>
      <c r="CH65" s="543"/>
    </row>
    <row r="66" spans="8:86" s="158" customFormat="1">
      <c r="H66" s="863"/>
      <c r="I66" s="864"/>
      <c r="J66" s="864"/>
      <c r="K66" s="863"/>
      <c r="N66" s="541"/>
      <c r="O66" s="542"/>
      <c r="P66" s="541"/>
      <c r="Q66" s="541"/>
      <c r="R66" s="541"/>
      <c r="S66" s="541"/>
      <c r="U66" s="543"/>
      <c r="AF66" s="543"/>
      <c r="AI66" s="541"/>
      <c r="AJ66" s="543"/>
      <c r="AK66" s="543"/>
      <c r="AM66" s="543"/>
      <c r="AO66" s="543"/>
      <c r="AV66" s="862"/>
      <c r="AW66" s="862"/>
      <c r="AX66" s="862"/>
      <c r="AY66" s="862"/>
      <c r="AZ66" s="862"/>
      <c r="BA66" s="862"/>
      <c r="BB66" s="541"/>
      <c r="BC66" s="541"/>
      <c r="BD66" s="541"/>
      <c r="BE66" s="541"/>
      <c r="BF66" s="541"/>
      <c r="BG66" s="541"/>
      <c r="BH66" s="861"/>
      <c r="BI66" s="861"/>
      <c r="BJ66" s="861"/>
      <c r="BK66" s="861"/>
      <c r="BL66" s="861"/>
      <c r="BN66" s="861"/>
      <c r="BO66" s="861"/>
      <c r="BP66" s="861"/>
      <c r="BQ66" s="861"/>
      <c r="BR66" s="861"/>
      <c r="BS66" s="861"/>
      <c r="BT66" s="861"/>
      <c r="BU66" s="861"/>
      <c r="BV66" s="861"/>
      <c r="BW66" s="861"/>
      <c r="BX66" s="861"/>
      <c r="BY66" s="861"/>
      <c r="BZ66" s="543"/>
      <c r="CA66" s="543"/>
      <c r="CB66" s="861"/>
      <c r="CC66" s="543"/>
      <c r="CD66" s="543"/>
      <c r="CE66" s="543"/>
      <c r="CF66" s="543"/>
      <c r="CG66" s="543"/>
      <c r="CH66" s="543"/>
    </row>
    <row r="67" spans="8:86" s="158" customFormat="1">
      <c r="H67" s="863"/>
      <c r="I67" s="864"/>
      <c r="J67" s="864"/>
      <c r="K67" s="863"/>
      <c r="N67" s="541"/>
      <c r="O67" s="542"/>
      <c r="P67" s="541"/>
      <c r="Q67" s="541"/>
      <c r="R67" s="541"/>
      <c r="S67" s="541"/>
      <c r="U67" s="543"/>
      <c r="AF67" s="543"/>
      <c r="AI67" s="541"/>
      <c r="AJ67" s="543"/>
      <c r="AK67" s="543"/>
      <c r="AM67" s="543"/>
      <c r="AO67" s="543"/>
      <c r="AV67" s="862"/>
      <c r="AW67" s="862"/>
      <c r="AX67" s="862"/>
      <c r="AY67" s="862"/>
      <c r="AZ67" s="862"/>
      <c r="BA67" s="862"/>
      <c r="BB67" s="541"/>
      <c r="BC67" s="541"/>
      <c r="BD67" s="541"/>
      <c r="BE67" s="541"/>
      <c r="BF67" s="541"/>
      <c r="BG67" s="541"/>
      <c r="BH67" s="861"/>
      <c r="BI67" s="861"/>
      <c r="BJ67" s="861"/>
      <c r="BK67" s="861"/>
      <c r="BL67" s="861"/>
      <c r="BN67" s="861"/>
      <c r="BO67" s="861"/>
      <c r="BP67" s="861"/>
      <c r="BQ67" s="861"/>
      <c r="BR67" s="861"/>
      <c r="BS67" s="861"/>
      <c r="BT67" s="861"/>
      <c r="BU67" s="861"/>
      <c r="BV67" s="861"/>
      <c r="BW67" s="861"/>
      <c r="BX67" s="861"/>
      <c r="BY67" s="861"/>
      <c r="BZ67" s="543"/>
      <c r="CA67" s="543"/>
      <c r="CB67" s="861"/>
      <c r="CC67" s="543"/>
      <c r="CD67" s="543"/>
      <c r="CE67" s="543"/>
      <c r="CF67" s="543"/>
      <c r="CG67" s="543"/>
      <c r="CH67" s="543"/>
    </row>
    <row r="68" spans="8:86" s="158" customFormat="1">
      <c r="H68" s="863"/>
      <c r="I68" s="864"/>
      <c r="J68" s="864"/>
      <c r="K68" s="863"/>
      <c r="N68" s="541"/>
      <c r="O68" s="542"/>
      <c r="P68" s="541"/>
      <c r="Q68" s="541"/>
      <c r="R68" s="541"/>
      <c r="S68" s="541"/>
      <c r="U68" s="543"/>
      <c r="AF68" s="543"/>
      <c r="AI68" s="541"/>
      <c r="AJ68" s="543"/>
      <c r="AK68" s="543"/>
      <c r="AM68" s="543"/>
      <c r="AO68" s="543"/>
      <c r="AV68" s="862"/>
      <c r="AW68" s="862"/>
      <c r="AX68" s="862"/>
      <c r="AY68" s="862"/>
      <c r="AZ68" s="862"/>
      <c r="BA68" s="862"/>
      <c r="BB68" s="541"/>
      <c r="BC68" s="541"/>
      <c r="BD68" s="541"/>
      <c r="BE68" s="541"/>
      <c r="BF68" s="541"/>
      <c r="BG68" s="541"/>
      <c r="BH68" s="861"/>
      <c r="BI68" s="861"/>
      <c r="BJ68" s="861"/>
      <c r="BK68" s="861"/>
      <c r="BL68" s="861"/>
      <c r="BN68" s="861"/>
      <c r="BO68" s="861"/>
      <c r="BP68" s="861"/>
      <c r="BQ68" s="861"/>
      <c r="BR68" s="861"/>
      <c r="BS68" s="861"/>
      <c r="BT68" s="861"/>
      <c r="BU68" s="861"/>
      <c r="BV68" s="861"/>
      <c r="BW68" s="861"/>
      <c r="BX68" s="861"/>
      <c r="BY68" s="861"/>
      <c r="BZ68" s="543"/>
      <c r="CA68" s="543"/>
      <c r="CB68" s="861"/>
      <c r="CC68" s="543"/>
      <c r="CD68" s="543"/>
      <c r="CE68" s="543"/>
      <c r="CF68" s="543"/>
      <c r="CG68" s="543"/>
      <c r="CH68" s="543"/>
    </row>
    <row r="69" spans="8:86" s="158" customFormat="1">
      <c r="H69" s="863"/>
      <c r="I69" s="864"/>
      <c r="J69" s="864"/>
      <c r="K69" s="863"/>
      <c r="N69" s="541"/>
      <c r="O69" s="542"/>
      <c r="P69" s="541"/>
      <c r="Q69" s="541"/>
      <c r="R69" s="541"/>
      <c r="S69" s="541"/>
      <c r="U69" s="543"/>
      <c r="AF69" s="543"/>
      <c r="AI69" s="541"/>
      <c r="AJ69" s="543"/>
      <c r="AK69" s="543"/>
      <c r="AM69" s="543"/>
      <c r="AO69" s="543"/>
      <c r="AV69" s="862"/>
      <c r="AW69" s="862"/>
      <c r="AX69" s="862"/>
      <c r="AY69" s="862"/>
      <c r="AZ69" s="862"/>
      <c r="BA69" s="862"/>
      <c r="BB69" s="541"/>
      <c r="BC69" s="541"/>
      <c r="BD69" s="541"/>
      <c r="BE69" s="541"/>
      <c r="BF69" s="541"/>
      <c r="BG69" s="541"/>
      <c r="BH69" s="861"/>
      <c r="BI69" s="861"/>
      <c r="BJ69" s="861"/>
      <c r="BK69" s="861"/>
      <c r="BL69" s="861"/>
      <c r="BN69" s="861"/>
      <c r="BO69" s="861"/>
      <c r="BP69" s="861"/>
      <c r="BQ69" s="861"/>
      <c r="BR69" s="861"/>
      <c r="BS69" s="861"/>
      <c r="BT69" s="861"/>
      <c r="BU69" s="861"/>
      <c r="BV69" s="861"/>
      <c r="BW69" s="861"/>
      <c r="BX69" s="861"/>
      <c r="BY69" s="861"/>
      <c r="BZ69" s="543"/>
      <c r="CA69" s="543"/>
      <c r="CB69" s="861"/>
      <c r="CC69" s="543"/>
      <c r="CD69" s="543"/>
      <c r="CE69" s="543"/>
      <c r="CF69" s="543"/>
      <c r="CG69" s="543"/>
      <c r="CH69" s="543"/>
    </row>
    <row r="70" spans="8:86" s="158" customFormat="1">
      <c r="H70" s="863"/>
      <c r="I70" s="864"/>
      <c r="J70" s="864"/>
      <c r="K70" s="863"/>
      <c r="N70" s="541"/>
      <c r="O70" s="542"/>
      <c r="P70" s="541"/>
      <c r="Q70" s="541"/>
      <c r="R70" s="541"/>
      <c r="S70" s="541"/>
      <c r="U70" s="543"/>
      <c r="AF70" s="543"/>
      <c r="AI70" s="541"/>
      <c r="AJ70" s="543"/>
      <c r="AK70" s="543"/>
      <c r="AM70" s="543"/>
      <c r="AO70" s="543"/>
      <c r="AV70" s="862"/>
      <c r="AW70" s="862"/>
      <c r="AX70" s="862"/>
      <c r="AY70" s="862"/>
      <c r="AZ70" s="862"/>
      <c r="BA70" s="862"/>
      <c r="BB70" s="541"/>
      <c r="BC70" s="541"/>
      <c r="BD70" s="541"/>
      <c r="BE70" s="541"/>
      <c r="BF70" s="541"/>
      <c r="BG70" s="541"/>
      <c r="BH70" s="861"/>
      <c r="BI70" s="861"/>
      <c r="BJ70" s="861"/>
      <c r="BK70" s="861"/>
      <c r="BL70" s="861"/>
      <c r="BN70" s="861"/>
      <c r="BO70" s="861"/>
      <c r="BP70" s="861"/>
      <c r="BQ70" s="861"/>
      <c r="BR70" s="861"/>
      <c r="BS70" s="861"/>
      <c r="BT70" s="861"/>
      <c r="BU70" s="861"/>
      <c r="BV70" s="861"/>
      <c r="BW70" s="861"/>
      <c r="BX70" s="861"/>
      <c r="BY70" s="861"/>
      <c r="BZ70" s="543"/>
      <c r="CA70" s="543"/>
      <c r="CB70" s="861"/>
      <c r="CC70" s="543"/>
      <c r="CD70" s="543"/>
      <c r="CE70" s="543"/>
      <c r="CF70" s="543"/>
      <c r="CG70" s="543"/>
      <c r="CH70" s="543"/>
    </row>
    <row r="71" spans="8:86" s="158" customFormat="1">
      <c r="H71" s="863"/>
      <c r="I71" s="864"/>
      <c r="J71" s="864"/>
      <c r="K71" s="863"/>
      <c r="N71" s="541"/>
      <c r="O71" s="542"/>
      <c r="P71" s="541"/>
      <c r="Q71" s="541"/>
      <c r="R71" s="541"/>
      <c r="S71" s="541"/>
      <c r="U71" s="543"/>
      <c r="AF71" s="543"/>
      <c r="AI71" s="541"/>
      <c r="AJ71" s="543"/>
      <c r="AK71" s="543"/>
      <c r="AM71" s="543"/>
      <c r="AO71" s="543"/>
      <c r="AV71" s="862"/>
      <c r="AW71" s="862"/>
      <c r="AX71" s="862"/>
      <c r="AY71" s="862"/>
      <c r="AZ71" s="862"/>
      <c r="BA71" s="862"/>
      <c r="BB71" s="541"/>
      <c r="BC71" s="541"/>
      <c r="BD71" s="541"/>
      <c r="BE71" s="541"/>
      <c r="BF71" s="541"/>
      <c r="BG71" s="541"/>
      <c r="BH71" s="861"/>
      <c r="BI71" s="861"/>
      <c r="BJ71" s="861"/>
      <c r="BK71" s="861"/>
      <c r="BL71" s="861"/>
      <c r="BN71" s="861"/>
      <c r="BO71" s="861"/>
      <c r="BP71" s="861"/>
      <c r="BQ71" s="861"/>
      <c r="BR71" s="861"/>
      <c r="BS71" s="861"/>
      <c r="BT71" s="861"/>
      <c r="BU71" s="861"/>
      <c r="BV71" s="861"/>
      <c r="BW71" s="861"/>
      <c r="BX71" s="861"/>
      <c r="BY71" s="861"/>
      <c r="BZ71" s="543"/>
      <c r="CA71" s="543"/>
      <c r="CB71" s="861"/>
      <c r="CC71" s="543"/>
      <c r="CD71" s="543"/>
      <c r="CE71" s="543"/>
      <c r="CF71" s="543"/>
      <c r="CG71" s="543"/>
      <c r="CH71" s="543"/>
    </row>
    <row r="72" spans="8:86" s="158" customFormat="1">
      <c r="H72" s="863"/>
      <c r="I72" s="864"/>
      <c r="J72" s="864"/>
      <c r="K72" s="863"/>
      <c r="N72" s="541"/>
      <c r="O72" s="542"/>
      <c r="P72" s="541"/>
      <c r="Q72" s="541"/>
      <c r="R72" s="541"/>
      <c r="S72" s="541"/>
      <c r="U72" s="543"/>
      <c r="AF72" s="543"/>
      <c r="AI72" s="541"/>
      <c r="AJ72" s="543"/>
      <c r="AK72" s="543"/>
      <c r="AM72" s="543"/>
      <c r="AO72" s="543"/>
      <c r="AV72" s="862"/>
      <c r="AW72" s="862"/>
      <c r="AX72" s="862"/>
      <c r="AY72" s="862"/>
      <c r="AZ72" s="862"/>
      <c r="BA72" s="862"/>
      <c r="BB72" s="541"/>
      <c r="BC72" s="541"/>
      <c r="BD72" s="541"/>
      <c r="BE72" s="541"/>
      <c r="BF72" s="541"/>
      <c r="BG72" s="541"/>
      <c r="BH72" s="861"/>
      <c r="BI72" s="861"/>
      <c r="BJ72" s="861"/>
      <c r="BK72" s="861"/>
      <c r="BL72" s="861"/>
      <c r="BN72" s="861"/>
      <c r="BO72" s="861"/>
      <c r="BP72" s="861"/>
      <c r="BQ72" s="861"/>
      <c r="BR72" s="861"/>
      <c r="BS72" s="861"/>
      <c r="BT72" s="861"/>
      <c r="BU72" s="861"/>
      <c r="BV72" s="861"/>
      <c r="BW72" s="861"/>
      <c r="BX72" s="861"/>
      <c r="BY72" s="861"/>
      <c r="BZ72" s="543"/>
      <c r="CA72" s="543"/>
      <c r="CB72" s="861"/>
      <c r="CC72" s="543"/>
      <c r="CD72" s="543"/>
      <c r="CE72" s="543"/>
      <c r="CF72" s="543"/>
      <c r="CG72" s="543"/>
      <c r="CH72" s="543"/>
    </row>
    <row r="73" spans="8:86" s="158" customFormat="1">
      <c r="H73" s="863"/>
      <c r="I73" s="864"/>
      <c r="J73" s="864"/>
      <c r="K73" s="863"/>
      <c r="N73" s="541"/>
      <c r="O73" s="542"/>
      <c r="P73" s="541"/>
      <c r="Q73" s="541"/>
      <c r="R73" s="541"/>
      <c r="S73" s="541"/>
      <c r="U73" s="543"/>
      <c r="AF73" s="543"/>
      <c r="AI73" s="541"/>
      <c r="AJ73" s="543"/>
      <c r="AK73" s="543"/>
      <c r="AM73" s="543"/>
      <c r="AO73" s="543"/>
      <c r="AV73" s="862"/>
      <c r="AW73" s="862"/>
      <c r="AX73" s="862"/>
      <c r="AY73" s="862"/>
      <c r="AZ73" s="862"/>
      <c r="BA73" s="862"/>
      <c r="BB73" s="541"/>
      <c r="BC73" s="541"/>
      <c r="BD73" s="541"/>
      <c r="BE73" s="541"/>
      <c r="BF73" s="541"/>
      <c r="BG73" s="541"/>
      <c r="BH73" s="861"/>
      <c r="BI73" s="861"/>
      <c r="BJ73" s="861"/>
      <c r="BK73" s="861"/>
      <c r="BL73" s="861"/>
      <c r="BN73" s="861"/>
      <c r="BO73" s="861"/>
      <c r="BP73" s="861"/>
      <c r="BQ73" s="861"/>
      <c r="BR73" s="861"/>
      <c r="BS73" s="861"/>
      <c r="BT73" s="861"/>
      <c r="BU73" s="861"/>
      <c r="BV73" s="861"/>
      <c r="BW73" s="861"/>
      <c r="BX73" s="861"/>
      <c r="BY73" s="861"/>
      <c r="BZ73" s="543"/>
      <c r="CA73" s="543"/>
      <c r="CB73" s="861"/>
      <c r="CC73" s="543"/>
      <c r="CD73" s="543"/>
      <c r="CE73" s="543"/>
      <c r="CF73" s="543"/>
      <c r="CG73" s="543"/>
      <c r="CH73" s="543"/>
    </row>
    <row r="74" spans="8:86" s="158" customFormat="1">
      <c r="H74" s="863"/>
      <c r="I74" s="864"/>
      <c r="J74" s="864"/>
      <c r="K74" s="863"/>
      <c r="N74" s="541"/>
      <c r="O74" s="542"/>
      <c r="P74" s="541"/>
      <c r="Q74" s="541"/>
      <c r="R74" s="541"/>
      <c r="S74" s="541"/>
      <c r="U74" s="543"/>
      <c r="AF74" s="543"/>
      <c r="AI74" s="541"/>
      <c r="AJ74" s="543"/>
      <c r="AK74" s="543"/>
      <c r="AM74" s="543"/>
      <c r="AO74" s="543"/>
      <c r="AV74" s="862"/>
      <c r="AW74" s="862"/>
      <c r="AX74" s="862"/>
      <c r="AY74" s="862"/>
      <c r="AZ74" s="862"/>
      <c r="BA74" s="862"/>
      <c r="BB74" s="541"/>
      <c r="BC74" s="541"/>
      <c r="BD74" s="541"/>
      <c r="BE74" s="541"/>
      <c r="BF74" s="541"/>
      <c r="BG74" s="541"/>
      <c r="BH74" s="861"/>
      <c r="BI74" s="861"/>
      <c r="BJ74" s="861"/>
      <c r="BK74" s="861"/>
      <c r="BL74" s="861"/>
      <c r="BN74" s="861"/>
      <c r="BO74" s="861"/>
      <c r="BP74" s="861"/>
      <c r="BQ74" s="861"/>
      <c r="BR74" s="861"/>
      <c r="BS74" s="861"/>
      <c r="BT74" s="861"/>
      <c r="BU74" s="861"/>
      <c r="BV74" s="861"/>
      <c r="BW74" s="861"/>
      <c r="BX74" s="861"/>
      <c r="BY74" s="861"/>
      <c r="BZ74" s="543"/>
      <c r="CA74" s="543"/>
      <c r="CB74" s="861"/>
      <c r="CC74" s="543"/>
      <c r="CD74" s="543"/>
      <c r="CE74" s="543"/>
      <c r="CF74" s="543"/>
      <c r="CG74" s="543"/>
      <c r="CH74" s="543"/>
    </row>
    <row r="75" spans="8:86" s="158" customFormat="1">
      <c r="H75" s="863"/>
      <c r="I75" s="864"/>
      <c r="J75" s="864"/>
      <c r="K75" s="863"/>
      <c r="N75" s="541"/>
      <c r="O75" s="542"/>
      <c r="P75" s="541"/>
      <c r="Q75" s="541"/>
      <c r="R75" s="541"/>
      <c r="S75" s="541"/>
      <c r="U75" s="543"/>
      <c r="AF75" s="543"/>
      <c r="AI75" s="541"/>
      <c r="AJ75" s="543"/>
      <c r="AK75" s="543"/>
      <c r="AM75" s="543"/>
      <c r="AO75" s="543"/>
      <c r="AV75" s="862"/>
      <c r="AW75" s="862"/>
      <c r="AX75" s="862"/>
      <c r="AY75" s="862"/>
      <c r="AZ75" s="862"/>
      <c r="BA75" s="862"/>
      <c r="BB75" s="541"/>
      <c r="BC75" s="541"/>
      <c r="BD75" s="541"/>
      <c r="BE75" s="541"/>
      <c r="BF75" s="541"/>
      <c r="BG75" s="541"/>
      <c r="BH75" s="861"/>
      <c r="BI75" s="861"/>
      <c r="BJ75" s="861"/>
      <c r="BK75" s="861"/>
      <c r="BL75" s="861"/>
      <c r="BN75" s="861"/>
      <c r="BO75" s="861"/>
      <c r="BP75" s="861"/>
      <c r="BQ75" s="861"/>
      <c r="BR75" s="861"/>
      <c r="BS75" s="861"/>
      <c r="BT75" s="861"/>
      <c r="BU75" s="861"/>
      <c r="BV75" s="861"/>
      <c r="BW75" s="861"/>
      <c r="BX75" s="861"/>
      <c r="BY75" s="861"/>
      <c r="BZ75" s="543"/>
      <c r="CA75" s="543"/>
      <c r="CB75" s="861"/>
      <c r="CC75" s="543"/>
      <c r="CD75" s="543"/>
      <c r="CE75" s="543"/>
      <c r="CF75" s="543"/>
      <c r="CG75" s="543"/>
      <c r="CH75" s="543"/>
    </row>
    <row r="76" spans="8:86" s="158" customFormat="1">
      <c r="H76" s="863"/>
      <c r="I76" s="864"/>
      <c r="J76" s="864"/>
      <c r="K76" s="863"/>
      <c r="N76" s="541"/>
      <c r="O76" s="542"/>
      <c r="P76" s="541"/>
      <c r="Q76" s="541"/>
      <c r="R76" s="541"/>
      <c r="S76" s="541"/>
      <c r="U76" s="543"/>
      <c r="AF76" s="543"/>
      <c r="AI76" s="541"/>
      <c r="AJ76" s="543"/>
      <c r="AK76" s="543"/>
      <c r="AM76" s="543"/>
      <c r="AO76" s="543"/>
      <c r="AV76" s="862"/>
      <c r="AW76" s="862"/>
      <c r="AX76" s="862"/>
      <c r="AY76" s="862"/>
      <c r="AZ76" s="862"/>
      <c r="BA76" s="862"/>
      <c r="BB76" s="541"/>
      <c r="BC76" s="541"/>
      <c r="BD76" s="541"/>
      <c r="BE76" s="541"/>
      <c r="BF76" s="541"/>
      <c r="BG76" s="541"/>
      <c r="BH76" s="861"/>
      <c r="BI76" s="861"/>
      <c r="BJ76" s="861"/>
      <c r="BK76" s="861"/>
      <c r="BL76" s="861"/>
      <c r="BN76" s="861"/>
      <c r="BO76" s="861"/>
      <c r="BP76" s="861"/>
      <c r="BQ76" s="861"/>
      <c r="BR76" s="861"/>
      <c r="BS76" s="861"/>
      <c r="BT76" s="861"/>
      <c r="BU76" s="861"/>
      <c r="BV76" s="861"/>
      <c r="BW76" s="861"/>
      <c r="BX76" s="861"/>
      <c r="BY76" s="861"/>
      <c r="BZ76" s="543"/>
      <c r="CA76" s="543"/>
      <c r="CB76" s="861"/>
      <c r="CC76" s="543"/>
      <c r="CD76" s="543"/>
      <c r="CE76" s="543"/>
      <c r="CF76" s="543"/>
      <c r="CG76" s="543"/>
      <c r="CH76" s="543"/>
    </row>
    <row r="77" spans="8:86" s="158" customFormat="1">
      <c r="H77" s="863"/>
      <c r="I77" s="864"/>
      <c r="J77" s="864"/>
      <c r="K77" s="863"/>
      <c r="N77" s="541"/>
      <c r="O77" s="542"/>
      <c r="P77" s="541"/>
      <c r="Q77" s="541"/>
      <c r="R77" s="541"/>
      <c r="S77" s="541"/>
      <c r="U77" s="543"/>
      <c r="AF77" s="543"/>
      <c r="AI77" s="541"/>
      <c r="AJ77" s="543"/>
      <c r="AK77" s="543"/>
      <c r="AM77" s="543"/>
      <c r="AO77" s="543"/>
      <c r="AV77" s="862"/>
      <c r="AW77" s="862"/>
      <c r="AX77" s="862"/>
      <c r="AY77" s="862"/>
      <c r="AZ77" s="862"/>
      <c r="BA77" s="862"/>
      <c r="BB77" s="541"/>
      <c r="BC77" s="541"/>
      <c r="BD77" s="541"/>
      <c r="BE77" s="541"/>
      <c r="BF77" s="541"/>
      <c r="BG77" s="541"/>
      <c r="BH77" s="861"/>
      <c r="BI77" s="861"/>
      <c r="BJ77" s="861"/>
      <c r="BK77" s="861"/>
      <c r="BL77" s="861"/>
      <c r="BN77" s="861"/>
      <c r="BO77" s="861"/>
      <c r="BP77" s="861"/>
      <c r="BQ77" s="861"/>
      <c r="BR77" s="861"/>
      <c r="BS77" s="861"/>
      <c r="BT77" s="861"/>
      <c r="BU77" s="861"/>
      <c r="BV77" s="861"/>
      <c r="BW77" s="861"/>
      <c r="BX77" s="861"/>
      <c r="BY77" s="861"/>
      <c r="BZ77" s="543"/>
      <c r="CA77" s="543"/>
      <c r="CB77" s="861"/>
      <c r="CC77" s="543"/>
      <c r="CD77" s="543"/>
      <c r="CE77" s="543"/>
      <c r="CF77" s="543"/>
      <c r="CG77" s="543"/>
      <c r="CH77" s="543"/>
    </row>
    <row r="78" spans="8:86" s="158" customFormat="1">
      <c r="H78" s="863"/>
      <c r="I78" s="864"/>
      <c r="J78" s="864"/>
      <c r="K78" s="863"/>
      <c r="N78" s="541"/>
      <c r="O78" s="542"/>
      <c r="P78" s="541"/>
      <c r="Q78" s="541"/>
      <c r="R78" s="541"/>
      <c r="S78" s="541"/>
      <c r="U78" s="543"/>
      <c r="AF78" s="543"/>
      <c r="AI78" s="541"/>
      <c r="AJ78" s="543"/>
      <c r="AK78" s="543"/>
      <c r="AM78" s="543"/>
      <c r="AO78" s="543"/>
      <c r="AV78" s="862"/>
      <c r="AW78" s="862"/>
      <c r="AX78" s="862"/>
      <c r="AY78" s="862"/>
      <c r="AZ78" s="862"/>
      <c r="BA78" s="862"/>
      <c r="BB78" s="541"/>
      <c r="BC78" s="541"/>
      <c r="BD78" s="541"/>
      <c r="BE78" s="541"/>
      <c r="BF78" s="541"/>
      <c r="BG78" s="541"/>
      <c r="BH78" s="861"/>
      <c r="BI78" s="861"/>
      <c r="BJ78" s="861"/>
      <c r="BK78" s="861"/>
      <c r="BL78" s="861"/>
      <c r="BN78" s="861"/>
      <c r="BO78" s="861"/>
      <c r="BP78" s="861"/>
      <c r="BQ78" s="861"/>
      <c r="BR78" s="861"/>
      <c r="BS78" s="861"/>
      <c r="BT78" s="861"/>
      <c r="BU78" s="861"/>
      <c r="BV78" s="861"/>
      <c r="BW78" s="861"/>
      <c r="BX78" s="861"/>
      <c r="BY78" s="861"/>
      <c r="BZ78" s="543"/>
      <c r="CA78" s="543"/>
      <c r="CB78" s="861"/>
      <c r="CC78" s="543"/>
      <c r="CD78" s="543"/>
      <c r="CE78" s="543"/>
      <c r="CF78" s="543"/>
      <c r="CG78" s="543"/>
      <c r="CH78" s="543"/>
    </row>
    <row r="79" spans="8:86" s="158" customFormat="1">
      <c r="H79" s="863"/>
      <c r="I79" s="864"/>
      <c r="J79" s="864"/>
      <c r="K79" s="863"/>
      <c r="N79" s="541"/>
      <c r="O79" s="542"/>
      <c r="P79" s="541"/>
      <c r="Q79" s="541"/>
      <c r="R79" s="541"/>
      <c r="S79" s="541"/>
      <c r="U79" s="543"/>
      <c r="AF79" s="543"/>
      <c r="AI79" s="541"/>
      <c r="AJ79" s="543"/>
      <c r="AK79" s="543"/>
      <c r="AM79" s="543"/>
      <c r="AO79" s="543"/>
      <c r="AV79" s="862"/>
      <c r="AW79" s="862"/>
      <c r="AX79" s="862"/>
      <c r="AY79" s="862"/>
      <c r="AZ79" s="862"/>
      <c r="BA79" s="862"/>
      <c r="BB79" s="541"/>
      <c r="BC79" s="541"/>
      <c r="BD79" s="541"/>
      <c r="BE79" s="541"/>
      <c r="BF79" s="541"/>
      <c r="BG79" s="541"/>
      <c r="BH79" s="861"/>
      <c r="BI79" s="861"/>
      <c r="BJ79" s="861"/>
      <c r="BK79" s="861"/>
      <c r="BL79" s="861"/>
      <c r="BN79" s="861"/>
      <c r="BO79" s="861"/>
      <c r="BP79" s="861"/>
      <c r="BQ79" s="861"/>
      <c r="BR79" s="861"/>
      <c r="BS79" s="861"/>
      <c r="BT79" s="861"/>
      <c r="BU79" s="861"/>
      <c r="BV79" s="861"/>
      <c r="BW79" s="861"/>
      <c r="BX79" s="861"/>
      <c r="BY79" s="861"/>
      <c r="BZ79" s="543"/>
      <c r="CA79" s="543"/>
      <c r="CB79" s="861"/>
      <c r="CC79" s="543"/>
      <c r="CD79" s="543"/>
      <c r="CE79" s="543"/>
      <c r="CF79" s="543"/>
      <c r="CG79" s="543"/>
      <c r="CH79" s="543"/>
    </row>
    <row r="80" spans="8:86" s="158" customFormat="1">
      <c r="H80" s="863"/>
      <c r="I80" s="864"/>
      <c r="J80" s="864"/>
      <c r="K80" s="863"/>
      <c r="N80" s="541"/>
      <c r="O80" s="542"/>
      <c r="P80" s="541"/>
      <c r="Q80" s="541"/>
      <c r="R80" s="541"/>
      <c r="S80" s="541"/>
      <c r="U80" s="543"/>
      <c r="AF80" s="543"/>
      <c r="AI80" s="541"/>
      <c r="AJ80" s="543"/>
      <c r="AK80" s="543"/>
      <c r="AM80" s="543"/>
      <c r="AO80" s="543"/>
      <c r="AV80" s="862"/>
      <c r="AW80" s="862"/>
      <c r="AX80" s="862"/>
      <c r="AY80" s="862"/>
      <c r="AZ80" s="862"/>
      <c r="BA80" s="862"/>
      <c r="BB80" s="541"/>
      <c r="BC80" s="541"/>
      <c r="BD80" s="541"/>
      <c r="BE80" s="541"/>
      <c r="BF80" s="541"/>
      <c r="BG80" s="541"/>
      <c r="BH80" s="861"/>
      <c r="BI80" s="861"/>
      <c r="BJ80" s="861"/>
      <c r="BK80" s="861"/>
      <c r="BL80" s="861"/>
      <c r="BN80" s="861"/>
      <c r="BO80" s="861"/>
      <c r="BP80" s="861"/>
      <c r="BQ80" s="861"/>
      <c r="BR80" s="861"/>
      <c r="BS80" s="861"/>
      <c r="BT80" s="861"/>
      <c r="BU80" s="861"/>
      <c r="BV80" s="861"/>
      <c r="BW80" s="861"/>
      <c r="BX80" s="861"/>
      <c r="BY80" s="861"/>
      <c r="BZ80" s="543"/>
      <c r="CA80" s="543"/>
      <c r="CB80" s="861"/>
      <c r="CC80" s="543"/>
      <c r="CD80" s="543"/>
      <c r="CE80" s="543"/>
      <c r="CF80" s="543"/>
      <c r="CG80" s="543"/>
      <c r="CH80" s="543"/>
    </row>
    <row r="81" spans="8:86" s="158" customFormat="1">
      <c r="H81" s="863"/>
      <c r="I81" s="864"/>
      <c r="J81" s="864"/>
      <c r="K81" s="863"/>
      <c r="N81" s="541"/>
      <c r="O81" s="542"/>
      <c r="P81" s="541"/>
      <c r="Q81" s="541"/>
      <c r="R81" s="541"/>
      <c r="S81" s="541"/>
      <c r="U81" s="543"/>
      <c r="AF81" s="543"/>
      <c r="AI81" s="541"/>
      <c r="AJ81" s="543"/>
      <c r="AK81" s="543"/>
      <c r="AM81" s="543"/>
      <c r="AO81" s="543"/>
      <c r="AV81" s="862"/>
      <c r="AW81" s="862"/>
      <c r="AX81" s="862"/>
      <c r="AY81" s="862"/>
      <c r="AZ81" s="862"/>
      <c r="BA81" s="862"/>
      <c r="BB81" s="541"/>
      <c r="BC81" s="541"/>
      <c r="BD81" s="541"/>
      <c r="BE81" s="541"/>
      <c r="BF81" s="541"/>
      <c r="BG81" s="541"/>
      <c r="BH81" s="861"/>
      <c r="BI81" s="861"/>
      <c r="BJ81" s="861"/>
      <c r="BK81" s="861"/>
      <c r="BL81" s="861"/>
      <c r="BN81" s="861"/>
      <c r="BO81" s="861"/>
      <c r="BP81" s="861"/>
      <c r="BQ81" s="861"/>
      <c r="BR81" s="861"/>
      <c r="BS81" s="861"/>
      <c r="BT81" s="861"/>
      <c r="BU81" s="861"/>
      <c r="BV81" s="861"/>
      <c r="BW81" s="861"/>
      <c r="BX81" s="861"/>
      <c r="BY81" s="861"/>
      <c r="BZ81" s="543"/>
      <c r="CA81" s="543"/>
      <c r="CB81" s="861"/>
      <c r="CC81" s="543"/>
      <c r="CD81" s="543"/>
      <c r="CE81" s="543"/>
      <c r="CF81" s="543"/>
      <c r="CG81" s="543"/>
      <c r="CH81" s="543"/>
    </row>
    <row r="82" spans="8:86" s="158" customFormat="1">
      <c r="H82" s="863"/>
      <c r="I82" s="864"/>
      <c r="J82" s="864"/>
      <c r="K82" s="863"/>
      <c r="N82" s="541"/>
      <c r="O82" s="542"/>
      <c r="P82" s="541"/>
      <c r="Q82" s="541"/>
      <c r="R82" s="541"/>
      <c r="S82" s="541"/>
      <c r="U82" s="543"/>
      <c r="AF82" s="543"/>
      <c r="AI82" s="541"/>
      <c r="AJ82" s="543"/>
      <c r="AK82" s="543"/>
      <c r="AM82" s="543"/>
      <c r="AO82" s="543"/>
      <c r="AV82" s="862"/>
      <c r="AW82" s="862"/>
      <c r="AX82" s="862"/>
      <c r="AY82" s="862"/>
      <c r="AZ82" s="862"/>
      <c r="BA82" s="862"/>
      <c r="BB82" s="541"/>
      <c r="BC82" s="541"/>
      <c r="BD82" s="541"/>
      <c r="BE82" s="541"/>
      <c r="BF82" s="541"/>
      <c r="BG82" s="541"/>
      <c r="BH82" s="861"/>
      <c r="BI82" s="861"/>
      <c r="BJ82" s="861"/>
      <c r="BK82" s="861"/>
      <c r="BL82" s="861"/>
      <c r="BN82" s="861"/>
      <c r="BO82" s="861"/>
      <c r="BP82" s="861"/>
      <c r="BQ82" s="861"/>
      <c r="BR82" s="861"/>
      <c r="BS82" s="861"/>
      <c r="BT82" s="861"/>
      <c r="BU82" s="861"/>
      <c r="BV82" s="861"/>
      <c r="BW82" s="861"/>
      <c r="BX82" s="861"/>
      <c r="BY82" s="861"/>
      <c r="BZ82" s="543"/>
      <c r="CA82" s="543"/>
      <c r="CB82" s="861"/>
      <c r="CC82" s="543"/>
      <c r="CD82" s="543"/>
      <c r="CE82" s="543"/>
      <c r="CF82" s="543"/>
      <c r="CG82" s="543"/>
      <c r="CH82" s="543"/>
    </row>
    <row r="83" spans="8:86" s="158" customFormat="1">
      <c r="H83" s="863"/>
      <c r="I83" s="864"/>
      <c r="J83" s="864"/>
      <c r="K83" s="863"/>
      <c r="N83" s="541"/>
      <c r="O83" s="542"/>
      <c r="P83" s="541"/>
      <c r="Q83" s="541"/>
      <c r="R83" s="541"/>
      <c r="S83" s="541"/>
      <c r="U83" s="543"/>
      <c r="AF83" s="543"/>
      <c r="AI83" s="541"/>
      <c r="AJ83" s="543"/>
      <c r="AK83" s="543"/>
      <c r="AM83" s="543"/>
      <c r="AO83" s="543"/>
      <c r="AV83" s="862"/>
      <c r="AW83" s="862"/>
      <c r="AX83" s="862"/>
      <c r="AY83" s="862"/>
      <c r="AZ83" s="862"/>
      <c r="BA83" s="862"/>
      <c r="BB83" s="541"/>
      <c r="BC83" s="541"/>
      <c r="BD83" s="541"/>
      <c r="BE83" s="541"/>
      <c r="BF83" s="541"/>
      <c r="BG83" s="541"/>
      <c r="BH83" s="861"/>
      <c r="BI83" s="861"/>
      <c r="BJ83" s="861"/>
      <c r="BK83" s="861"/>
      <c r="BL83" s="861"/>
      <c r="BN83" s="861"/>
      <c r="BO83" s="861"/>
      <c r="BP83" s="861"/>
      <c r="BQ83" s="861"/>
      <c r="BR83" s="861"/>
      <c r="BS83" s="861"/>
      <c r="BT83" s="861"/>
      <c r="BU83" s="861"/>
      <c r="BV83" s="861"/>
      <c r="BW83" s="861"/>
      <c r="BX83" s="861"/>
      <c r="BY83" s="861"/>
      <c r="BZ83" s="543"/>
      <c r="CA83" s="543"/>
      <c r="CB83" s="861"/>
      <c r="CC83" s="543"/>
      <c r="CD83" s="543"/>
      <c r="CE83" s="543"/>
      <c r="CF83" s="543"/>
      <c r="CG83" s="543"/>
      <c r="CH83" s="543"/>
    </row>
    <row r="84" spans="8:86" s="158" customFormat="1">
      <c r="H84" s="863"/>
      <c r="I84" s="864"/>
      <c r="J84" s="864"/>
      <c r="K84" s="863"/>
      <c r="N84" s="541"/>
      <c r="O84" s="542"/>
      <c r="P84" s="541"/>
      <c r="Q84" s="541"/>
      <c r="R84" s="541"/>
      <c r="S84" s="541"/>
      <c r="U84" s="543"/>
      <c r="AF84" s="543"/>
      <c r="AI84" s="541"/>
      <c r="AJ84" s="543"/>
      <c r="AK84" s="543"/>
      <c r="AM84" s="543"/>
      <c r="AO84" s="543"/>
      <c r="AV84" s="862"/>
      <c r="AW84" s="862"/>
      <c r="AX84" s="862"/>
      <c r="AY84" s="862"/>
      <c r="AZ84" s="862"/>
      <c r="BA84" s="862"/>
      <c r="BB84" s="541"/>
      <c r="BC84" s="541"/>
      <c r="BD84" s="541"/>
      <c r="BE84" s="541"/>
      <c r="BF84" s="541"/>
      <c r="BG84" s="541"/>
      <c r="BH84" s="861"/>
      <c r="BI84" s="861"/>
      <c r="BJ84" s="861"/>
      <c r="BK84" s="861"/>
      <c r="BL84" s="861"/>
      <c r="BN84" s="861"/>
      <c r="BO84" s="861"/>
      <c r="BP84" s="861"/>
      <c r="BQ84" s="861"/>
      <c r="BR84" s="861"/>
      <c r="BS84" s="861"/>
      <c r="BT84" s="861"/>
      <c r="BU84" s="861"/>
      <c r="BV84" s="861"/>
      <c r="BW84" s="861"/>
      <c r="BX84" s="861"/>
      <c r="BY84" s="861"/>
      <c r="BZ84" s="543"/>
      <c r="CA84" s="543"/>
      <c r="CB84" s="861"/>
      <c r="CC84" s="543"/>
      <c r="CD84" s="543"/>
      <c r="CE84" s="543"/>
      <c r="CF84" s="543"/>
      <c r="CG84" s="543"/>
      <c r="CH84" s="543"/>
    </row>
    <row r="85" spans="8:86" s="158" customFormat="1">
      <c r="H85" s="863"/>
      <c r="I85" s="864"/>
      <c r="J85" s="864"/>
      <c r="K85" s="863"/>
      <c r="N85" s="541"/>
      <c r="O85" s="542"/>
      <c r="P85" s="541"/>
      <c r="Q85" s="541"/>
      <c r="R85" s="541"/>
      <c r="S85" s="541"/>
      <c r="U85" s="543"/>
      <c r="AF85" s="543"/>
      <c r="AI85" s="541"/>
      <c r="AJ85" s="543"/>
      <c r="AK85" s="543"/>
      <c r="AM85" s="543"/>
      <c r="AO85" s="543"/>
      <c r="AV85" s="862"/>
      <c r="AW85" s="862"/>
      <c r="AX85" s="862"/>
      <c r="AY85" s="862"/>
      <c r="AZ85" s="862"/>
      <c r="BA85" s="862"/>
      <c r="BB85" s="541"/>
      <c r="BC85" s="541"/>
      <c r="BD85" s="541"/>
      <c r="BE85" s="541"/>
      <c r="BF85" s="541"/>
      <c r="BG85" s="541"/>
      <c r="BH85" s="861"/>
      <c r="BI85" s="861"/>
      <c r="BJ85" s="861"/>
      <c r="BK85" s="861"/>
      <c r="BL85" s="861"/>
      <c r="BN85" s="861"/>
      <c r="BO85" s="861"/>
      <c r="BP85" s="861"/>
      <c r="BQ85" s="861"/>
      <c r="BR85" s="861"/>
      <c r="BS85" s="861"/>
      <c r="BT85" s="861"/>
      <c r="BU85" s="861"/>
      <c r="BV85" s="861"/>
      <c r="BW85" s="861"/>
      <c r="BX85" s="861"/>
      <c r="BY85" s="861"/>
      <c r="BZ85" s="543"/>
      <c r="CA85" s="543"/>
      <c r="CB85" s="861"/>
      <c r="CC85" s="543"/>
      <c r="CD85" s="543"/>
      <c r="CE85" s="543"/>
      <c r="CF85" s="543"/>
      <c r="CG85" s="543"/>
      <c r="CH85" s="543"/>
    </row>
    <row r="86" spans="8:86" s="158" customFormat="1">
      <c r="H86" s="863"/>
      <c r="I86" s="864"/>
      <c r="J86" s="864"/>
      <c r="K86" s="863"/>
      <c r="N86" s="541"/>
      <c r="O86" s="542"/>
      <c r="P86" s="541"/>
      <c r="Q86" s="541"/>
      <c r="R86" s="541"/>
      <c r="S86" s="541"/>
      <c r="U86" s="543"/>
      <c r="AF86" s="543"/>
      <c r="AI86" s="541"/>
      <c r="AJ86" s="543"/>
      <c r="AK86" s="543"/>
      <c r="AM86" s="543"/>
      <c r="AO86" s="543"/>
      <c r="AV86" s="862"/>
      <c r="AW86" s="862"/>
      <c r="AX86" s="862"/>
      <c r="AY86" s="862"/>
      <c r="AZ86" s="862"/>
      <c r="BA86" s="862"/>
      <c r="BB86" s="541"/>
      <c r="BC86" s="541"/>
      <c r="BD86" s="541"/>
      <c r="BE86" s="541"/>
      <c r="BF86" s="541"/>
      <c r="BG86" s="541"/>
      <c r="BH86" s="861"/>
      <c r="BI86" s="861"/>
      <c r="BJ86" s="861"/>
      <c r="BK86" s="861"/>
      <c r="BL86" s="861"/>
      <c r="BN86" s="861"/>
      <c r="BO86" s="861"/>
      <c r="BP86" s="861"/>
      <c r="BQ86" s="861"/>
      <c r="BR86" s="861"/>
      <c r="BS86" s="861"/>
      <c r="BT86" s="861"/>
      <c r="BU86" s="861"/>
      <c r="BV86" s="861"/>
      <c r="BW86" s="861"/>
      <c r="BX86" s="861"/>
      <c r="BY86" s="861"/>
      <c r="BZ86" s="543"/>
      <c r="CA86" s="543"/>
      <c r="CB86" s="861"/>
      <c r="CC86" s="543"/>
      <c r="CD86" s="543"/>
      <c r="CE86" s="543"/>
      <c r="CF86" s="543"/>
      <c r="CG86" s="543"/>
      <c r="CH86" s="543"/>
    </row>
    <row r="87" spans="8:86" s="158" customFormat="1">
      <c r="H87" s="863"/>
      <c r="I87" s="864"/>
      <c r="J87" s="864"/>
      <c r="K87" s="863"/>
      <c r="N87" s="541"/>
      <c r="O87" s="542"/>
      <c r="P87" s="541"/>
      <c r="Q87" s="541"/>
      <c r="R87" s="541"/>
      <c r="S87" s="541"/>
      <c r="U87" s="543"/>
      <c r="AF87" s="543"/>
      <c r="AI87" s="541"/>
      <c r="AJ87" s="543"/>
      <c r="AK87" s="543"/>
      <c r="AM87" s="543"/>
      <c r="AO87" s="543"/>
      <c r="AV87" s="862"/>
      <c r="AW87" s="862"/>
      <c r="AX87" s="862"/>
      <c r="AY87" s="862"/>
      <c r="AZ87" s="862"/>
      <c r="BA87" s="862"/>
      <c r="BB87" s="541"/>
      <c r="BC87" s="541"/>
      <c r="BD87" s="541"/>
      <c r="BE87" s="541"/>
      <c r="BF87" s="541"/>
      <c r="BG87" s="541"/>
      <c r="BH87" s="861"/>
      <c r="BI87" s="861"/>
      <c r="BJ87" s="861"/>
      <c r="BK87" s="861"/>
      <c r="BL87" s="861"/>
      <c r="BN87" s="861"/>
      <c r="BO87" s="861"/>
      <c r="BP87" s="861"/>
      <c r="BQ87" s="861"/>
      <c r="BR87" s="861"/>
      <c r="BS87" s="861"/>
      <c r="BT87" s="861"/>
      <c r="BU87" s="861"/>
      <c r="BV87" s="861"/>
      <c r="BW87" s="861"/>
      <c r="BX87" s="861"/>
      <c r="BY87" s="861"/>
      <c r="BZ87" s="543"/>
      <c r="CA87" s="543"/>
      <c r="CB87" s="861"/>
      <c r="CC87" s="543"/>
      <c r="CD87" s="543"/>
      <c r="CE87" s="543"/>
      <c r="CF87" s="543"/>
      <c r="CG87" s="543"/>
      <c r="CH87" s="543"/>
    </row>
    <row r="88" spans="8:86" s="158" customFormat="1">
      <c r="H88" s="863"/>
      <c r="I88" s="864"/>
      <c r="J88" s="864"/>
      <c r="K88" s="863"/>
      <c r="N88" s="541"/>
      <c r="O88" s="542"/>
      <c r="P88" s="541"/>
      <c r="Q88" s="541"/>
      <c r="R88" s="541"/>
      <c r="S88" s="541"/>
      <c r="U88" s="543"/>
      <c r="AF88" s="543"/>
      <c r="AI88" s="541"/>
      <c r="AJ88" s="543"/>
      <c r="AK88" s="543"/>
      <c r="AM88" s="543"/>
      <c r="AO88" s="543"/>
      <c r="AV88" s="862"/>
      <c r="AW88" s="862"/>
      <c r="AX88" s="862"/>
      <c r="AY88" s="862"/>
      <c r="AZ88" s="862"/>
      <c r="BA88" s="862"/>
      <c r="BB88" s="541"/>
      <c r="BC88" s="541"/>
      <c r="BD88" s="541"/>
      <c r="BE88" s="541"/>
      <c r="BF88" s="541"/>
      <c r="BG88" s="541"/>
      <c r="BH88" s="861"/>
      <c r="BI88" s="861"/>
      <c r="BJ88" s="861"/>
      <c r="BK88" s="861"/>
      <c r="BL88" s="861"/>
      <c r="BN88" s="861"/>
      <c r="BO88" s="861"/>
      <c r="BP88" s="861"/>
      <c r="BQ88" s="861"/>
      <c r="BR88" s="861"/>
      <c r="BS88" s="861"/>
      <c r="BT88" s="861"/>
      <c r="BU88" s="861"/>
      <c r="BV88" s="861"/>
      <c r="BW88" s="861"/>
      <c r="BX88" s="861"/>
      <c r="BY88" s="861"/>
      <c r="BZ88" s="543"/>
      <c r="CA88" s="543"/>
      <c r="CB88" s="861"/>
      <c r="CC88" s="543"/>
      <c r="CD88" s="543"/>
      <c r="CE88" s="543"/>
      <c r="CF88" s="543"/>
      <c r="CG88" s="543"/>
      <c r="CH88" s="543"/>
    </row>
    <row r="89" spans="8:86" s="158" customFormat="1">
      <c r="H89" s="863"/>
      <c r="I89" s="864"/>
      <c r="J89" s="864"/>
      <c r="K89" s="863"/>
      <c r="N89" s="541"/>
      <c r="O89" s="542"/>
      <c r="P89" s="541"/>
      <c r="Q89" s="541"/>
      <c r="R89" s="541"/>
      <c r="S89" s="541"/>
      <c r="U89" s="543"/>
      <c r="AF89" s="543"/>
      <c r="AI89" s="541"/>
      <c r="AJ89" s="543"/>
      <c r="AK89" s="543"/>
      <c r="AM89" s="543"/>
      <c r="AO89" s="543"/>
      <c r="AV89" s="862"/>
      <c r="AW89" s="862"/>
      <c r="AX89" s="862"/>
      <c r="AY89" s="862"/>
      <c r="AZ89" s="862"/>
      <c r="BA89" s="862"/>
      <c r="BB89" s="541"/>
      <c r="BC89" s="541"/>
      <c r="BD89" s="541"/>
      <c r="BE89" s="541"/>
      <c r="BF89" s="541"/>
      <c r="BG89" s="541"/>
      <c r="BH89" s="861"/>
      <c r="BI89" s="861"/>
      <c r="BJ89" s="861"/>
      <c r="BK89" s="861"/>
      <c r="BL89" s="861"/>
      <c r="BN89" s="861"/>
      <c r="BO89" s="861"/>
      <c r="BP89" s="861"/>
      <c r="BQ89" s="861"/>
      <c r="BR89" s="861"/>
      <c r="BS89" s="861"/>
      <c r="BT89" s="861"/>
      <c r="BU89" s="861"/>
      <c r="BV89" s="861"/>
      <c r="BW89" s="861"/>
      <c r="BX89" s="861"/>
      <c r="BY89" s="861"/>
      <c r="BZ89" s="543"/>
      <c r="CA89" s="543"/>
      <c r="CB89" s="861"/>
      <c r="CC89" s="543"/>
      <c r="CD89" s="543"/>
      <c r="CE89" s="543"/>
      <c r="CF89" s="543"/>
      <c r="CG89" s="543"/>
      <c r="CH89" s="543"/>
    </row>
    <row r="90" spans="8:86" s="158" customFormat="1">
      <c r="H90" s="863"/>
      <c r="I90" s="864"/>
      <c r="J90" s="864"/>
      <c r="K90" s="863"/>
      <c r="N90" s="541"/>
      <c r="O90" s="542"/>
      <c r="P90" s="541"/>
      <c r="Q90" s="541"/>
      <c r="R90" s="541"/>
      <c r="S90" s="541"/>
      <c r="U90" s="543"/>
      <c r="AF90" s="543"/>
      <c r="AI90" s="541"/>
      <c r="AJ90" s="543"/>
      <c r="AK90" s="543"/>
      <c r="AM90" s="543"/>
      <c r="AO90" s="543"/>
      <c r="AV90" s="862"/>
      <c r="AW90" s="862"/>
      <c r="AX90" s="862"/>
      <c r="AY90" s="862"/>
      <c r="AZ90" s="862"/>
      <c r="BA90" s="862"/>
      <c r="BB90" s="541"/>
      <c r="BC90" s="541"/>
      <c r="BD90" s="541"/>
      <c r="BE90" s="541"/>
      <c r="BF90" s="541"/>
      <c r="BG90" s="541"/>
      <c r="BH90" s="861"/>
      <c r="BI90" s="861"/>
      <c r="BJ90" s="861"/>
      <c r="BK90" s="861"/>
      <c r="BL90" s="861"/>
      <c r="BN90" s="861"/>
      <c r="BO90" s="861"/>
      <c r="BP90" s="861"/>
      <c r="BQ90" s="861"/>
      <c r="BR90" s="861"/>
      <c r="BS90" s="861"/>
      <c r="BT90" s="861"/>
      <c r="BU90" s="861"/>
      <c r="BV90" s="861"/>
      <c r="BW90" s="861"/>
      <c r="BX90" s="861"/>
      <c r="BY90" s="861"/>
      <c r="BZ90" s="543"/>
      <c r="CA90" s="543"/>
      <c r="CB90" s="861"/>
      <c r="CC90" s="543"/>
      <c r="CD90" s="543"/>
      <c r="CE90" s="543"/>
      <c r="CF90" s="543"/>
      <c r="CG90" s="543"/>
      <c r="CH90" s="543"/>
    </row>
    <row r="91" spans="8:86" s="158" customFormat="1">
      <c r="H91" s="863"/>
      <c r="I91" s="864"/>
      <c r="J91" s="864"/>
      <c r="K91" s="863"/>
      <c r="N91" s="541"/>
      <c r="O91" s="542"/>
      <c r="P91" s="541"/>
      <c r="Q91" s="541"/>
      <c r="R91" s="541"/>
      <c r="S91" s="541"/>
      <c r="U91" s="543"/>
      <c r="AF91" s="543"/>
      <c r="AI91" s="541"/>
      <c r="AJ91" s="543"/>
      <c r="AK91" s="543"/>
      <c r="AM91" s="543"/>
      <c r="AO91" s="543"/>
      <c r="AV91" s="862"/>
      <c r="AW91" s="862"/>
      <c r="AX91" s="862"/>
      <c r="AY91" s="862"/>
      <c r="AZ91" s="862"/>
      <c r="BA91" s="862"/>
      <c r="BB91" s="541"/>
      <c r="BC91" s="541"/>
      <c r="BD91" s="541"/>
      <c r="BE91" s="541"/>
      <c r="BF91" s="541"/>
      <c r="BG91" s="541"/>
      <c r="BH91" s="861"/>
      <c r="BI91" s="861"/>
      <c r="BJ91" s="861"/>
      <c r="BK91" s="861"/>
      <c r="BL91" s="861"/>
      <c r="BN91" s="861"/>
      <c r="BO91" s="861"/>
      <c r="BP91" s="861"/>
      <c r="BQ91" s="861"/>
      <c r="BR91" s="861"/>
      <c r="BS91" s="861"/>
      <c r="BT91" s="861"/>
      <c r="BU91" s="861"/>
      <c r="BV91" s="861"/>
      <c r="BW91" s="861"/>
      <c r="BX91" s="861"/>
      <c r="BY91" s="861"/>
      <c r="BZ91" s="543"/>
      <c r="CA91" s="543"/>
      <c r="CB91" s="861"/>
      <c r="CC91" s="543"/>
      <c r="CD91" s="543"/>
      <c r="CE91" s="543"/>
      <c r="CF91" s="543"/>
      <c r="CG91" s="543"/>
      <c r="CH91" s="543"/>
    </row>
    <row r="92" spans="8:86" s="158" customFormat="1">
      <c r="H92" s="863"/>
      <c r="I92" s="864"/>
      <c r="J92" s="864"/>
      <c r="K92" s="863"/>
      <c r="N92" s="541"/>
      <c r="O92" s="542"/>
      <c r="P92" s="541"/>
      <c r="Q92" s="541"/>
      <c r="R92" s="541"/>
      <c r="S92" s="541"/>
      <c r="U92" s="543"/>
      <c r="AF92" s="543"/>
      <c r="AI92" s="541"/>
      <c r="AJ92" s="543"/>
      <c r="AK92" s="543"/>
      <c r="AM92" s="543"/>
      <c r="AO92" s="543"/>
      <c r="AV92" s="862"/>
      <c r="AW92" s="862"/>
      <c r="AX92" s="862"/>
      <c r="AY92" s="862"/>
      <c r="AZ92" s="862"/>
      <c r="BA92" s="862"/>
      <c r="BB92" s="541"/>
      <c r="BC92" s="541"/>
      <c r="BD92" s="541"/>
      <c r="BE92" s="541"/>
      <c r="BF92" s="541"/>
      <c r="BG92" s="541"/>
      <c r="BH92" s="861"/>
      <c r="BI92" s="861"/>
      <c r="BJ92" s="861"/>
      <c r="BK92" s="861"/>
      <c r="BL92" s="861"/>
      <c r="BN92" s="861"/>
      <c r="BO92" s="861"/>
      <c r="BP92" s="861"/>
      <c r="BQ92" s="861"/>
      <c r="BR92" s="861"/>
      <c r="BS92" s="861"/>
      <c r="BT92" s="861"/>
      <c r="BU92" s="861"/>
      <c r="BV92" s="861"/>
      <c r="BW92" s="861"/>
      <c r="BX92" s="861"/>
      <c r="BY92" s="861"/>
      <c r="BZ92" s="543"/>
      <c r="CA92" s="543"/>
      <c r="CB92" s="861"/>
      <c r="CC92" s="543"/>
      <c r="CD92" s="543"/>
      <c r="CE92" s="543"/>
      <c r="CF92" s="543"/>
      <c r="CG92" s="543"/>
      <c r="CH92" s="543"/>
    </row>
    <row r="93" spans="8:86" s="158" customFormat="1">
      <c r="H93" s="863"/>
      <c r="I93" s="864"/>
      <c r="J93" s="864"/>
      <c r="K93" s="863"/>
      <c r="N93" s="541"/>
      <c r="O93" s="542"/>
      <c r="P93" s="541"/>
      <c r="Q93" s="541"/>
      <c r="R93" s="541"/>
      <c r="S93" s="541"/>
      <c r="U93" s="543"/>
      <c r="AF93" s="543"/>
      <c r="AI93" s="541"/>
      <c r="AJ93" s="543"/>
      <c r="AK93" s="543"/>
      <c r="AM93" s="543"/>
      <c r="AO93" s="543"/>
      <c r="AV93" s="862"/>
      <c r="AW93" s="862"/>
      <c r="AX93" s="862"/>
      <c r="AY93" s="862"/>
      <c r="AZ93" s="862"/>
      <c r="BA93" s="862"/>
      <c r="BB93" s="541"/>
      <c r="BC93" s="541"/>
      <c r="BD93" s="541"/>
      <c r="BE93" s="541"/>
      <c r="BF93" s="541"/>
      <c r="BG93" s="541"/>
      <c r="BH93" s="861"/>
      <c r="BI93" s="861"/>
      <c r="BJ93" s="861"/>
      <c r="BK93" s="861"/>
      <c r="BL93" s="861"/>
      <c r="BN93" s="861"/>
      <c r="BO93" s="861"/>
      <c r="BP93" s="861"/>
      <c r="BQ93" s="861"/>
      <c r="BR93" s="861"/>
      <c r="BS93" s="861"/>
      <c r="BT93" s="861"/>
      <c r="BU93" s="861"/>
      <c r="BV93" s="861"/>
      <c r="BW93" s="861"/>
      <c r="BX93" s="861"/>
      <c r="BY93" s="861"/>
      <c r="BZ93" s="543"/>
      <c r="CA93" s="543"/>
      <c r="CB93" s="861"/>
      <c r="CC93" s="543"/>
      <c r="CD93" s="543"/>
      <c r="CE93" s="543"/>
      <c r="CF93" s="543"/>
      <c r="CG93" s="543"/>
      <c r="CH93" s="543"/>
    </row>
    <row r="94" spans="8:86" s="158" customFormat="1">
      <c r="H94" s="863"/>
      <c r="I94" s="864"/>
      <c r="J94" s="864"/>
      <c r="K94" s="863"/>
      <c r="N94" s="541"/>
      <c r="O94" s="542"/>
      <c r="P94" s="541"/>
      <c r="Q94" s="541"/>
      <c r="R94" s="541"/>
      <c r="S94" s="541"/>
      <c r="U94" s="543"/>
      <c r="AF94" s="543"/>
      <c r="AI94" s="541"/>
      <c r="AJ94" s="543"/>
      <c r="AK94" s="543"/>
      <c r="AM94" s="543"/>
      <c r="AO94" s="543"/>
      <c r="AV94" s="862"/>
      <c r="AW94" s="862"/>
      <c r="AX94" s="862"/>
      <c r="AY94" s="862"/>
      <c r="AZ94" s="862"/>
      <c r="BA94" s="862"/>
      <c r="BB94" s="541"/>
      <c r="BC94" s="541"/>
      <c r="BD94" s="541"/>
      <c r="BE94" s="541"/>
      <c r="BF94" s="541"/>
      <c r="BG94" s="541"/>
      <c r="BH94" s="861"/>
      <c r="BI94" s="861"/>
      <c r="BJ94" s="861"/>
      <c r="BK94" s="861"/>
      <c r="BL94" s="861"/>
      <c r="BN94" s="861"/>
      <c r="BO94" s="861"/>
      <c r="BP94" s="861"/>
      <c r="BQ94" s="861"/>
      <c r="BR94" s="861"/>
      <c r="BS94" s="861"/>
      <c r="BT94" s="861"/>
      <c r="BU94" s="861"/>
      <c r="BV94" s="861"/>
      <c r="BW94" s="861"/>
      <c r="BX94" s="861"/>
      <c r="BY94" s="861"/>
      <c r="BZ94" s="543"/>
      <c r="CA94" s="543"/>
      <c r="CB94" s="861"/>
      <c r="CC94" s="543"/>
      <c r="CD94" s="543"/>
      <c r="CE94" s="543"/>
      <c r="CF94" s="543"/>
      <c r="CG94" s="543"/>
      <c r="CH94" s="543"/>
    </row>
    <row r="95" spans="8:86" s="158" customFormat="1">
      <c r="H95" s="863"/>
      <c r="I95" s="864"/>
      <c r="J95" s="864"/>
      <c r="K95" s="863"/>
      <c r="N95" s="541"/>
      <c r="O95" s="542"/>
      <c r="P95" s="541"/>
      <c r="Q95" s="541"/>
      <c r="R95" s="541"/>
      <c r="S95" s="541"/>
      <c r="U95" s="543"/>
      <c r="AF95" s="543"/>
      <c r="AI95" s="541"/>
      <c r="AJ95" s="543"/>
      <c r="AK95" s="543"/>
      <c r="AM95" s="543"/>
      <c r="AO95" s="543"/>
      <c r="AV95" s="862"/>
      <c r="AW95" s="862"/>
      <c r="AX95" s="862"/>
      <c r="AY95" s="862"/>
      <c r="AZ95" s="862"/>
      <c r="BA95" s="862"/>
      <c r="BB95" s="541"/>
      <c r="BC95" s="541"/>
      <c r="BD95" s="541"/>
      <c r="BE95" s="541"/>
      <c r="BF95" s="541"/>
      <c r="BG95" s="541"/>
      <c r="BH95" s="861"/>
      <c r="BI95" s="861"/>
      <c r="BJ95" s="861"/>
      <c r="BK95" s="861"/>
      <c r="BL95" s="861"/>
      <c r="BN95" s="861"/>
      <c r="BO95" s="861"/>
      <c r="BP95" s="861"/>
      <c r="BQ95" s="861"/>
      <c r="BR95" s="861"/>
      <c r="BS95" s="861"/>
      <c r="BT95" s="861"/>
      <c r="BU95" s="861"/>
      <c r="BV95" s="861"/>
      <c r="BW95" s="861"/>
      <c r="BX95" s="861"/>
      <c r="BY95" s="861"/>
      <c r="BZ95" s="543"/>
      <c r="CA95" s="543"/>
      <c r="CB95" s="861"/>
      <c r="CC95" s="543"/>
      <c r="CD95" s="543"/>
      <c r="CE95" s="543"/>
      <c r="CF95" s="543"/>
      <c r="CG95" s="543"/>
      <c r="CH95" s="543"/>
    </row>
    <row r="96" spans="8:86" s="158" customFormat="1">
      <c r="H96" s="863"/>
      <c r="I96" s="864"/>
      <c r="J96" s="864"/>
      <c r="K96" s="863"/>
      <c r="N96" s="541"/>
      <c r="O96" s="542"/>
      <c r="P96" s="541"/>
      <c r="Q96" s="541"/>
      <c r="R96" s="541"/>
      <c r="S96" s="541"/>
      <c r="U96" s="543"/>
      <c r="AF96" s="543"/>
      <c r="AI96" s="541"/>
      <c r="AJ96" s="543"/>
      <c r="AK96" s="543"/>
      <c r="AM96" s="543"/>
      <c r="AO96" s="543"/>
      <c r="AV96" s="862"/>
      <c r="AW96" s="862"/>
      <c r="AX96" s="862"/>
      <c r="AY96" s="862"/>
      <c r="AZ96" s="862"/>
      <c r="BA96" s="862"/>
      <c r="BB96" s="541"/>
      <c r="BC96" s="541"/>
      <c r="BD96" s="541"/>
      <c r="BE96" s="541"/>
      <c r="BF96" s="541"/>
      <c r="BG96" s="541"/>
      <c r="BH96" s="861"/>
      <c r="BI96" s="861"/>
      <c r="BJ96" s="861"/>
      <c r="BK96" s="861"/>
      <c r="BL96" s="861"/>
      <c r="BN96" s="861"/>
      <c r="BO96" s="861"/>
      <c r="BP96" s="861"/>
      <c r="BQ96" s="861"/>
      <c r="BR96" s="861"/>
      <c r="BS96" s="861"/>
      <c r="BT96" s="861"/>
      <c r="BU96" s="861"/>
      <c r="BV96" s="861"/>
      <c r="BW96" s="861"/>
      <c r="BX96" s="861"/>
      <c r="BY96" s="861"/>
      <c r="BZ96" s="543"/>
      <c r="CA96" s="543"/>
      <c r="CB96" s="861"/>
      <c r="CC96" s="543"/>
      <c r="CD96" s="543"/>
      <c r="CE96" s="543"/>
      <c r="CF96" s="543"/>
      <c r="CG96" s="543"/>
      <c r="CH96" s="543"/>
    </row>
    <row r="97" spans="8:86" s="158" customFormat="1">
      <c r="H97" s="863"/>
      <c r="I97" s="864"/>
      <c r="J97" s="864"/>
      <c r="K97" s="863"/>
      <c r="N97" s="541"/>
      <c r="O97" s="542"/>
      <c r="P97" s="541"/>
      <c r="Q97" s="541"/>
      <c r="R97" s="541"/>
      <c r="S97" s="541"/>
      <c r="U97" s="543"/>
      <c r="AF97" s="543"/>
      <c r="AI97" s="541"/>
      <c r="AJ97" s="543"/>
      <c r="AK97" s="543"/>
      <c r="AM97" s="543"/>
      <c r="AO97" s="543"/>
      <c r="AV97" s="862"/>
      <c r="AW97" s="862"/>
      <c r="AX97" s="862"/>
      <c r="AY97" s="862"/>
      <c r="AZ97" s="862"/>
      <c r="BA97" s="862"/>
      <c r="BB97" s="541"/>
      <c r="BC97" s="541"/>
      <c r="BD97" s="541"/>
      <c r="BE97" s="541"/>
      <c r="BF97" s="541"/>
      <c r="BG97" s="541"/>
      <c r="BH97" s="861"/>
      <c r="BI97" s="861"/>
      <c r="BJ97" s="861"/>
      <c r="BK97" s="861"/>
      <c r="BL97" s="861"/>
      <c r="BN97" s="861"/>
      <c r="BO97" s="861"/>
      <c r="BP97" s="861"/>
      <c r="BQ97" s="861"/>
      <c r="BR97" s="861"/>
      <c r="BS97" s="861"/>
      <c r="BT97" s="861"/>
      <c r="BU97" s="861"/>
      <c r="BV97" s="861"/>
      <c r="BW97" s="861"/>
      <c r="BX97" s="861"/>
      <c r="BY97" s="861"/>
      <c r="BZ97" s="543"/>
      <c r="CA97" s="543"/>
      <c r="CB97" s="861"/>
      <c r="CC97" s="543"/>
      <c r="CD97" s="543"/>
      <c r="CE97" s="543"/>
      <c r="CF97" s="543"/>
      <c r="CG97" s="543"/>
      <c r="CH97" s="543"/>
    </row>
    <row r="98" spans="8:86" s="158" customFormat="1">
      <c r="H98" s="863"/>
      <c r="I98" s="864"/>
      <c r="J98" s="864"/>
      <c r="K98" s="863"/>
      <c r="N98" s="541"/>
      <c r="O98" s="542"/>
      <c r="P98" s="541"/>
      <c r="Q98" s="541"/>
      <c r="R98" s="541"/>
      <c r="S98" s="541"/>
      <c r="U98" s="543"/>
      <c r="AF98" s="543"/>
      <c r="AI98" s="541"/>
      <c r="AJ98" s="543"/>
      <c r="AK98" s="543"/>
      <c r="AM98" s="543"/>
      <c r="AO98" s="543"/>
      <c r="AV98" s="862"/>
      <c r="AW98" s="862"/>
      <c r="AX98" s="862"/>
      <c r="AY98" s="862"/>
      <c r="AZ98" s="862"/>
      <c r="BA98" s="862"/>
      <c r="BB98" s="541"/>
      <c r="BC98" s="541"/>
      <c r="BD98" s="541"/>
      <c r="BE98" s="541"/>
      <c r="BF98" s="541"/>
      <c r="BG98" s="541"/>
      <c r="BH98" s="861"/>
      <c r="BI98" s="861"/>
      <c r="BJ98" s="861"/>
      <c r="BK98" s="861"/>
      <c r="BL98" s="861"/>
      <c r="BN98" s="861"/>
      <c r="BO98" s="861"/>
      <c r="BP98" s="861"/>
      <c r="BQ98" s="861"/>
      <c r="BR98" s="861"/>
      <c r="BS98" s="861"/>
      <c r="BT98" s="861"/>
      <c r="BU98" s="861"/>
      <c r="BV98" s="861"/>
      <c r="BW98" s="861"/>
      <c r="BX98" s="861"/>
      <c r="BY98" s="861"/>
      <c r="BZ98" s="543"/>
      <c r="CA98" s="543"/>
      <c r="CB98" s="861"/>
      <c r="CC98" s="543"/>
      <c r="CD98" s="543"/>
      <c r="CE98" s="543"/>
      <c r="CF98" s="543"/>
      <c r="CG98" s="543"/>
      <c r="CH98" s="543"/>
    </row>
    <row r="99" spans="8:86" s="158" customFormat="1">
      <c r="H99" s="863"/>
      <c r="I99" s="864"/>
      <c r="J99" s="864"/>
      <c r="K99" s="863"/>
      <c r="N99" s="541"/>
      <c r="O99" s="542"/>
      <c r="P99" s="541"/>
      <c r="Q99" s="541"/>
      <c r="R99" s="541"/>
      <c r="S99" s="541"/>
      <c r="U99" s="543"/>
      <c r="AF99" s="543"/>
      <c r="AI99" s="541"/>
      <c r="AJ99" s="543"/>
      <c r="AK99" s="543"/>
      <c r="AM99" s="543"/>
      <c r="AO99" s="543"/>
      <c r="AV99" s="862"/>
      <c r="AW99" s="862"/>
      <c r="AX99" s="862"/>
      <c r="AY99" s="862"/>
      <c r="AZ99" s="862"/>
      <c r="BA99" s="862"/>
      <c r="BB99" s="541"/>
      <c r="BC99" s="541"/>
      <c r="BD99" s="541"/>
      <c r="BE99" s="541"/>
      <c r="BF99" s="541"/>
      <c r="BG99" s="541"/>
      <c r="BH99" s="861"/>
      <c r="BI99" s="861"/>
      <c r="BJ99" s="861"/>
      <c r="BK99" s="861"/>
      <c r="BL99" s="861"/>
      <c r="BN99" s="861"/>
      <c r="BO99" s="861"/>
      <c r="BP99" s="861"/>
      <c r="BQ99" s="861"/>
      <c r="BR99" s="861"/>
      <c r="BS99" s="861"/>
      <c r="BT99" s="861"/>
      <c r="BU99" s="861"/>
      <c r="BV99" s="861"/>
      <c r="BW99" s="861"/>
      <c r="BX99" s="861"/>
      <c r="BY99" s="861"/>
      <c r="BZ99" s="543"/>
      <c r="CA99" s="543"/>
      <c r="CB99" s="861"/>
      <c r="CC99" s="543"/>
      <c r="CD99" s="543"/>
      <c r="CE99" s="543"/>
      <c r="CF99" s="543"/>
      <c r="CG99" s="543"/>
      <c r="CH99" s="543"/>
    </row>
    <row r="100" spans="8:86" s="158" customFormat="1">
      <c r="H100" s="863"/>
      <c r="I100" s="864"/>
      <c r="J100" s="864"/>
      <c r="K100" s="863"/>
      <c r="N100" s="541"/>
      <c r="O100" s="542"/>
      <c r="P100" s="541"/>
      <c r="Q100" s="541"/>
      <c r="R100" s="541"/>
      <c r="S100" s="541"/>
      <c r="U100" s="543"/>
      <c r="AF100" s="543"/>
      <c r="AI100" s="541"/>
      <c r="AJ100" s="543"/>
      <c r="AK100" s="543"/>
      <c r="AM100" s="543"/>
      <c r="AO100" s="543"/>
      <c r="AV100" s="862"/>
      <c r="AW100" s="862"/>
      <c r="AX100" s="862"/>
      <c r="AY100" s="862"/>
      <c r="AZ100" s="862"/>
      <c r="BA100" s="862"/>
      <c r="BB100" s="541"/>
      <c r="BC100" s="541"/>
      <c r="BD100" s="541"/>
      <c r="BE100" s="541"/>
      <c r="BF100" s="541"/>
      <c r="BG100" s="541"/>
      <c r="BH100" s="861"/>
      <c r="BI100" s="861"/>
      <c r="BJ100" s="861"/>
      <c r="BK100" s="861"/>
      <c r="BL100" s="861"/>
      <c r="BN100" s="861"/>
      <c r="BO100" s="861"/>
      <c r="BP100" s="861"/>
      <c r="BQ100" s="861"/>
      <c r="BR100" s="861"/>
      <c r="BS100" s="861"/>
      <c r="BT100" s="861"/>
      <c r="BU100" s="861"/>
      <c r="BV100" s="861"/>
      <c r="BW100" s="861"/>
      <c r="BX100" s="861"/>
      <c r="BY100" s="861"/>
      <c r="BZ100" s="543"/>
      <c r="CA100" s="543"/>
      <c r="CB100" s="861"/>
      <c r="CC100" s="543"/>
      <c r="CD100" s="543"/>
      <c r="CE100" s="543"/>
      <c r="CF100" s="543"/>
      <c r="CG100" s="543"/>
      <c r="CH100" s="543"/>
    </row>
    <row r="101" spans="8:86" s="158" customFormat="1">
      <c r="H101" s="863"/>
      <c r="I101" s="864"/>
      <c r="J101" s="864"/>
      <c r="K101" s="863"/>
      <c r="N101" s="541"/>
      <c r="O101" s="542"/>
      <c r="P101" s="541"/>
      <c r="Q101" s="541"/>
      <c r="R101" s="541"/>
      <c r="S101" s="541"/>
      <c r="U101" s="543"/>
      <c r="AF101" s="543"/>
      <c r="AI101" s="541"/>
      <c r="AJ101" s="543"/>
      <c r="AK101" s="543"/>
      <c r="AM101" s="543"/>
      <c r="AO101" s="543"/>
      <c r="AV101" s="862"/>
      <c r="AW101" s="862"/>
      <c r="AX101" s="862"/>
      <c r="AY101" s="862"/>
      <c r="AZ101" s="862"/>
      <c r="BA101" s="862"/>
      <c r="BB101" s="541"/>
      <c r="BC101" s="541"/>
      <c r="BD101" s="541"/>
      <c r="BE101" s="541"/>
      <c r="BF101" s="541"/>
      <c r="BG101" s="541"/>
      <c r="BH101" s="861"/>
      <c r="BI101" s="861"/>
      <c r="BJ101" s="861"/>
      <c r="BK101" s="861"/>
      <c r="BL101" s="861"/>
      <c r="BN101" s="861"/>
      <c r="BO101" s="861"/>
      <c r="BP101" s="861"/>
      <c r="BQ101" s="861"/>
      <c r="BR101" s="861"/>
      <c r="BS101" s="861"/>
      <c r="BT101" s="861"/>
      <c r="BU101" s="861"/>
      <c r="BV101" s="861"/>
      <c r="BW101" s="861"/>
      <c r="BX101" s="861"/>
      <c r="BY101" s="861"/>
      <c r="BZ101" s="543"/>
      <c r="CA101" s="543"/>
      <c r="CB101" s="861"/>
      <c r="CC101" s="543"/>
      <c r="CD101" s="543"/>
      <c r="CE101" s="543"/>
      <c r="CF101" s="543"/>
      <c r="CG101" s="543"/>
      <c r="CH101" s="543"/>
    </row>
    <row r="102" spans="8:86" s="158" customFormat="1">
      <c r="H102" s="863"/>
      <c r="I102" s="864"/>
      <c r="J102" s="864"/>
      <c r="K102" s="863"/>
      <c r="N102" s="541"/>
      <c r="O102" s="542"/>
      <c r="P102" s="541"/>
      <c r="Q102" s="541"/>
      <c r="R102" s="541"/>
      <c r="S102" s="541"/>
      <c r="U102" s="543"/>
      <c r="AF102" s="543"/>
      <c r="AI102" s="541"/>
      <c r="AJ102" s="543"/>
      <c r="AK102" s="543"/>
      <c r="AM102" s="543"/>
      <c r="AO102" s="543"/>
      <c r="AV102" s="862"/>
      <c r="AW102" s="862"/>
      <c r="AX102" s="862"/>
      <c r="AY102" s="862"/>
      <c r="AZ102" s="862"/>
      <c r="BA102" s="862"/>
      <c r="BB102" s="541"/>
      <c r="BC102" s="541"/>
      <c r="BD102" s="541"/>
      <c r="BE102" s="541"/>
      <c r="BF102" s="541"/>
      <c r="BG102" s="541"/>
      <c r="BH102" s="861"/>
      <c r="BI102" s="861"/>
      <c r="BJ102" s="861"/>
      <c r="BK102" s="861"/>
      <c r="BL102" s="861"/>
      <c r="BN102" s="861"/>
      <c r="BO102" s="861"/>
      <c r="BP102" s="861"/>
      <c r="BQ102" s="861"/>
      <c r="BR102" s="861"/>
      <c r="BS102" s="861"/>
      <c r="BT102" s="861"/>
      <c r="BU102" s="861"/>
      <c r="BV102" s="861"/>
      <c r="BW102" s="861"/>
      <c r="BX102" s="861"/>
      <c r="BY102" s="861"/>
      <c r="BZ102" s="543"/>
      <c r="CA102" s="543"/>
      <c r="CB102" s="861"/>
      <c r="CC102" s="543"/>
      <c r="CD102" s="543"/>
      <c r="CE102" s="543"/>
      <c r="CF102" s="543"/>
      <c r="CG102" s="543"/>
      <c r="CH102" s="543"/>
    </row>
    <row r="103" spans="8:86" s="158" customFormat="1">
      <c r="H103" s="863"/>
      <c r="I103" s="864"/>
      <c r="J103" s="864"/>
      <c r="K103" s="863"/>
      <c r="N103" s="541"/>
      <c r="O103" s="542"/>
      <c r="P103" s="541"/>
      <c r="Q103" s="541"/>
      <c r="R103" s="541"/>
      <c r="S103" s="541"/>
      <c r="U103" s="543"/>
      <c r="AF103" s="543"/>
      <c r="AI103" s="541"/>
      <c r="AJ103" s="543"/>
      <c r="AK103" s="543"/>
      <c r="AM103" s="543"/>
      <c r="AO103" s="543"/>
      <c r="AV103" s="862"/>
      <c r="AW103" s="862"/>
      <c r="AX103" s="862"/>
      <c r="AY103" s="862"/>
      <c r="AZ103" s="862"/>
      <c r="BA103" s="862"/>
      <c r="BB103" s="541"/>
      <c r="BC103" s="541"/>
      <c r="BD103" s="541"/>
      <c r="BE103" s="541"/>
      <c r="BF103" s="541"/>
      <c r="BG103" s="541"/>
      <c r="BH103" s="861"/>
      <c r="BI103" s="861"/>
      <c r="BJ103" s="861"/>
      <c r="BK103" s="861"/>
      <c r="BL103" s="861"/>
      <c r="BN103" s="861"/>
      <c r="BO103" s="861"/>
      <c r="BP103" s="861"/>
      <c r="BQ103" s="861"/>
      <c r="BR103" s="861"/>
      <c r="BS103" s="861"/>
      <c r="BT103" s="861"/>
      <c r="BU103" s="861"/>
      <c r="BV103" s="861"/>
      <c r="BW103" s="861"/>
      <c r="BX103" s="861"/>
      <c r="BY103" s="861"/>
      <c r="BZ103" s="543"/>
      <c r="CA103" s="543"/>
      <c r="CB103" s="861"/>
      <c r="CC103" s="543"/>
      <c r="CD103" s="543"/>
      <c r="CE103" s="543"/>
      <c r="CF103" s="543"/>
      <c r="CG103" s="543"/>
      <c r="CH103" s="543"/>
    </row>
    <row r="104" spans="8:86" s="158" customFormat="1">
      <c r="H104" s="863"/>
      <c r="I104" s="864"/>
      <c r="J104" s="864"/>
      <c r="K104" s="863"/>
      <c r="N104" s="541"/>
      <c r="O104" s="542"/>
      <c r="P104" s="541"/>
      <c r="Q104" s="541"/>
      <c r="R104" s="541"/>
      <c r="S104" s="541"/>
      <c r="U104" s="543"/>
      <c r="AF104" s="543"/>
      <c r="AI104" s="541"/>
      <c r="AJ104" s="543"/>
      <c r="AK104" s="543"/>
      <c r="AM104" s="543"/>
      <c r="AO104" s="543"/>
      <c r="AV104" s="862"/>
      <c r="AW104" s="862"/>
      <c r="AX104" s="862"/>
      <c r="AY104" s="862"/>
      <c r="AZ104" s="862"/>
      <c r="BA104" s="862"/>
      <c r="BB104" s="541"/>
      <c r="BC104" s="541"/>
      <c r="BD104" s="541"/>
      <c r="BE104" s="541"/>
      <c r="BF104" s="541"/>
      <c r="BG104" s="541"/>
      <c r="BH104" s="861"/>
      <c r="BI104" s="861"/>
      <c r="BJ104" s="861"/>
      <c r="BK104" s="861"/>
      <c r="BL104" s="861"/>
      <c r="BN104" s="861"/>
      <c r="BO104" s="861"/>
      <c r="BP104" s="861"/>
      <c r="BQ104" s="861"/>
      <c r="BR104" s="861"/>
      <c r="BS104" s="861"/>
      <c r="BT104" s="861"/>
      <c r="BU104" s="861"/>
      <c r="BV104" s="861"/>
      <c r="BW104" s="861"/>
      <c r="BX104" s="861"/>
      <c r="BY104" s="861"/>
      <c r="BZ104" s="543"/>
      <c r="CA104" s="543"/>
      <c r="CB104" s="861"/>
      <c r="CC104" s="543"/>
      <c r="CD104" s="543"/>
      <c r="CE104" s="543"/>
      <c r="CF104" s="543"/>
      <c r="CG104" s="543"/>
      <c r="CH104" s="543"/>
    </row>
    <row r="105" spans="8:86" s="158" customFormat="1">
      <c r="H105" s="863"/>
      <c r="I105" s="864"/>
      <c r="J105" s="864"/>
      <c r="K105" s="863"/>
      <c r="N105" s="541"/>
      <c r="O105" s="542"/>
      <c r="P105" s="541"/>
      <c r="Q105" s="541"/>
      <c r="R105" s="541"/>
      <c r="S105" s="541"/>
      <c r="U105" s="543"/>
      <c r="AF105" s="543"/>
      <c r="AI105" s="541"/>
      <c r="AJ105" s="543"/>
      <c r="AK105" s="543"/>
      <c r="AM105" s="543"/>
      <c r="AO105" s="543"/>
      <c r="AV105" s="862"/>
      <c r="AW105" s="862"/>
      <c r="AX105" s="862"/>
      <c r="AY105" s="862"/>
      <c r="AZ105" s="862"/>
      <c r="BA105" s="862"/>
      <c r="BB105" s="541"/>
      <c r="BC105" s="541"/>
      <c r="BD105" s="541"/>
      <c r="BE105" s="541"/>
      <c r="BF105" s="541"/>
      <c r="BG105" s="541"/>
      <c r="BH105" s="861"/>
      <c r="BI105" s="861"/>
      <c r="BJ105" s="861"/>
      <c r="BK105" s="861"/>
      <c r="BL105" s="861"/>
      <c r="BN105" s="861"/>
      <c r="BO105" s="861"/>
      <c r="BP105" s="861"/>
      <c r="BQ105" s="861"/>
      <c r="BR105" s="861"/>
      <c r="BS105" s="861"/>
      <c r="BT105" s="861"/>
      <c r="BU105" s="861"/>
      <c r="BV105" s="861"/>
      <c r="BW105" s="861"/>
      <c r="BX105" s="861"/>
      <c r="BY105" s="861"/>
      <c r="BZ105" s="543"/>
      <c r="CA105" s="543"/>
      <c r="CB105" s="861"/>
      <c r="CC105" s="543"/>
      <c r="CD105" s="543"/>
      <c r="CE105" s="543"/>
      <c r="CF105" s="543"/>
      <c r="CG105" s="543"/>
      <c r="CH105" s="543"/>
    </row>
    <row r="106" spans="8:86" s="158" customFormat="1">
      <c r="H106" s="863"/>
      <c r="I106" s="864"/>
      <c r="J106" s="864"/>
      <c r="K106" s="863"/>
      <c r="N106" s="541"/>
      <c r="O106" s="542"/>
      <c r="P106" s="541"/>
      <c r="Q106" s="541"/>
      <c r="R106" s="541"/>
      <c r="S106" s="541"/>
      <c r="U106" s="543"/>
      <c r="AF106" s="543"/>
      <c r="AI106" s="541"/>
      <c r="AJ106" s="543"/>
      <c r="AK106" s="543"/>
      <c r="AM106" s="543"/>
      <c r="AO106" s="543"/>
      <c r="AV106" s="862"/>
      <c r="AW106" s="862"/>
      <c r="AX106" s="862"/>
      <c r="AY106" s="862"/>
      <c r="AZ106" s="862"/>
      <c r="BA106" s="862"/>
      <c r="BB106" s="541"/>
      <c r="BC106" s="541"/>
      <c r="BD106" s="541"/>
      <c r="BE106" s="541"/>
      <c r="BF106" s="541"/>
      <c r="BG106" s="541"/>
      <c r="BH106" s="861"/>
      <c r="BI106" s="861"/>
      <c r="BJ106" s="861"/>
      <c r="BK106" s="861"/>
      <c r="BL106" s="861"/>
      <c r="BN106" s="861"/>
      <c r="BO106" s="861"/>
      <c r="BP106" s="861"/>
      <c r="BQ106" s="861"/>
      <c r="BR106" s="861"/>
      <c r="BS106" s="861"/>
      <c r="BT106" s="861"/>
      <c r="BU106" s="861"/>
      <c r="BV106" s="861"/>
      <c r="BW106" s="861"/>
      <c r="BX106" s="861"/>
      <c r="BY106" s="861"/>
      <c r="BZ106" s="543"/>
      <c r="CA106" s="543"/>
      <c r="CB106" s="861"/>
      <c r="CC106" s="543"/>
      <c r="CD106" s="543"/>
      <c r="CE106" s="543"/>
      <c r="CF106" s="543"/>
      <c r="CG106" s="543"/>
      <c r="CH106" s="543"/>
    </row>
    <row r="107" spans="8:86" s="158" customFormat="1">
      <c r="H107" s="863"/>
      <c r="I107" s="864"/>
      <c r="J107" s="864"/>
      <c r="K107" s="863"/>
      <c r="N107" s="541"/>
      <c r="O107" s="542"/>
      <c r="P107" s="541"/>
      <c r="Q107" s="541"/>
      <c r="R107" s="541"/>
      <c r="S107" s="541"/>
      <c r="U107" s="543"/>
      <c r="AF107" s="543"/>
      <c r="AI107" s="541"/>
      <c r="AJ107" s="543"/>
      <c r="AK107" s="543"/>
      <c r="AM107" s="543"/>
      <c r="AO107" s="543"/>
      <c r="AV107" s="862"/>
      <c r="AW107" s="862"/>
      <c r="AX107" s="862"/>
      <c r="AY107" s="862"/>
      <c r="AZ107" s="862"/>
      <c r="BA107" s="862"/>
      <c r="BB107" s="541"/>
      <c r="BC107" s="541"/>
      <c r="BD107" s="541"/>
      <c r="BE107" s="541"/>
      <c r="BF107" s="541"/>
      <c r="BG107" s="541"/>
      <c r="BH107" s="861"/>
      <c r="BI107" s="861"/>
      <c r="BJ107" s="861"/>
      <c r="BK107" s="861"/>
      <c r="BL107" s="861"/>
      <c r="BN107" s="861"/>
      <c r="BO107" s="861"/>
      <c r="BP107" s="861"/>
      <c r="BQ107" s="861"/>
      <c r="BR107" s="861"/>
      <c r="BS107" s="861"/>
      <c r="BT107" s="861"/>
      <c r="BU107" s="861"/>
      <c r="BV107" s="861"/>
      <c r="BW107" s="861"/>
      <c r="BX107" s="861"/>
      <c r="BY107" s="861"/>
      <c r="BZ107" s="543"/>
      <c r="CA107" s="543"/>
      <c r="CB107" s="861"/>
      <c r="CC107" s="543"/>
      <c r="CD107" s="543"/>
      <c r="CE107" s="543"/>
      <c r="CF107" s="543"/>
      <c r="CG107" s="543"/>
      <c r="CH107" s="543"/>
    </row>
    <row r="108" spans="8:86" s="158" customFormat="1">
      <c r="H108" s="863"/>
      <c r="I108" s="864"/>
      <c r="J108" s="864"/>
      <c r="K108" s="863"/>
      <c r="N108" s="541"/>
      <c r="O108" s="542"/>
      <c r="P108" s="541"/>
      <c r="Q108" s="541"/>
      <c r="R108" s="541"/>
      <c r="S108" s="541"/>
      <c r="U108" s="543"/>
      <c r="AF108" s="543"/>
      <c r="AI108" s="541"/>
      <c r="AJ108" s="543"/>
      <c r="AK108" s="543"/>
      <c r="AM108" s="543"/>
      <c r="AO108" s="543"/>
      <c r="AV108" s="862"/>
      <c r="AW108" s="862"/>
      <c r="AX108" s="862"/>
      <c r="AY108" s="862"/>
      <c r="AZ108" s="862"/>
      <c r="BA108" s="862"/>
      <c r="BB108" s="541"/>
      <c r="BC108" s="541"/>
      <c r="BD108" s="541"/>
      <c r="BE108" s="541"/>
      <c r="BF108" s="541"/>
      <c r="BG108" s="541"/>
      <c r="BH108" s="861"/>
      <c r="BI108" s="861"/>
      <c r="BJ108" s="861"/>
      <c r="BK108" s="861"/>
      <c r="BL108" s="861"/>
      <c r="BN108" s="861"/>
      <c r="BO108" s="861"/>
      <c r="BP108" s="861"/>
      <c r="BQ108" s="861"/>
      <c r="BR108" s="861"/>
      <c r="BS108" s="861"/>
      <c r="BT108" s="861"/>
      <c r="BU108" s="861"/>
      <c r="BV108" s="861"/>
      <c r="BW108" s="861"/>
      <c r="BX108" s="861"/>
      <c r="BY108" s="861"/>
      <c r="BZ108" s="543"/>
      <c r="CA108" s="543"/>
      <c r="CB108" s="861"/>
      <c r="CC108" s="543"/>
      <c r="CD108" s="543"/>
      <c r="CE108" s="543"/>
      <c r="CF108" s="543"/>
      <c r="CG108" s="543"/>
      <c r="CH108" s="543"/>
    </row>
    <row r="109" spans="8:86" s="158" customFormat="1">
      <c r="H109" s="863"/>
      <c r="I109" s="864"/>
      <c r="J109" s="864"/>
      <c r="K109" s="863"/>
      <c r="N109" s="541"/>
      <c r="O109" s="542"/>
      <c r="P109" s="541"/>
      <c r="Q109" s="541"/>
      <c r="R109" s="541"/>
      <c r="S109" s="541"/>
      <c r="U109" s="543"/>
      <c r="AF109" s="543"/>
      <c r="AI109" s="541"/>
      <c r="AJ109" s="543"/>
      <c r="AK109" s="543"/>
      <c r="AM109" s="543"/>
      <c r="AO109" s="543"/>
      <c r="AV109" s="862"/>
      <c r="AW109" s="862"/>
      <c r="AX109" s="862"/>
      <c r="AY109" s="862"/>
      <c r="AZ109" s="862"/>
      <c r="BA109" s="862"/>
      <c r="BB109" s="541"/>
      <c r="BC109" s="541"/>
      <c r="BD109" s="541"/>
      <c r="BE109" s="541"/>
      <c r="BF109" s="541"/>
      <c r="BG109" s="541"/>
      <c r="BH109" s="861"/>
      <c r="BI109" s="861"/>
      <c r="BJ109" s="861"/>
      <c r="BK109" s="861"/>
      <c r="BL109" s="861"/>
      <c r="BN109" s="861"/>
      <c r="BO109" s="861"/>
      <c r="BP109" s="861"/>
      <c r="BQ109" s="861"/>
      <c r="BR109" s="861"/>
      <c r="BS109" s="861"/>
      <c r="BT109" s="861"/>
      <c r="BU109" s="861"/>
      <c r="BV109" s="861"/>
      <c r="BW109" s="861"/>
      <c r="BX109" s="861"/>
      <c r="BY109" s="861"/>
      <c r="BZ109" s="543"/>
      <c r="CA109" s="543"/>
      <c r="CB109" s="861"/>
      <c r="CC109" s="543"/>
      <c r="CD109" s="543"/>
      <c r="CE109" s="543"/>
      <c r="CF109" s="543"/>
      <c r="CG109" s="543"/>
      <c r="CH109" s="543"/>
    </row>
    <row r="110" spans="8:86" s="158" customFormat="1">
      <c r="H110" s="863"/>
      <c r="I110" s="864"/>
      <c r="J110" s="864"/>
      <c r="K110" s="863"/>
      <c r="N110" s="541"/>
      <c r="O110" s="542"/>
      <c r="P110" s="541"/>
      <c r="Q110" s="541"/>
      <c r="R110" s="541"/>
      <c r="S110" s="541"/>
      <c r="U110" s="543"/>
      <c r="AF110" s="543"/>
      <c r="AI110" s="541"/>
      <c r="AJ110" s="543"/>
      <c r="AK110" s="543"/>
      <c r="AM110" s="543"/>
      <c r="AO110" s="543"/>
      <c r="AV110" s="862"/>
      <c r="AW110" s="862"/>
      <c r="AX110" s="862"/>
      <c r="AY110" s="862"/>
      <c r="AZ110" s="862"/>
      <c r="BA110" s="862"/>
      <c r="BB110" s="541"/>
      <c r="BC110" s="541"/>
      <c r="BD110" s="541"/>
      <c r="BE110" s="541"/>
      <c r="BF110" s="541"/>
      <c r="BG110" s="541"/>
      <c r="BH110" s="861"/>
      <c r="BI110" s="861"/>
      <c r="BJ110" s="861"/>
      <c r="BK110" s="861"/>
      <c r="BL110" s="861"/>
      <c r="BN110" s="861"/>
      <c r="BO110" s="861"/>
      <c r="BP110" s="861"/>
      <c r="BQ110" s="861"/>
      <c r="BR110" s="861"/>
      <c r="BS110" s="861"/>
      <c r="BT110" s="861"/>
      <c r="BU110" s="861"/>
      <c r="BV110" s="861"/>
      <c r="BW110" s="861"/>
      <c r="BX110" s="861"/>
      <c r="BY110" s="861"/>
      <c r="BZ110" s="543"/>
      <c r="CA110" s="543"/>
      <c r="CB110" s="861"/>
      <c r="CC110" s="543"/>
      <c r="CD110" s="543"/>
      <c r="CE110" s="543"/>
      <c r="CF110" s="543"/>
      <c r="CG110" s="543"/>
      <c r="CH110" s="543"/>
    </row>
    <row r="111" spans="8:86" s="158" customFormat="1">
      <c r="H111" s="863"/>
      <c r="I111" s="864"/>
      <c r="J111" s="864"/>
      <c r="K111" s="863"/>
      <c r="N111" s="541"/>
      <c r="O111" s="542"/>
      <c r="P111" s="541"/>
      <c r="Q111" s="541"/>
      <c r="R111" s="541"/>
      <c r="S111" s="541"/>
      <c r="U111" s="543"/>
      <c r="AF111" s="543"/>
      <c r="AI111" s="541"/>
      <c r="AJ111" s="543"/>
      <c r="AK111" s="543"/>
      <c r="AM111" s="543"/>
      <c r="AO111" s="543"/>
      <c r="AV111" s="862"/>
      <c r="AW111" s="862"/>
      <c r="AX111" s="862"/>
      <c r="AY111" s="862"/>
      <c r="AZ111" s="862"/>
      <c r="BA111" s="862"/>
      <c r="BB111" s="541"/>
      <c r="BC111" s="541"/>
      <c r="BD111" s="541"/>
      <c r="BE111" s="541"/>
      <c r="BF111" s="541"/>
      <c r="BG111" s="541"/>
      <c r="BH111" s="861"/>
      <c r="BI111" s="861"/>
      <c r="BJ111" s="861"/>
      <c r="BK111" s="861"/>
      <c r="BL111" s="861"/>
      <c r="BN111" s="861"/>
      <c r="BO111" s="861"/>
      <c r="BP111" s="861"/>
      <c r="BQ111" s="861"/>
      <c r="BR111" s="861"/>
      <c r="BS111" s="861"/>
      <c r="BT111" s="861"/>
      <c r="BU111" s="861"/>
      <c r="BV111" s="861"/>
      <c r="BW111" s="861"/>
      <c r="BX111" s="861"/>
      <c r="BY111" s="861"/>
      <c r="BZ111" s="543"/>
      <c r="CA111" s="543"/>
      <c r="CB111" s="861"/>
      <c r="CC111" s="543"/>
      <c r="CD111" s="543"/>
      <c r="CE111" s="543"/>
      <c r="CF111" s="543"/>
      <c r="CG111" s="543"/>
      <c r="CH111" s="543"/>
    </row>
    <row r="112" spans="8:86" s="158" customFormat="1">
      <c r="H112" s="863"/>
      <c r="I112" s="864"/>
      <c r="J112" s="864"/>
      <c r="K112" s="863"/>
      <c r="N112" s="541"/>
      <c r="O112" s="542"/>
      <c r="P112" s="541"/>
      <c r="Q112" s="541"/>
      <c r="R112" s="541"/>
      <c r="S112" s="541"/>
      <c r="U112" s="543"/>
      <c r="AF112" s="543"/>
      <c r="AI112" s="541"/>
      <c r="AJ112" s="543"/>
      <c r="AK112" s="543"/>
      <c r="AM112" s="543"/>
      <c r="AO112" s="543"/>
      <c r="AV112" s="862"/>
      <c r="AW112" s="862"/>
      <c r="AX112" s="862"/>
      <c r="AY112" s="862"/>
      <c r="AZ112" s="862"/>
      <c r="BA112" s="862"/>
      <c r="BB112" s="541"/>
      <c r="BC112" s="541"/>
      <c r="BD112" s="541"/>
      <c r="BE112" s="541"/>
      <c r="BF112" s="541"/>
      <c r="BG112" s="541"/>
      <c r="BH112" s="861"/>
      <c r="BI112" s="861"/>
      <c r="BJ112" s="861"/>
      <c r="BK112" s="861"/>
      <c r="BL112" s="861"/>
      <c r="BN112" s="861"/>
      <c r="BO112" s="861"/>
      <c r="BP112" s="861"/>
      <c r="BQ112" s="861"/>
      <c r="BR112" s="861"/>
      <c r="BS112" s="861"/>
      <c r="BT112" s="861"/>
      <c r="BU112" s="861"/>
      <c r="BV112" s="861"/>
      <c r="BW112" s="861"/>
      <c r="BX112" s="861"/>
      <c r="BY112" s="861"/>
      <c r="BZ112" s="543"/>
      <c r="CA112" s="543"/>
      <c r="CB112" s="861"/>
      <c r="CC112" s="543"/>
      <c r="CD112" s="543"/>
      <c r="CE112" s="543"/>
      <c r="CF112" s="543"/>
      <c r="CG112" s="543"/>
      <c r="CH112" s="543"/>
    </row>
    <row r="113" spans="8:86" s="158" customFormat="1">
      <c r="H113" s="863"/>
      <c r="I113" s="864"/>
      <c r="J113" s="864"/>
      <c r="K113" s="863"/>
      <c r="N113" s="541"/>
      <c r="O113" s="542"/>
      <c r="P113" s="541"/>
      <c r="Q113" s="541"/>
      <c r="R113" s="541"/>
      <c r="S113" s="541"/>
      <c r="U113" s="543"/>
      <c r="AF113" s="543"/>
      <c r="AI113" s="541"/>
      <c r="AJ113" s="543"/>
      <c r="AK113" s="543"/>
      <c r="AM113" s="543"/>
      <c r="AO113" s="543"/>
      <c r="AV113" s="862"/>
      <c r="AW113" s="862"/>
      <c r="AX113" s="862"/>
      <c r="AY113" s="862"/>
      <c r="AZ113" s="862"/>
      <c r="BA113" s="862"/>
      <c r="BB113" s="541"/>
      <c r="BC113" s="541"/>
      <c r="BD113" s="541"/>
      <c r="BE113" s="541"/>
      <c r="BF113" s="541"/>
      <c r="BG113" s="541"/>
      <c r="BH113" s="861"/>
      <c r="BI113" s="861"/>
      <c r="BJ113" s="861"/>
      <c r="BK113" s="861"/>
      <c r="BL113" s="861"/>
      <c r="BN113" s="861"/>
      <c r="BO113" s="861"/>
      <c r="BP113" s="861"/>
      <c r="BQ113" s="861"/>
      <c r="BR113" s="861"/>
      <c r="BS113" s="861"/>
      <c r="BT113" s="861"/>
      <c r="BU113" s="861"/>
      <c r="BV113" s="861"/>
      <c r="BW113" s="861"/>
      <c r="BX113" s="861"/>
      <c r="BY113" s="861"/>
      <c r="BZ113" s="543"/>
      <c r="CA113" s="543"/>
      <c r="CB113" s="861"/>
      <c r="CC113" s="543"/>
      <c r="CD113" s="543"/>
      <c r="CE113" s="543"/>
      <c r="CF113" s="543"/>
      <c r="CG113" s="543"/>
      <c r="CH113" s="543"/>
    </row>
    <row r="114" spans="8:86" s="158" customFormat="1">
      <c r="H114" s="863"/>
      <c r="I114" s="864"/>
      <c r="J114" s="864"/>
      <c r="K114" s="863"/>
      <c r="N114" s="541"/>
      <c r="O114" s="542"/>
      <c r="P114" s="541"/>
      <c r="Q114" s="541"/>
      <c r="R114" s="541"/>
      <c r="S114" s="541"/>
      <c r="U114" s="543"/>
      <c r="AF114" s="543"/>
      <c r="AI114" s="541"/>
      <c r="AJ114" s="543"/>
      <c r="AK114" s="543"/>
      <c r="AM114" s="543"/>
      <c r="AO114" s="543"/>
      <c r="AV114" s="862"/>
      <c r="AW114" s="862"/>
      <c r="AX114" s="862"/>
      <c r="AY114" s="862"/>
      <c r="AZ114" s="862"/>
      <c r="BA114" s="862"/>
      <c r="BB114" s="541"/>
      <c r="BC114" s="541"/>
      <c r="BD114" s="541"/>
      <c r="BE114" s="541"/>
      <c r="BF114" s="541"/>
      <c r="BG114" s="541"/>
      <c r="BH114" s="861"/>
      <c r="BI114" s="861"/>
      <c r="BJ114" s="861"/>
      <c r="BK114" s="861"/>
      <c r="BL114" s="861"/>
      <c r="BN114" s="861"/>
      <c r="BO114" s="861"/>
      <c r="BP114" s="861"/>
      <c r="BQ114" s="861"/>
      <c r="BR114" s="861"/>
      <c r="BS114" s="861"/>
      <c r="BT114" s="861"/>
      <c r="BU114" s="861"/>
      <c r="BV114" s="861"/>
      <c r="BW114" s="861"/>
      <c r="BX114" s="861"/>
      <c r="BY114" s="861"/>
      <c r="BZ114" s="543"/>
      <c r="CA114" s="543"/>
      <c r="CB114" s="861"/>
      <c r="CC114" s="543"/>
      <c r="CD114" s="543"/>
      <c r="CE114" s="543"/>
      <c r="CF114" s="543"/>
      <c r="CG114" s="543"/>
      <c r="CH114" s="543"/>
    </row>
    <row r="115" spans="8:86" s="158" customFormat="1">
      <c r="H115" s="863"/>
      <c r="I115" s="864"/>
      <c r="J115" s="864"/>
      <c r="K115" s="863"/>
      <c r="N115" s="541"/>
      <c r="O115" s="542"/>
      <c r="P115" s="541"/>
      <c r="Q115" s="541"/>
      <c r="R115" s="541"/>
      <c r="S115" s="541"/>
      <c r="U115" s="543"/>
      <c r="AF115" s="543"/>
      <c r="AI115" s="541"/>
      <c r="AJ115" s="543"/>
      <c r="AK115" s="543"/>
      <c r="AM115" s="543"/>
      <c r="AO115" s="543"/>
      <c r="AV115" s="862"/>
      <c r="AW115" s="862"/>
      <c r="AX115" s="862"/>
      <c r="AY115" s="862"/>
      <c r="AZ115" s="862"/>
      <c r="BA115" s="862"/>
      <c r="BB115" s="541"/>
      <c r="BC115" s="541"/>
      <c r="BD115" s="541"/>
      <c r="BE115" s="541"/>
      <c r="BF115" s="541"/>
      <c r="BG115" s="541"/>
      <c r="BH115" s="861"/>
      <c r="BI115" s="861"/>
      <c r="BJ115" s="861"/>
      <c r="BK115" s="861"/>
      <c r="BL115" s="861"/>
      <c r="BN115" s="861"/>
      <c r="BO115" s="861"/>
      <c r="BP115" s="861"/>
      <c r="BQ115" s="861"/>
      <c r="BR115" s="861"/>
      <c r="BS115" s="861"/>
      <c r="BT115" s="861"/>
      <c r="BU115" s="861"/>
      <c r="BV115" s="861"/>
      <c r="BW115" s="861"/>
      <c r="BX115" s="861"/>
      <c r="BY115" s="861"/>
      <c r="BZ115" s="543"/>
      <c r="CA115" s="543"/>
      <c r="CB115" s="861"/>
      <c r="CC115" s="543"/>
      <c r="CD115" s="543"/>
      <c r="CE115" s="543"/>
      <c r="CF115" s="543"/>
      <c r="CG115" s="543"/>
      <c r="CH115" s="543"/>
    </row>
    <row r="116" spans="8:86" s="158" customFormat="1">
      <c r="H116" s="863"/>
      <c r="I116" s="864"/>
      <c r="J116" s="864"/>
      <c r="K116" s="863"/>
      <c r="N116" s="541"/>
      <c r="O116" s="542"/>
      <c r="P116" s="541"/>
      <c r="Q116" s="541"/>
      <c r="R116" s="541"/>
      <c r="S116" s="541"/>
      <c r="U116" s="543"/>
      <c r="AF116" s="543"/>
      <c r="AI116" s="541"/>
      <c r="AJ116" s="543"/>
      <c r="AK116" s="543"/>
      <c r="AM116" s="543"/>
      <c r="AO116" s="543"/>
      <c r="AV116" s="862"/>
      <c r="AW116" s="862"/>
      <c r="AX116" s="862"/>
      <c r="AY116" s="862"/>
      <c r="AZ116" s="862"/>
      <c r="BA116" s="862"/>
      <c r="BB116" s="541"/>
      <c r="BC116" s="541"/>
      <c r="BD116" s="541"/>
      <c r="BE116" s="541"/>
      <c r="BF116" s="541"/>
      <c r="BG116" s="541"/>
      <c r="BH116" s="861"/>
      <c r="BI116" s="861"/>
      <c r="BJ116" s="861"/>
      <c r="BK116" s="861"/>
      <c r="BL116" s="861"/>
      <c r="BN116" s="861"/>
      <c r="BO116" s="861"/>
      <c r="BP116" s="861"/>
      <c r="BQ116" s="861"/>
      <c r="BR116" s="861"/>
      <c r="BS116" s="861"/>
      <c r="BT116" s="861"/>
      <c r="BU116" s="861"/>
      <c r="BV116" s="861"/>
      <c r="BW116" s="861"/>
      <c r="BX116" s="861"/>
      <c r="BY116" s="861"/>
      <c r="BZ116" s="543"/>
      <c r="CA116" s="543"/>
      <c r="CB116" s="861"/>
      <c r="CC116" s="543"/>
      <c r="CD116" s="543"/>
      <c r="CE116" s="543"/>
      <c r="CF116" s="543"/>
      <c r="CG116" s="543"/>
      <c r="CH116" s="543"/>
    </row>
    <row r="117" spans="8:86" s="158" customFormat="1">
      <c r="H117" s="863"/>
      <c r="I117" s="864"/>
      <c r="J117" s="864"/>
      <c r="K117" s="863"/>
      <c r="N117" s="541"/>
      <c r="O117" s="542"/>
      <c r="P117" s="541"/>
      <c r="Q117" s="541"/>
      <c r="R117" s="541"/>
      <c r="S117" s="541"/>
      <c r="U117" s="543"/>
      <c r="AF117" s="543"/>
      <c r="AI117" s="541"/>
      <c r="AJ117" s="543"/>
      <c r="AK117" s="543"/>
      <c r="AM117" s="543"/>
      <c r="AO117" s="543"/>
      <c r="AV117" s="862"/>
      <c r="AW117" s="862"/>
      <c r="AX117" s="862"/>
      <c r="AY117" s="862"/>
      <c r="AZ117" s="862"/>
      <c r="BA117" s="862"/>
      <c r="BB117" s="541"/>
      <c r="BC117" s="541"/>
      <c r="BD117" s="541"/>
      <c r="BE117" s="541"/>
      <c r="BF117" s="541"/>
      <c r="BG117" s="541"/>
      <c r="BH117" s="861"/>
      <c r="BI117" s="861"/>
      <c r="BJ117" s="861"/>
      <c r="BK117" s="861"/>
      <c r="BL117" s="861"/>
      <c r="BN117" s="861"/>
      <c r="BO117" s="861"/>
      <c r="BP117" s="861"/>
      <c r="BQ117" s="861"/>
      <c r="BR117" s="861"/>
      <c r="BS117" s="861"/>
      <c r="BT117" s="861"/>
      <c r="BU117" s="861"/>
      <c r="BV117" s="861"/>
      <c r="BW117" s="861"/>
      <c r="BX117" s="861"/>
      <c r="BY117" s="861"/>
      <c r="BZ117" s="543"/>
      <c r="CA117" s="543"/>
      <c r="CB117" s="861"/>
      <c r="CC117" s="543"/>
      <c r="CD117" s="543"/>
      <c r="CE117" s="543"/>
      <c r="CF117" s="543"/>
      <c r="CG117" s="543"/>
      <c r="CH117" s="543"/>
    </row>
    <row r="118" spans="8:86" s="158" customFormat="1">
      <c r="H118" s="863"/>
      <c r="I118" s="864"/>
      <c r="J118" s="864"/>
      <c r="K118" s="863"/>
      <c r="N118" s="541"/>
      <c r="O118" s="542"/>
      <c r="P118" s="541"/>
      <c r="Q118" s="541"/>
      <c r="R118" s="541"/>
      <c r="S118" s="541"/>
      <c r="U118" s="543"/>
      <c r="AF118" s="543"/>
      <c r="AI118" s="541"/>
      <c r="AJ118" s="543"/>
      <c r="AK118" s="543"/>
      <c r="AM118" s="543"/>
      <c r="AO118" s="543"/>
      <c r="AV118" s="862"/>
      <c r="AW118" s="862"/>
      <c r="AX118" s="862"/>
      <c r="AY118" s="862"/>
      <c r="AZ118" s="862"/>
      <c r="BA118" s="862"/>
      <c r="BB118" s="541"/>
      <c r="BC118" s="541"/>
      <c r="BD118" s="541"/>
      <c r="BE118" s="541"/>
      <c r="BF118" s="541"/>
      <c r="BG118" s="541"/>
      <c r="BH118" s="861"/>
      <c r="BI118" s="861"/>
      <c r="BJ118" s="861"/>
      <c r="BK118" s="861"/>
      <c r="BL118" s="861"/>
      <c r="BN118" s="861"/>
      <c r="BO118" s="861"/>
      <c r="BP118" s="861"/>
      <c r="BQ118" s="861"/>
      <c r="BR118" s="861"/>
      <c r="BS118" s="861"/>
      <c r="BT118" s="861"/>
      <c r="BU118" s="861"/>
      <c r="BV118" s="861"/>
      <c r="BW118" s="861"/>
      <c r="BX118" s="861"/>
      <c r="BY118" s="861"/>
      <c r="BZ118" s="543"/>
      <c r="CA118" s="543"/>
      <c r="CB118" s="861"/>
      <c r="CC118" s="543"/>
      <c r="CD118" s="543"/>
      <c r="CE118" s="543"/>
      <c r="CF118" s="543"/>
      <c r="CG118" s="543"/>
      <c r="CH118" s="543"/>
    </row>
    <row r="119" spans="8:86" s="158" customFormat="1">
      <c r="H119" s="863"/>
      <c r="I119" s="864"/>
      <c r="J119" s="864"/>
      <c r="K119" s="863"/>
      <c r="N119" s="541"/>
      <c r="O119" s="542"/>
      <c r="P119" s="541"/>
      <c r="Q119" s="541"/>
      <c r="R119" s="541"/>
      <c r="S119" s="541"/>
      <c r="U119" s="543"/>
      <c r="AF119" s="543"/>
      <c r="AI119" s="541"/>
      <c r="AJ119" s="543"/>
      <c r="AK119" s="543"/>
      <c r="AM119" s="543"/>
      <c r="AO119" s="543"/>
      <c r="AV119" s="862"/>
      <c r="AW119" s="862"/>
      <c r="AX119" s="862"/>
      <c r="AY119" s="862"/>
      <c r="AZ119" s="862"/>
      <c r="BA119" s="862"/>
      <c r="BB119" s="541"/>
      <c r="BC119" s="541"/>
      <c r="BD119" s="541"/>
      <c r="BE119" s="541"/>
      <c r="BF119" s="541"/>
      <c r="BG119" s="541"/>
      <c r="BH119" s="861"/>
      <c r="BI119" s="861"/>
      <c r="BJ119" s="861"/>
      <c r="BK119" s="861"/>
      <c r="BL119" s="861"/>
      <c r="BN119" s="861"/>
      <c r="BO119" s="861"/>
      <c r="BP119" s="861"/>
      <c r="BQ119" s="861"/>
      <c r="BR119" s="861"/>
      <c r="BS119" s="861"/>
      <c r="BT119" s="861"/>
      <c r="BU119" s="861"/>
      <c r="BV119" s="861"/>
      <c r="BW119" s="861"/>
      <c r="BX119" s="861"/>
      <c r="BY119" s="861"/>
      <c r="BZ119" s="543"/>
      <c r="CA119" s="543"/>
      <c r="CB119" s="861"/>
      <c r="CC119" s="543"/>
      <c r="CD119" s="543"/>
      <c r="CE119" s="543"/>
      <c r="CF119" s="543"/>
      <c r="CG119" s="543"/>
      <c r="CH119" s="543"/>
    </row>
    <row r="120" spans="8:86" s="158" customFormat="1">
      <c r="H120" s="863"/>
      <c r="I120" s="864"/>
      <c r="J120" s="864"/>
      <c r="K120" s="863"/>
      <c r="N120" s="541"/>
      <c r="O120" s="542"/>
      <c r="P120" s="541"/>
      <c r="Q120" s="541"/>
      <c r="R120" s="541"/>
      <c r="S120" s="541"/>
      <c r="U120" s="543"/>
      <c r="AF120" s="543"/>
      <c r="AI120" s="541"/>
      <c r="AJ120" s="543"/>
      <c r="AK120" s="543"/>
      <c r="AM120" s="543"/>
      <c r="AO120" s="543"/>
      <c r="AV120" s="862"/>
      <c r="AW120" s="862"/>
      <c r="AX120" s="862"/>
      <c r="AY120" s="862"/>
      <c r="AZ120" s="862"/>
      <c r="BA120" s="862"/>
      <c r="BB120" s="541"/>
      <c r="BC120" s="541"/>
      <c r="BD120" s="541"/>
      <c r="BE120" s="541"/>
      <c r="BF120" s="541"/>
      <c r="BG120" s="541"/>
      <c r="BH120" s="861"/>
      <c r="BI120" s="861"/>
      <c r="BJ120" s="861"/>
      <c r="BK120" s="861"/>
      <c r="BL120" s="861"/>
      <c r="BN120" s="861"/>
      <c r="BO120" s="861"/>
      <c r="BP120" s="861"/>
      <c r="BQ120" s="861"/>
      <c r="BR120" s="861"/>
      <c r="BS120" s="861"/>
      <c r="BT120" s="861"/>
      <c r="BU120" s="861"/>
      <c r="BV120" s="861"/>
      <c r="BW120" s="861"/>
      <c r="BX120" s="861"/>
      <c r="BY120" s="861"/>
      <c r="BZ120" s="543"/>
      <c r="CA120" s="543"/>
      <c r="CB120" s="861"/>
      <c r="CC120" s="543"/>
      <c r="CD120" s="543"/>
      <c r="CE120" s="543"/>
      <c r="CF120" s="543"/>
      <c r="CG120" s="543"/>
      <c r="CH120" s="543"/>
    </row>
    <row r="121" spans="8:86" s="158" customFormat="1">
      <c r="H121" s="863"/>
      <c r="I121" s="864"/>
      <c r="J121" s="864"/>
      <c r="K121" s="863"/>
      <c r="N121" s="541"/>
      <c r="O121" s="542"/>
      <c r="P121" s="541"/>
      <c r="Q121" s="541"/>
      <c r="R121" s="541"/>
      <c r="S121" s="541"/>
      <c r="U121" s="543"/>
      <c r="AF121" s="543"/>
      <c r="AI121" s="541"/>
      <c r="AJ121" s="543"/>
      <c r="AK121" s="543"/>
      <c r="AM121" s="543"/>
      <c r="AO121" s="543"/>
      <c r="AV121" s="862"/>
      <c r="AW121" s="862"/>
      <c r="AX121" s="862"/>
      <c r="AY121" s="862"/>
      <c r="AZ121" s="862"/>
      <c r="BA121" s="862"/>
      <c r="BB121" s="541"/>
      <c r="BC121" s="541"/>
      <c r="BD121" s="541"/>
      <c r="BE121" s="541"/>
      <c r="BF121" s="541"/>
      <c r="BG121" s="541"/>
      <c r="BH121" s="861"/>
      <c r="BI121" s="861"/>
      <c r="BJ121" s="861"/>
      <c r="BK121" s="861"/>
      <c r="BL121" s="861"/>
      <c r="BN121" s="861"/>
      <c r="BO121" s="861"/>
      <c r="BP121" s="861"/>
      <c r="BQ121" s="861"/>
      <c r="BR121" s="861"/>
      <c r="BS121" s="861"/>
      <c r="BT121" s="861"/>
      <c r="BU121" s="861"/>
      <c r="BV121" s="861"/>
      <c r="BW121" s="861"/>
      <c r="BX121" s="861"/>
      <c r="BY121" s="861"/>
      <c r="BZ121" s="543"/>
      <c r="CA121" s="543"/>
      <c r="CB121" s="861"/>
      <c r="CC121" s="543"/>
      <c r="CD121" s="543"/>
      <c r="CE121" s="543"/>
      <c r="CF121" s="543"/>
      <c r="CG121" s="543"/>
      <c r="CH121" s="543"/>
    </row>
    <row r="122" spans="8:86" s="158" customFormat="1">
      <c r="H122" s="863"/>
      <c r="I122" s="864"/>
      <c r="J122" s="864"/>
      <c r="K122" s="863"/>
      <c r="N122" s="541"/>
      <c r="O122" s="542"/>
      <c r="P122" s="541"/>
      <c r="Q122" s="541"/>
      <c r="R122" s="541"/>
      <c r="S122" s="541"/>
      <c r="U122" s="543"/>
      <c r="AF122" s="543"/>
      <c r="AI122" s="541"/>
      <c r="AJ122" s="543"/>
      <c r="AK122" s="543"/>
      <c r="AM122" s="543"/>
      <c r="AO122" s="543"/>
      <c r="AV122" s="862"/>
      <c r="AW122" s="862"/>
      <c r="AX122" s="862"/>
      <c r="AY122" s="862"/>
      <c r="AZ122" s="862"/>
      <c r="BA122" s="862"/>
      <c r="BB122" s="541"/>
      <c r="BC122" s="541"/>
      <c r="BD122" s="541"/>
      <c r="BE122" s="541"/>
      <c r="BF122" s="541"/>
      <c r="BG122" s="541"/>
      <c r="BH122" s="861"/>
      <c r="BI122" s="861"/>
      <c r="BJ122" s="861"/>
      <c r="BK122" s="861"/>
      <c r="BL122" s="861"/>
      <c r="BN122" s="861"/>
      <c r="BO122" s="861"/>
      <c r="BP122" s="861"/>
      <c r="BQ122" s="861"/>
      <c r="BR122" s="861"/>
      <c r="BS122" s="861"/>
      <c r="BT122" s="861"/>
      <c r="BU122" s="861"/>
      <c r="BV122" s="861"/>
      <c r="BW122" s="861"/>
      <c r="BX122" s="861"/>
      <c r="BY122" s="861"/>
      <c r="BZ122" s="543"/>
      <c r="CA122" s="543"/>
      <c r="CB122" s="861"/>
      <c r="CC122" s="543"/>
      <c r="CD122" s="543"/>
      <c r="CE122" s="543"/>
      <c r="CF122" s="543"/>
      <c r="CG122" s="543"/>
      <c r="CH122" s="543"/>
    </row>
    <row r="123" spans="8:86" s="158" customFormat="1">
      <c r="H123" s="863"/>
      <c r="I123" s="864"/>
      <c r="J123" s="864"/>
      <c r="K123" s="863"/>
      <c r="N123" s="541"/>
      <c r="O123" s="542"/>
      <c r="P123" s="541"/>
      <c r="Q123" s="541"/>
      <c r="R123" s="541"/>
      <c r="S123" s="541"/>
      <c r="U123" s="543"/>
      <c r="AF123" s="543"/>
      <c r="AI123" s="541"/>
      <c r="AJ123" s="543"/>
      <c r="AK123" s="543"/>
      <c r="AM123" s="543"/>
      <c r="AO123" s="543"/>
      <c r="AV123" s="862"/>
      <c r="AW123" s="862"/>
      <c r="AX123" s="862"/>
      <c r="AY123" s="862"/>
      <c r="AZ123" s="862"/>
      <c r="BA123" s="862"/>
      <c r="BB123" s="541"/>
      <c r="BC123" s="541"/>
      <c r="BD123" s="541"/>
      <c r="BE123" s="541"/>
      <c r="BF123" s="541"/>
      <c r="BG123" s="541"/>
      <c r="BH123" s="861"/>
      <c r="BI123" s="861"/>
      <c r="BJ123" s="861"/>
      <c r="BK123" s="861"/>
      <c r="BL123" s="861"/>
      <c r="BN123" s="861"/>
      <c r="BO123" s="861"/>
      <c r="BP123" s="861"/>
      <c r="BQ123" s="861"/>
      <c r="BR123" s="861"/>
      <c r="BS123" s="861"/>
      <c r="BT123" s="861"/>
      <c r="BU123" s="861"/>
      <c r="BV123" s="861"/>
      <c r="BW123" s="861"/>
      <c r="BX123" s="861"/>
      <c r="BY123" s="861"/>
      <c r="BZ123" s="543"/>
      <c r="CA123" s="543"/>
      <c r="CB123" s="861"/>
      <c r="CC123" s="543"/>
      <c r="CD123" s="543"/>
      <c r="CE123" s="543"/>
      <c r="CF123" s="543"/>
      <c r="CG123" s="543"/>
      <c r="CH123" s="543"/>
    </row>
    <row r="124" spans="8:86" s="158" customFormat="1">
      <c r="H124" s="863"/>
      <c r="I124" s="864"/>
      <c r="J124" s="864"/>
      <c r="K124" s="863"/>
      <c r="N124" s="541"/>
      <c r="O124" s="542"/>
      <c r="P124" s="541"/>
      <c r="Q124" s="541"/>
      <c r="R124" s="541"/>
      <c r="S124" s="541"/>
      <c r="U124" s="543"/>
      <c r="AF124" s="543"/>
      <c r="AI124" s="541"/>
      <c r="AJ124" s="543"/>
      <c r="AK124" s="543"/>
      <c r="AM124" s="543"/>
      <c r="AO124" s="543"/>
      <c r="AV124" s="862"/>
      <c r="AW124" s="862"/>
      <c r="AX124" s="862"/>
      <c r="AY124" s="862"/>
      <c r="AZ124" s="862"/>
      <c r="BA124" s="862"/>
      <c r="BB124" s="541"/>
      <c r="BC124" s="541"/>
      <c r="BD124" s="541"/>
      <c r="BE124" s="541"/>
      <c r="BF124" s="541"/>
      <c r="BG124" s="541"/>
      <c r="BH124" s="861"/>
      <c r="BI124" s="861"/>
      <c r="BJ124" s="861"/>
      <c r="BK124" s="861"/>
      <c r="BL124" s="861"/>
      <c r="BN124" s="861"/>
      <c r="BO124" s="861"/>
      <c r="BP124" s="861"/>
      <c r="BQ124" s="861"/>
      <c r="BR124" s="861"/>
      <c r="BS124" s="861"/>
      <c r="BT124" s="861"/>
      <c r="BU124" s="861"/>
      <c r="BV124" s="861"/>
      <c r="BW124" s="861"/>
      <c r="BX124" s="861"/>
      <c r="BY124" s="861"/>
      <c r="BZ124" s="543"/>
      <c r="CA124" s="543"/>
      <c r="CB124" s="861"/>
      <c r="CC124" s="543"/>
      <c r="CD124" s="543"/>
      <c r="CE124" s="543"/>
      <c r="CF124" s="543"/>
      <c r="CG124" s="543"/>
      <c r="CH124" s="543"/>
    </row>
    <row r="125" spans="8:86" s="158" customFormat="1">
      <c r="H125" s="863"/>
      <c r="I125" s="864"/>
      <c r="J125" s="864"/>
      <c r="K125" s="863"/>
      <c r="N125" s="541"/>
      <c r="O125" s="542"/>
      <c r="P125" s="541"/>
      <c r="Q125" s="541"/>
      <c r="R125" s="541"/>
      <c r="S125" s="541"/>
      <c r="U125" s="543"/>
      <c r="AF125" s="543"/>
      <c r="AI125" s="541"/>
      <c r="AJ125" s="543"/>
      <c r="AK125" s="543"/>
      <c r="AM125" s="543"/>
      <c r="AO125" s="543"/>
      <c r="AV125" s="862"/>
      <c r="AW125" s="862"/>
      <c r="AX125" s="862"/>
      <c r="AY125" s="862"/>
      <c r="AZ125" s="862"/>
      <c r="BA125" s="862"/>
      <c r="BB125" s="541"/>
      <c r="BC125" s="541"/>
      <c r="BD125" s="541"/>
      <c r="BE125" s="541"/>
      <c r="BF125" s="541"/>
      <c r="BG125" s="541"/>
      <c r="BH125" s="861"/>
      <c r="BI125" s="861"/>
      <c r="BJ125" s="861"/>
      <c r="BK125" s="861"/>
      <c r="BL125" s="861"/>
      <c r="BN125" s="861"/>
      <c r="BO125" s="861"/>
      <c r="BP125" s="861"/>
      <c r="BQ125" s="861"/>
      <c r="BR125" s="861"/>
      <c r="BS125" s="861"/>
      <c r="BT125" s="861"/>
      <c r="BU125" s="861"/>
      <c r="BV125" s="861"/>
      <c r="BW125" s="861"/>
      <c r="BX125" s="861"/>
      <c r="BY125" s="861"/>
      <c r="BZ125" s="543"/>
      <c r="CA125" s="543"/>
      <c r="CB125" s="861"/>
      <c r="CC125" s="543"/>
      <c r="CD125" s="543"/>
      <c r="CE125" s="543"/>
      <c r="CF125" s="543"/>
      <c r="CG125" s="543"/>
      <c r="CH125" s="543"/>
    </row>
    <row r="126" spans="8:86" s="158" customFormat="1">
      <c r="H126" s="863"/>
      <c r="I126" s="864"/>
      <c r="J126" s="864"/>
      <c r="K126" s="863"/>
      <c r="N126" s="541"/>
      <c r="O126" s="542"/>
      <c r="P126" s="541"/>
      <c r="Q126" s="541"/>
      <c r="R126" s="541"/>
      <c r="S126" s="541"/>
      <c r="U126" s="543"/>
      <c r="AF126" s="543"/>
      <c r="AI126" s="541"/>
      <c r="AJ126" s="543"/>
      <c r="AK126" s="543"/>
      <c r="AM126" s="543"/>
      <c r="AO126" s="543"/>
      <c r="AV126" s="862"/>
      <c r="AW126" s="862"/>
      <c r="AX126" s="862"/>
      <c r="AY126" s="862"/>
      <c r="AZ126" s="862"/>
      <c r="BA126" s="862"/>
      <c r="BB126" s="541"/>
      <c r="BC126" s="541"/>
      <c r="BD126" s="541"/>
      <c r="BE126" s="541"/>
      <c r="BF126" s="541"/>
      <c r="BG126" s="541"/>
      <c r="BH126" s="861"/>
      <c r="BI126" s="861"/>
      <c r="BJ126" s="861"/>
      <c r="BK126" s="861"/>
      <c r="BL126" s="861"/>
      <c r="BN126" s="861"/>
      <c r="BO126" s="861"/>
      <c r="BP126" s="861"/>
      <c r="BQ126" s="861"/>
      <c r="BR126" s="861"/>
      <c r="BS126" s="861"/>
      <c r="BT126" s="861"/>
      <c r="BU126" s="861"/>
      <c r="BV126" s="861"/>
      <c r="BW126" s="861"/>
      <c r="BX126" s="861"/>
      <c r="BY126" s="861"/>
      <c r="BZ126" s="543"/>
      <c r="CA126" s="543"/>
      <c r="CB126" s="861"/>
      <c r="CC126" s="543"/>
      <c r="CD126" s="543"/>
      <c r="CE126" s="543"/>
      <c r="CF126" s="543"/>
      <c r="CG126" s="543"/>
      <c r="CH126" s="543"/>
    </row>
    <row r="127" spans="8:86" s="158" customFormat="1">
      <c r="H127" s="863"/>
      <c r="I127" s="864"/>
      <c r="J127" s="864"/>
      <c r="K127" s="863"/>
      <c r="N127" s="541"/>
      <c r="O127" s="542"/>
      <c r="P127" s="541"/>
      <c r="Q127" s="541"/>
      <c r="R127" s="541"/>
      <c r="S127" s="541"/>
      <c r="U127" s="543"/>
      <c r="AF127" s="543"/>
      <c r="AI127" s="541"/>
      <c r="AJ127" s="543"/>
      <c r="AK127" s="543"/>
      <c r="AM127" s="543"/>
      <c r="AO127" s="543"/>
      <c r="AV127" s="862"/>
      <c r="AW127" s="862"/>
      <c r="AX127" s="862"/>
      <c r="AY127" s="862"/>
      <c r="AZ127" s="862"/>
      <c r="BA127" s="862"/>
      <c r="BB127" s="541"/>
      <c r="BC127" s="541"/>
      <c r="BD127" s="541"/>
      <c r="BE127" s="541"/>
      <c r="BF127" s="541"/>
      <c r="BG127" s="541"/>
      <c r="BH127" s="861"/>
      <c r="BI127" s="861"/>
      <c r="BJ127" s="861"/>
      <c r="BK127" s="861"/>
      <c r="BL127" s="861"/>
      <c r="BN127" s="861"/>
      <c r="BO127" s="861"/>
      <c r="BP127" s="861"/>
      <c r="BQ127" s="861"/>
      <c r="BR127" s="861"/>
      <c r="BS127" s="861"/>
      <c r="BT127" s="861"/>
      <c r="BU127" s="861"/>
      <c r="BV127" s="861"/>
      <c r="BW127" s="861"/>
      <c r="BX127" s="861"/>
      <c r="BY127" s="861"/>
      <c r="BZ127" s="543"/>
      <c r="CA127" s="543"/>
      <c r="CB127" s="861"/>
      <c r="CC127" s="543"/>
      <c r="CD127" s="543"/>
      <c r="CE127" s="543"/>
      <c r="CF127" s="543"/>
      <c r="CG127" s="543"/>
      <c r="CH127" s="543"/>
    </row>
    <row r="128" spans="8:86" s="158" customFormat="1">
      <c r="H128" s="863"/>
      <c r="I128" s="864"/>
      <c r="J128" s="864"/>
      <c r="K128" s="863"/>
      <c r="N128" s="541"/>
      <c r="O128" s="542"/>
      <c r="P128" s="541"/>
      <c r="Q128" s="541"/>
      <c r="R128" s="541"/>
      <c r="S128" s="541"/>
      <c r="U128" s="543"/>
      <c r="AF128" s="543"/>
      <c r="AI128" s="541"/>
      <c r="AJ128" s="543"/>
      <c r="AK128" s="543"/>
      <c r="AM128" s="543"/>
      <c r="AO128" s="543"/>
      <c r="AV128" s="862"/>
      <c r="AW128" s="862"/>
      <c r="AX128" s="862"/>
      <c r="AY128" s="862"/>
      <c r="AZ128" s="862"/>
      <c r="BA128" s="862"/>
      <c r="BB128" s="541"/>
      <c r="BC128" s="541"/>
      <c r="BD128" s="541"/>
      <c r="BE128" s="541"/>
      <c r="BF128" s="541"/>
      <c r="BG128" s="541"/>
      <c r="BH128" s="861"/>
      <c r="BI128" s="861"/>
      <c r="BJ128" s="861"/>
      <c r="BK128" s="861"/>
      <c r="BL128" s="861"/>
      <c r="BN128" s="861"/>
      <c r="BO128" s="861"/>
      <c r="BP128" s="861"/>
      <c r="BQ128" s="861"/>
      <c r="BR128" s="861"/>
      <c r="BS128" s="861"/>
      <c r="BT128" s="861"/>
      <c r="BU128" s="861"/>
      <c r="BV128" s="861"/>
      <c r="BW128" s="861"/>
      <c r="BX128" s="861"/>
      <c r="BY128" s="861"/>
      <c r="BZ128" s="543"/>
      <c r="CA128" s="543"/>
      <c r="CB128" s="861"/>
      <c r="CC128" s="543"/>
      <c r="CD128" s="543"/>
      <c r="CE128" s="543"/>
      <c r="CF128" s="543"/>
      <c r="CG128" s="543"/>
      <c r="CH128" s="543"/>
    </row>
    <row r="129" spans="8:86" s="158" customFormat="1">
      <c r="H129" s="863"/>
      <c r="I129" s="864"/>
      <c r="J129" s="864"/>
      <c r="K129" s="863"/>
      <c r="N129" s="541"/>
      <c r="O129" s="542"/>
      <c r="P129" s="541"/>
      <c r="Q129" s="541"/>
      <c r="R129" s="541"/>
      <c r="S129" s="541"/>
      <c r="U129" s="543"/>
      <c r="AF129" s="543"/>
      <c r="AI129" s="541"/>
      <c r="AJ129" s="543"/>
      <c r="AK129" s="543"/>
      <c r="AM129" s="543"/>
      <c r="AO129" s="543"/>
      <c r="AV129" s="862"/>
      <c r="AW129" s="862"/>
      <c r="AX129" s="862"/>
      <c r="AY129" s="862"/>
      <c r="AZ129" s="862"/>
      <c r="BA129" s="862"/>
      <c r="BB129" s="541"/>
      <c r="BC129" s="541"/>
      <c r="BD129" s="541"/>
      <c r="BE129" s="541"/>
      <c r="BF129" s="541"/>
      <c r="BG129" s="541"/>
      <c r="BH129" s="861"/>
      <c r="BI129" s="861"/>
      <c r="BJ129" s="861"/>
      <c r="BK129" s="861"/>
      <c r="BL129" s="861"/>
      <c r="BN129" s="861"/>
      <c r="BO129" s="861"/>
      <c r="BP129" s="861"/>
      <c r="BQ129" s="861"/>
      <c r="BR129" s="861"/>
      <c r="BS129" s="861"/>
      <c r="BT129" s="861"/>
      <c r="BU129" s="861"/>
      <c r="BV129" s="861"/>
      <c r="BW129" s="861"/>
      <c r="BX129" s="861"/>
      <c r="BY129" s="861"/>
      <c r="BZ129" s="543"/>
      <c r="CA129" s="543"/>
      <c r="CB129" s="861"/>
      <c r="CC129" s="543"/>
      <c r="CD129" s="543"/>
      <c r="CE129" s="543"/>
      <c r="CF129" s="543"/>
      <c r="CG129" s="543"/>
      <c r="CH129" s="543"/>
    </row>
    <row r="130" spans="8:86" s="158" customFormat="1">
      <c r="H130" s="863"/>
      <c r="I130" s="864"/>
      <c r="J130" s="864"/>
      <c r="K130" s="863"/>
      <c r="N130" s="541"/>
      <c r="O130" s="542"/>
      <c r="P130" s="541"/>
      <c r="Q130" s="541"/>
      <c r="R130" s="541"/>
      <c r="S130" s="541"/>
      <c r="U130" s="543"/>
      <c r="AF130" s="543"/>
      <c r="AI130" s="541"/>
      <c r="AJ130" s="543"/>
      <c r="AK130" s="543"/>
      <c r="AM130" s="543"/>
      <c r="AO130" s="543"/>
      <c r="AV130" s="862"/>
      <c r="AW130" s="862"/>
      <c r="AX130" s="862"/>
      <c r="AY130" s="862"/>
      <c r="AZ130" s="862"/>
      <c r="BA130" s="862"/>
      <c r="BB130" s="541"/>
      <c r="BC130" s="541"/>
      <c r="BD130" s="541"/>
      <c r="BE130" s="541"/>
      <c r="BF130" s="541"/>
      <c r="BG130" s="541"/>
      <c r="BH130" s="861"/>
      <c r="BI130" s="861"/>
      <c r="BJ130" s="861"/>
      <c r="BK130" s="861"/>
      <c r="BL130" s="861"/>
      <c r="BN130" s="861"/>
      <c r="BO130" s="861"/>
      <c r="BP130" s="861"/>
      <c r="BQ130" s="861"/>
      <c r="BR130" s="861"/>
      <c r="BS130" s="861"/>
      <c r="BT130" s="861"/>
      <c r="BU130" s="861"/>
      <c r="BV130" s="861"/>
      <c r="BW130" s="861"/>
      <c r="BX130" s="861"/>
      <c r="BY130" s="861"/>
      <c r="BZ130" s="543"/>
      <c r="CA130" s="543"/>
      <c r="CB130" s="861"/>
      <c r="CC130" s="543"/>
      <c r="CD130" s="543"/>
      <c r="CE130" s="543"/>
      <c r="CF130" s="543"/>
      <c r="CG130" s="543"/>
      <c r="CH130" s="543"/>
    </row>
    <row r="131" spans="8:86" s="158" customFormat="1">
      <c r="H131" s="863"/>
      <c r="I131" s="864"/>
      <c r="J131" s="864"/>
      <c r="K131" s="863"/>
      <c r="N131" s="541"/>
      <c r="O131" s="542"/>
      <c r="P131" s="541"/>
      <c r="Q131" s="541"/>
      <c r="R131" s="541"/>
      <c r="S131" s="541"/>
      <c r="U131" s="543"/>
      <c r="AF131" s="543"/>
      <c r="AI131" s="541"/>
      <c r="AJ131" s="543"/>
      <c r="AK131" s="543"/>
      <c r="AM131" s="543"/>
      <c r="AO131" s="543"/>
      <c r="AV131" s="862"/>
      <c r="AW131" s="862"/>
      <c r="AX131" s="862"/>
      <c r="AY131" s="862"/>
      <c r="AZ131" s="862"/>
      <c r="BA131" s="862"/>
      <c r="BB131" s="541"/>
      <c r="BC131" s="541"/>
      <c r="BD131" s="541"/>
      <c r="BE131" s="541"/>
      <c r="BF131" s="541"/>
      <c r="BG131" s="541"/>
      <c r="BH131" s="861"/>
      <c r="BI131" s="861"/>
      <c r="BJ131" s="861"/>
      <c r="BK131" s="861"/>
      <c r="BL131" s="861"/>
      <c r="BN131" s="861"/>
      <c r="BO131" s="861"/>
      <c r="BP131" s="861"/>
      <c r="BQ131" s="861"/>
      <c r="BR131" s="861"/>
      <c r="BS131" s="861"/>
      <c r="BT131" s="861"/>
      <c r="BU131" s="861"/>
      <c r="BV131" s="861"/>
      <c r="BW131" s="861"/>
      <c r="BX131" s="861"/>
      <c r="BY131" s="861"/>
      <c r="BZ131" s="543"/>
      <c r="CA131" s="543"/>
      <c r="CB131" s="861"/>
      <c r="CC131" s="543"/>
      <c r="CD131" s="543"/>
      <c r="CE131" s="543"/>
      <c r="CF131" s="543"/>
      <c r="CG131" s="543"/>
      <c r="CH131" s="543"/>
    </row>
    <row r="132" spans="8:86" s="158" customFormat="1">
      <c r="H132" s="863"/>
      <c r="I132" s="864"/>
      <c r="J132" s="864"/>
      <c r="K132" s="863"/>
      <c r="N132" s="541"/>
      <c r="O132" s="542"/>
      <c r="P132" s="541"/>
      <c r="Q132" s="541"/>
      <c r="R132" s="541"/>
      <c r="S132" s="541"/>
      <c r="U132" s="543"/>
      <c r="AF132" s="543"/>
      <c r="AI132" s="541"/>
      <c r="AJ132" s="543"/>
      <c r="AK132" s="543"/>
      <c r="AM132" s="543"/>
      <c r="AO132" s="543"/>
      <c r="AV132" s="862"/>
      <c r="AW132" s="862"/>
      <c r="AX132" s="862"/>
      <c r="AY132" s="862"/>
      <c r="AZ132" s="862"/>
      <c r="BA132" s="862"/>
      <c r="BB132" s="541"/>
      <c r="BC132" s="541"/>
      <c r="BD132" s="541"/>
      <c r="BE132" s="541"/>
      <c r="BF132" s="541"/>
      <c r="BG132" s="541"/>
      <c r="BH132" s="861"/>
      <c r="BI132" s="861"/>
      <c r="BJ132" s="861"/>
      <c r="BK132" s="861"/>
      <c r="BL132" s="861"/>
      <c r="BN132" s="861"/>
      <c r="BO132" s="861"/>
      <c r="BP132" s="861"/>
      <c r="BQ132" s="861"/>
      <c r="BR132" s="861"/>
      <c r="BS132" s="861"/>
      <c r="BT132" s="861"/>
      <c r="BU132" s="861"/>
      <c r="BV132" s="861"/>
      <c r="BW132" s="861"/>
      <c r="BX132" s="861"/>
      <c r="BY132" s="861"/>
      <c r="BZ132" s="543"/>
      <c r="CA132" s="543"/>
      <c r="CB132" s="861"/>
      <c r="CC132" s="543"/>
      <c r="CD132" s="543"/>
      <c r="CE132" s="543"/>
      <c r="CF132" s="543"/>
      <c r="CG132" s="543"/>
      <c r="CH132" s="543"/>
    </row>
    <row r="133" spans="8:86" s="158" customFormat="1">
      <c r="H133" s="863"/>
      <c r="I133" s="864"/>
      <c r="J133" s="864"/>
      <c r="K133" s="863"/>
      <c r="N133" s="541"/>
      <c r="O133" s="542"/>
      <c r="P133" s="541"/>
      <c r="Q133" s="541"/>
      <c r="R133" s="541"/>
      <c r="S133" s="541"/>
      <c r="U133" s="543"/>
      <c r="AF133" s="543"/>
      <c r="AI133" s="541"/>
      <c r="AJ133" s="543"/>
      <c r="AK133" s="543"/>
      <c r="AM133" s="543"/>
      <c r="AO133" s="543"/>
      <c r="AV133" s="862"/>
      <c r="AW133" s="862"/>
      <c r="AX133" s="862"/>
      <c r="AY133" s="862"/>
      <c r="AZ133" s="862"/>
      <c r="BA133" s="862"/>
      <c r="BB133" s="541"/>
      <c r="BC133" s="541"/>
      <c r="BD133" s="541"/>
      <c r="BE133" s="541"/>
      <c r="BF133" s="541"/>
      <c r="BG133" s="541"/>
      <c r="BH133" s="861"/>
      <c r="BI133" s="861"/>
      <c r="BJ133" s="861"/>
      <c r="BK133" s="861"/>
      <c r="BL133" s="861"/>
      <c r="BN133" s="861"/>
      <c r="BO133" s="861"/>
      <c r="BP133" s="861"/>
      <c r="BQ133" s="861"/>
      <c r="BR133" s="861"/>
      <c r="BS133" s="861"/>
      <c r="BT133" s="861"/>
      <c r="BU133" s="861"/>
      <c r="BV133" s="861"/>
      <c r="BW133" s="861"/>
      <c r="BX133" s="861"/>
      <c r="BY133" s="861"/>
      <c r="BZ133" s="543"/>
      <c r="CA133" s="543"/>
      <c r="CB133" s="861"/>
      <c r="CC133" s="543"/>
      <c r="CD133" s="543"/>
      <c r="CE133" s="543"/>
      <c r="CF133" s="543"/>
      <c r="CG133" s="543"/>
      <c r="CH133" s="543"/>
    </row>
    <row r="134" spans="8:86" s="158" customFormat="1">
      <c r="H134" s="863"/>
      <c r="I134" s="864"/>
      <c r="J134" s="864"/>
      <c r="K134" s="863"/>
      <c r="N134" s="541"/>
      <c r="O134" s="542"/>
      <c r="P134" s="541"/>
      <c r="Q134" s="541"/>
      <c r="R134" s="541"/>
      <c r="S134" s="541"/>
      <c r="U134" s="543"/>
      <c r="AF134" s="543"/>
      <c r="AI134" s="541"/>
      <c r="AJ134" s="543"/>
      <c r="AK134" s="543"/>
      <c r="AM134" s="543"/>
      <c r="AO134" s="543"/>
      <c r="AV134" s="862"/>
      <c r="AW134" s="862"/>
      <c r="AX134" s="862"/>
      <c r="AY134" s="862"/>
      <c r="AZ134" s="862"/>
      <c r="BA134" s="862"/>
      <c r="BB134" s="541"/>
      <c r="BC134" s="541"/>
      <c r="BD134" s="541"/>
      <c r="BE134" s="541"/>
      <c r="BF134" s="541"/>
      <c r="BG134" s="541"/>
      <c r="BH134" s="861"/>
      <c r="BI134" s="861"/>
      <c r="BJ134" s="861"/>
      <c r="BK134" s="861"/>
      <c r="BL134" s="861"/>
      <c r="BN134" s="861"/>
      <c r="BO134" s="861"/>
      <c r="BP134" s="861"/>
      <c r="BQ134" s="861"/>
      <c r="BR134" s="861"/>
      <c r="BS134" s="861"/>
      <c r="BT134" s="861"/>
      <c r="BU134" s="861"/>
      <c r="BV134" s="861"/>
      <c r="BW134" s="861"/>
      <c r="BX134" s="861"/>
      <c r="BY134" s="861"/>
      <c r="BZ134" s="543"/>
      <c r="CA134" s="543"/>
      <c r="CB134" s="861"/>
      <c r="CC134" s="543"/>
      <c r="CD134" s="543"/>
      <c r="CE134" s="543"/>
      <c r="CF134" s="543"/>
      <c r="CG134" s="543"/>
      <c r="CH134" s="543"/>
    </row>
    <row r="135" spans="8:86" s="158" customFormat="1">
      <c r="H135" s="863"/>
      <c r="I135" s="864"/>
      <c r="J135" s="864"/>
      <c r="K135" s="863"/>
      <c r="N135" s="541"/>
      <c r="O135" s="542"/>
      <c r="P135" s="541"/>
      <c r="Q135" s="541"/>
      <c r="R135" s="541"/>
      <c r="S135" s="541"/>
      <c r="U135" s="543"/>
      <c r="AF135" s="543"/>
      <c r="AI135" s="541"/>
      <c r="AJ135" s="543"/>
      <c r="AK135" s="543"/>
      <c r="AM135" s="543"/>
      <c r="AO135" s="543"/>
      <c r="AV135" s="862"/>
      <c r="AW135" s="862"/>
      <c r="AX135" s="862"/>
      <c r="AY135" s="862"/>
      <c r="AZ135" s="862"/>
      <c r="BA135" s="862"/>
      <c r="BB135" s="541"/>
      <c r="BC135" s="541"/>
      <c r="BD135" s="541"/>
      <c r="BE135" s="541"/>
      <c r="BF135" s="541"/>
      <c r="BG135" s="541"/>
      <c r="BH135" s="861"/>
      <c r="BI135" s="861"/>
      <c r="BJ135" s="861"/>
      <c r="BK135" s="861"/>
      <c r="BL135" s="861"/>
      <c r="BN135" s="861"/>
      <c r="BO135" s="861"/>
      <c r="BP135" s="861"/>
      <c r="BQ135" s="861"/>
      <c r="BR135" s="861"/>
      <c r="BS135" s="861"/>
      <c r="BT135" s="861"/>
      <c r="BU135" s="861"/>
      <c r="BV135" s="861"/>
      <c r="BW135" s="861"/>
      <c r="BX135" s="861"/>
      <c r="BY135" s="861"/>
      <c r="BZ135" s="543"/>
      <c r="CA135" s="543"/>
      <c r="CB135" s="861"/>
      <c r="CC135" s="543"/>
      <c r="CD135" s="543"/>
      <c r="CE135" s="543"/>
      <c r="CF135" s="543"/>
      <c r="CG135" s="543"/>
      <c r="CH135" s="543"/>
    </row>
    <row r="136" spans="8:86" s="158" customFormat="1">
      <c r="H136" s="863"/>
      <c r="I136" s="864"/>
      <c r="J136" s="864"/>
      <c r="K136" s="863"/>
      <c r="N136" s="541"/>
      <c r="O136" s="542"/>
      <c r="P136" s="541"/>
      <c r="Q136" s="541"/>
      <c r="R136" s="541"/>
      <c r="S136" s="541"/>
      <c r="U136" s="543"/>
      <c r="AF136" s="543"/>
      <c r="AI136" s="541"/>
      <c r="AJ136" s="543"/>
      <c r="AK136" s="543"/>
      <c r="AM136" s="543"/>
      <c r="AO136" s="543"/>
      <c r="AV136" s="862"/>
      <c r="AW136" s="862"/>
      <c r="AX136" s="862"/>
      <c r="AY136" s="862"/>
      <c r="AZ136" s="862"/>
      <c r="BA136" s="862"/>
      <c r="BB136" s="541"/>
      <c r="BC136" s="541"/>
      <c r="BD136" s="541"/>
      <c r="BE136" s="541"/>
      <c r="BF136" s="541"/>
      <c r="BG136" s="541"/>
      <c r="BH136" s="861"/>
      <c r="BI136" s="861"/>
      <c r="BJ136" s="861"/>
      <c r="BK136" s="861"/>
      <c r="BL136" s="861"/>
      <c r="BN136" s="861"/>
      <c r="BO136" s="861"/>
      <c r="BP136" s="861"/>
      <c r="BQ136" s="861"/>
      <c r="BR136" s="861"/>
      <c r="BS136" s="861"/>
      <c r="BT136" s="861"/>
      <c r="BU136" s="861"/>
      <c r="BV136" s="861"/>
      <c r="BW136" s="861"/>
      <c r="BX136" s="861"/>
      <c r="BY136" s="861"/>
      <c r="BZ136" s="543"/>
      <c r="CA136" s="543"/>
      <c r="CB136" s="861"/>
      <c r="CC136" s="543"/>
      <c r="CD136" s="543"/>
      <c r="CE136" s="543"/>
      <c r="CF136" s="543"/>
      <c r="CG136" s="543"/>
      <c r="CH136" s="543"/>
    </row>
    <row r="137" spans="8:86" s="158" customFormat="1">
      <c r="H137" s="863"/>
      <c r="I137" s="864"/>
      <c r="J137" s="864"/>
      <c r="K137" s="863"/>
      <c r="N137" s="541"/>
      <c r="O137" s="542"/>
      <c r="P137" s="541"/>
      <c r="Q137" s="541"/>
      <c r="R137" s="541"/>
      <c r="S137" s="541"/>
      <c r="U137" s="543"/>
      <c r="AF137" s="543"/>
      <c r="AI137" s="541"/>
      <c r="AJ137" s="543"/>
      <c r="AK137" s="543"/>
      <c r="AM137" s="543"/>
      <c r="AO137" s="543"/>
      <c r="AV137" s="862"/>
      <c r="AW137" s="862"/>
      <c r="AX137" s="862"/>
      <c r="AY137" s="862"/>
      <c r="AZ137" s="862"/>
      <c r="BA137" s="862"/>
      <c r="BB137" s="541"/>
      <c r="BC137" s="541"/>
      <c r="BD137" s="541"/>
      <c r="BE137" s="541"/>
      <c r="BF137" s="541"/>
      <c r="BG137" s="541"/>
      <c r="BH137" s="861"/>
      <c r="BI137" s="861"/>
      <c r="BJ137" s="861"/>
      <c r="BK137" s="861"/>
      <c r="BL137" s="861"/>
      <c r="BN137" s="861"/>
      <c r="BO137" s="861"/>
      <c r="BP137" s="861"/>
      <c r="BQ137" s="861"/>
      <c r="BR137" s="861"/>
      <c r="BS137" s="861"/>
      <c r="BT137" s="861"/>
      <c r="BU137" s="861"/>
      <c r="BV137" s="861"/>
      <c r="BW137" s="861"/>
      <c r="BX137" s="861"/>
      <c r="BY137" s="861"/>
      <c r="BZ137" s="543"/>
      <c r="CA137" s="543"/>
      <c r="CB137" s="861"/>
      <c r="CC137" s="543"/>
      <c r="CD137" s="543"/>
      <c r="CE137" s="543"/>
      <c r="CF137" s="543"/>
      <c r="CG137" s="543"/>
      <c r="CH137" s="543"/>
    </row>
    <row r="138" spans="8:86" s="158" customFormat="1">
      <c r="H138" s="863"/>
      <c r="I138" s="864"/>
      <c r="J138" s="864"/>
      <c r="K138" s="863"/>
      <c r="N138" s="541"/>
      <c r="O138" s="542"/>
      <c r="P138" s="541"/>
      <c r="Q138" s="541"/>
      <c r="R138" s="541"/>
      <c r="S138" s="541"/>
      <c r="U138" s="543"/>
      <c r="AF138" s="543"/>
      <c r="AI138" s="541"/>
      <c r="AJ138" s="543"/>
      <c r="AK138" s="543"/>
      <c r="AM138" s="543"/>
      <c r="AO138" s="543"/>
      <c r="AV138" s="862"/>
      <c r="AW138" s="862"/>
      <c r="AX138" s="862"/>
      <c r="AY138" s="862"/>
      <c r="AZ138" s="862"/>
      <c r="BA138" s="862"/>
      <c r="BB138" s="541"/>
      <c r="BC138" s="541"/>
      <c r="BD138" s="541"/>
      <c r="BE138" s="541"/>
      <c r="BF138" s="541"/>
      <c r="BG138" s="541"/>
      <c r="BH138" s="861"/>
      <c r="BI138" s="861"/>
      <c r="BJ138" s="861"/>
      <c r="BK138" s="861"/>
      <c r="BL138" s="861"/>
      <c r="BN138" s="861"/>
      <c r="BO138" s="861"/>
      <c r="BP138" s="861"/>
      <c r="BQ138" s="861"/>
      <c r="BR138" s="861"/>
      <c r="BS138" s="861"/>
      <c r="BT138" s="861"/>
      <c r="BU138" s="861"/>
      <c r="BV138" s="861"/>
      <c r="BW138" s="861"/>
      <c r="BX138" s="861"/>
      <c r="BY138" s="861"/>
      <c r="BZ138" s="543"/>
      <c r="CA138" s="543"/>
      <c r="CB138" s="861"/>
      <c r="CC138" s="543"/>
      <c r="CD138" s="543"/>
      <c r="CE138" s="543"/>
      <c r="CF138" s="543"/>
      <c r="CG138" s="543"/>
      <c r="CH138" s="543"/>
    </row>
    <row r="139" spans="8:86" s="158" customFormat="1">
      <c r="H139" s="863"/>
      <c r="I139" s="864"/>
      <c r="J139" s="864"/>
      <c r="K139" s="863"/>
      <c r="N139" s="541"/>
      <c r="O139" s="542"/>
      <c r="P139" s="541"/>
      <c r="Q139" s="541"/>
      <c r="R139" s="541"/>
      <c r="S139" s="541"/>
      <c r="U139" s="543"/>
      <c r="AF139" s="543"/>
      <c r="AI139" s="541"/>
      <c r="AJ139" s="543"/>
      <c r="AK139" s="543"/>
      <c r="AM139" s="543"/>
      <c r="AO139" s="543"/>
      <c r="AV139" s="862"/>
      <c r="AW139" s="862"/>
      <c r="AX139" s="862"/>
      <c r="AY139" s="862"/>
      <c r="AZ139" s="862"/>
      <c r="BA139" s="862"/>
      <c r="BB139" s="541"/>
      <c r="BC139" s="541"/>
      <c r="BD139" s="541"/>
      <c r="BE139" s="541"/>
      <c r="BF139" s="541"/>
      <c r="BG139" s="541"/>
      <c r="BH139" s="861"/>
      <c r="BI139" s="861"/>
      <c r="BJ139" s="861"/>
      <c r="BK139" s="861"/>
      <c r="BL139" s="861"/>
      <c r="BN139" s="861"/>
      <c r="BO139" s="861"/>
      <c r="BP139" s="861"/>
      <c r="BQ139" s="861"/>
      <c r="BR139" s="861"/>
      <c r="BS139" s="861"/>
      <c r="BT139" s="861"/>
      <c r="BU139" s="861"/>
      <c r="BV139" s="861"/>
      <c r="BW139" s="861"/>
      <c r="BX139" s="861"/>
      <c r="BY139" s="861"/>
      <c r="BZ139" s="543"/>
      <c r="CA139" s="543"/>
      <c r="CB139" s="861"/>
      <c r="CC139" s="543"/>
      <c r="CD139" s="543"/>
      <c r="CE139" s="543"/>
      <c r="CF139" s="543"/>
      <c r="CG139" s="543"/>
      <c r="CH139" s="543"/>
    </row>
    <row r="140" spans="8:86" s="158" customFormat="1">
      <c r="H140" s="863"/>
      <c r="I140" s="864"/>
      <c r="J140" s="864"/>
      <c r="K140" s="863"/>
      <c r="N140" s="541"/>
      <c r="O140" s="542"/>
      <c r="P140" s="541"/>
      <c r="Q140" s="541"/>
      <c r="R140" s="541"/>
      <c r="S140" s="541"/>
      <c r="U140" s="543"/>
      <c r="AF140" s="543"/>
      <c r="AI140" s="541"/>
      <c r="AJ140" s="543"/>
      <c r="AK140" s="543"/>
      <c r="AM140" s="543"/>
      <c r="AO140" s="543"/>
      <c r="AV140" s="862"/>
      <c r="AW140" s="862"/>
      <c r="AX140" s="862"/>
      <c r="AY140" s="862"/>
      <c r="AZ140" s="862"/>
      <c r="BA140" s="862"/>
      <c r="BB140" s="541"/>
      <c r="BC140" s="541"/>
      <c r="BD140" s="541"/>
      <c r="BE140" s="541"/>
      <c r="BF140" s="541"/>
      <c r="BG140" s="541"/>
      <c r="BH140" s="861"/>
      <c r="BI140" s="861"/>
      <c r="BJ140" s="861"/>
      <c r="BK140" s="861"/>
      <c r="BL140" s="861"/>
      <c r="BN140" s="861"/>
      <c r="BO140" s="861"/>
      <c r="BP140" s="861"/>
      <c r="BQ140" s="861"/>
      <c r="BR140" s="861"/>
      <c r="BS140" s="861"/>
      <c r="BT140" s="861"/>
      <c r="BU140" s="861"/>
      <c r="BV140" s="861"/>
      <c r="BW140" s="861"/>
      <c r="BX140" s="861"/>
      <c r="BY140" s="861"/>
      <c r="BZ140" s="543"/>
      <c r="CA140" s="543"/>
      <c r="CB140" s="861"/>
      <c r="CC140" s="543"/>
      <c r="CD140" s="543"/>
      <c r="CE140" s="543"/>
      <c r="CF140" s="543"/>
      <c r="CG140" s="543"/>
      <c r="CH140" s="543"/>
    </row>
    <row r="141" spans="8:86" s="158" customFormat="1">
      <c r="H141" s="863"/>
      <c r="I141" s="864"/>
      <c r="J141" s="864"/>
      <c r="K141" s="863"/>
      <c r="N141" s="541"/>
      <c r="O141" s="542"/>
      <c r="P141" s="541"/>
      <c r="Q141" s="541"/>
      <c r="R141" s="541"/>
      <c r="S141" s="541"/>
      <c r="U141" s="543"/>
      <c r="AF141" s="543"/>
      <c r="AI141" s="541"/>
      <c r="AJ141" s="543"/>
      <c r="AK141" s="543"/>
      <c r="AM141" s="543"/>
      <c r="AO141" s="543"/>
      <c r="AV141" s="862"/>
      <c r="AW141" s="862"/>
      <c r="AX141" s="862"/>
      <c r="AY141" s="862"/>
      <c r="AZ141" s="862"/>
      <c r="BA141" s="862"/>
      <c r="BB141" s="541"/>
      <c r="BC141" s="541"/>
      <c r="BD141" s="541"/>
      <c r="BE141" s="541"/>
      <c r="BF141" s="541"/>
      <c r="BG141" s="541"/>
      <c r="BH141" s="861"/>
      <c r="BI141" s="861"/>
      <c r="BJ141" s="861"/>
      <c r="BK141" s="861"/>
      <c r="BL141" s="861"/>
      <c r="BN141" s="861"/>
      <c r="BO141" s="861"/>
      <c r="BP141" s="861"/>
      <c r="BQ141" s="861"/>
      <c r="BR141" s="861"/>
      <c r="BS141" s="861"/>
      <c r="BT141" s="861"/>
      <c r="BU141" s="861"/>
      <c r="BV141" s="861"/>
      <c r="BW141" s="861"/>
      <c r="BX141" s="861"/>
      <c r="BY141" s="861"/>
      <c r="BZ141" s="543"/>
      <c r="CA141" s="543"/>
      <c r="CB141" s="861"/>
      <c r="CC141" s="543"/>
      <c r="CD141" s="543"/>
      <c r="CE141" s="543"/>
      <c r="CF141" s="543"/>
      <c r="CG141" s="543"/>
      <c r="CH141" s="543"/>
    </row>
    <row r="142" spans="8:86" s="158" customFormat="1">
      <c r="H142" s="863"/>
      <c r="I142" s="864"/>
      <c r="J142" s="864"/>
      <c r="K142" s="863"/>
      <c r="N142" s="541"/>
      <c r="O142" s="542"/>
      <c r="P142" s="541"/>
      <c r="Q142" s="541"/>
      <c r="R142" s="541"/>
      <c r="S142" s="541"/>
      <c r="U142" s="543"/>
      <c r="AF142" s="543"/>
      <c r="AI142" s="541"/>
      <c r="AJ142" s="543"/>
      <c r="AK142" s="543"/>
      <c r="AM142" s="543"/>
      <c r="AO142" s="543"/>
      <c r="AV142" s="862"/>
      <c r="AW142" s="862"/>
      <c r="AX142" s="862"/>
      <c r="AY142" s="862"/>
      <c r="AZ142" s="862"/>
      <c r="BA142" s="862"/>
      <c r="BB142" s="541"/>
      <c r="BC142" s="541"/>
      <c r="BD142" s="541"/>
      <c r="BE142" s="541"/>
      <c r="BF142" s="541"/>
      <c r="BG142" s="541"/>
      <c r="BH142" s="861"/>
      <c r="BI142" s="861"/>
      <c r="BJ142" s="861"/>
      <c r="BK142" s="861"/>
      <c r="BL142" s="861"/>
      <c r="BN142" s="861"/>
      <c r="BO142" s="861"/>
      <c r="BP142" s="861"/>
      <c r="BQ142" s="861"/>
      <c r="BR142" s="861"/>
      <c r="BS142" s="861"/>
      <c r="BT142" s="861"/>
      <c r="BU142" s="861"/>
      <c r="BV142" s="861"/>
      <c r="BW142" s="861"/>
      <c r="BX142" s="861"/>
      <c r="BY142" s="861"/>
      <c r="BZ142" s="543"/>
      <c r="CA142" s="543"/>
      <c r="CB142" s="861"/>
      <c r="CC142" s="543"/>
      <c r="CD142" s="543"/>
      <c r="CE142" s="543"/>
      <c r="CF142" s="543"/>
      <c r="CG142" s="543"/>
      <c r="CH142" s="543"/>
    </row>
    <row r="143" spans="8:86" s="158" customFormat="1">
      <c r="H143" s="863"/>
      <c r="I143" s="864"/>
      <c r="J143" s="864"/>
      <c r="K143" s="863"/>
      <c r="N143" s="541"/>
      <c r="O143" s="542"/>
      <c r="P143" s="541"/>
      <c r="Q143" s="541"/>
      <c r="R143" s="541"/>
      <c r="S143" s="541"/>
      <c r="U143" s="543"/>
      <c r="AF143" s="543"/>
      <c r="AI143" s="541"/>
      <c r="AJ143" s="543"/>
      <c r="AK143" s="543"/>
      <c r="AM143" s="543"/>
      <c r="AO143" s="543"/>
      <c r="AV143" s="862"/>
      <c r="AW143" s="862"/>
      <c r="AX143" s="862"/>
      <c r="AY143" s="862"/>
      <c r="AZ143" s="862"/>
      <c r="BA143" s="862"/>
      <c r="BB143" s="541"/>
      <c r="BC143" s="541"/>
      <c r="BD143" s="541"/>
      <c r="BE143" s="541"/>
      <c r="BF143" s="541"/>
      <c r="BG143" s="541"/>
      <c r="BH143" s="861"/>
      <c r="BI143" s="861"/>
      <c r="BJ143" s="861"/>
      <c r="BK143" s="861"/>
      <c r="BL143" s="861"/>
      <c r="BN143" s="861"/>
      <c r="BO143" s="861"/>
      <c r="BP143" s="861"/>
      <c r="BQ143" s="861"/>
      <c r="BR143" s="861"/>
      <c r="BS143" s="861"/>
      <c r="BT143" s="861"/>
      <c r="BU143" s="861"/>
      <c r="BV143" s="861"/>
      <c r="BW143" s="861"/>
      <c r="BX143" s="861"/>
      <c r="BY143" s="861"/>
      <c r="BZ143" s="543"/>
      <c r="CA143" s="543"/>
      <c r="CB143" s="861"/>
      <c r="CC143" s="543"/>
      <c r="CD143" s="543"/>
      <c r="CE143" s="543"/>
      <c r="CF143" s="543"/>
      <c r="CG143" s="543"/>
      <c r="CH143" s="543"/>
    </row>
    <row r="144" spans="8:86" s="158" customFormat="1">
      <c r="H144" s="863"/>
      <c r="I144" s="864"/>
      <c r="J144" s="864"/>
      <c r="K144" s="863"/>
      <c r="N144" s="541"/>
      <c r="O144" s="542"/>
      <c r="P144" s="541"/>
      <c r="Q144" s="541"/>
      <c r="R144" s="541"/>
      <c r="S144" s="541"/>
      <c r="U144" s="543"/>
      <c r="AF144" s="543"/>
      <c r="AI144" s="541"/>
      <c r="AJ144" s="543"/>
      <c r="AK144" s="543"/>
      <c r="AM144" s="543"/>
      <c r="AO144" s="543"/>
      <c r="AV144" s="862"/>
      <c r="AW144" s="862"/>
      <c r="AX144" s="862"/>
      <c r="AY144" s="862"/>
      <c r="AZ144" s="862"/>
      <c r="BA144" s="862"/>
      <c r="BB144" s="541"/>
      <c r="BC144" s="541"/>
      <c r="BD144" s="541"/>
      <c r="BE144" s="541"/>
      <c r="BF144" s="541"/>
      <c r="BG144" s="541"/>
      <c r="BH144" s="861"/>
      <c r="BI144" s="861"/>
      <c r="BJ144" s="861"/>
      <c r="BK144" s="861"/>
      <c r="BL144" s="861"/>
      <c r="BN144" s="861"/>
      <c r="BO144" s="861"/>
      <c r="BP144" s="861"/>
      <c r="BQ144" s="861"/>
      <c r="BR144" s="861"/>
      <c r="BS144" s="861"/>
      <c r="BT144" s="861"/>
      <c r="BU144" s="861"/>
      <c r="BV144" s="861"/>
      <c r="BW144" s="861"/>
      <c r="BX144" s="861"/>
      <c r="BY144" s="861"/>
      <c r="BZ144" s="543"/>
      <c r="CA144" s="543"/>
      <c r="CB144" s="861"/>
      <c r="CC144" s="543"/>
      <c r="CD144" s="543"/>
      <c r="CE144" s="543"/>
      <c r="CF144" s="543"/>
      <c r="CG144" s="543"/>
      <c r="CH144" s="543"/>
    </row>
    <row r="145" spans="8:86" s="158" customFormat="1">
      <c r="H145" s="863"/>
      <c r="I145" s="864"/>
      <c r="J145" s="864"/>
      <c r="K145" s="863"/>
      <c r="N145" s="541"/>
      <c r="O145" s="542"/>
      <c r="P145" s="541"/>
      <c r="Q145" s="541"/>
      <c r="R145" s="541"/>
      <c r="S145" s="541"/>
      <c r="U145" s="543"/>
      <c r="AF145" s="543"/>
      <c r="AI145" s="541"/>
      <c r="AJ145" s="543"/>
      <c r="AK145" s="543"/>
      <c r="AM145" s="543"/>
      <c r="AO145" s="543"/>
      <c r="AV145" s="862"/>
      <c r="AW145" s="862"/>
      <c r="AX145" s="862"/>
      <c r="AY145" s="862"/>
      <c r="AZ145" s="862"/>
      <c r="BA145" s="862"/>
      <c r="BB145" s="541"/>
      <c r="BC145" s="541"/>
      <c r="BD145" s="541"/>
      <c r="BE145" s="541"/>
      <c r="BF145" s="541"/>
      <c r="BG145" s="541"/>
      <c r="BH145" s="861"/>
      <c r="BI145" s="861"/>
      <c r="BJ145" s="861"/>
      <c r="BK145" s="861"/>
      <c r="BL145" s="861"/>
      <c r="BN145" s="861"/>
      <c r="BO145" s="861"/>
      <c r="BP145" s="861"/>
      <c r="BQ145" s="861"/>
      <c r="BR145" s="861"/>
      <c r="BS145" s="861"/>
      <c r="BT145" s="861"/>
      <c r="BU145" s="861"/>
      <c r="BV145" s="861"/>
      <c r="BW145" s="861"/>
      <c r="BX145" s="861"/>
      <c r="BY145" s="861"/>
      <c r="BZ145" s="543"/>
      <c r="CA145" s="543"/>
      <c r="CB145" s="861"/>
      <c r="CC145" s="543"/>
      <c r="CD145" s="543"/>
      <c r="CE145" s="543"/>
      <c r="CF145" s="543"/>
      <c r="CG145" s="543"/>
      <c r="CH145" s="543"/>
    </row>
    <row r="146" spans="8:86" s="158" customFormat="1">
      <c r="H146" s="863"/>
      <c r="I146" s="864"/>
      <c r="J146" s="864"/>
      <c r="K146" s="863"/>
      <c r="N146" s="541"/>
      <c r="O146" s="542"/>
      <c r="P146" s="541"/>
      <c r="Q146" s="541"/>
      <c r="R146" s="541"/>
      <c r="S146" s="541"/>
      <c r="U146" s="543"/>
      <c r="AF146" s="543"/>
      <c r="AI146" s="541"/>
      <c r="AJ146" s="543"/>
      <c r="AK146" s="543"/>
      <c r="AM146" s="543"/>
      <c r="AO146" s="543"/>
      <c r="AV146" s="862"/>
      <c r="AW146" s="862"/>
      <c r="AX146" s="862"/>
      <c r="AY146" s="862"/>
      <c r="AZ146" s="862"/>
      <c r="BA146" s="862"/>
      <c r="BB146" s="541"/>
      <c r="BC146" s="541"/>
      <c r="BD146" s="541"/>
      <c r="BE146" s="541"/>
      <c r="BF146" s="541"/>
      <c r="BG146" s="541"/>
      <c r="BH146" s="861"/>
      <c r="BI146" s="861"/>
      <c r="BJ146" s="861"/>
      <c r="BK146" s="861"/>
      <c r="BL146" s="861"/>
      <c r="BN146" s="861"/>
      <c r="BO146" s="861"/>
      <c r="BP146" s="861"/>
      <c r="BQ146" s="861"/>
      <c r="BR146" s="861"/>
      <c r="BS146" s="861"/>
      <c r="BT146" s="861"/>
      <c r="BU146" s="861"/>
      <c r="BV146" s="861"/>
      <c r="BW146" s="861"/>
      <c r="BX146" s="861"/>
      <c r="BY146" s="861"/>
      <c r="BZ146" s="543"/>
      <c r="CA146" s="543"/>
      <c r="CB146" s="861"/>
      <c r="CC146" s="543"/>
      <c r="CD146" s="543"/>
      <c r="CE146" s="543"/>
      <c r="CF146" s="543"/>
      <c r="CG146" s="543"/>
      <c r="CH146" s="543"/>
    </row>
    <row r="147" spans="8:86" s="158" customFormat="1">
      <c r="H147" s="863"/>
      <c r="I147" s="864"/>
      <c r="J147" s="864"/>
      <c r="K147" s="863"/>
      <c r="N147" s="541"/>
      <c r="O147" s="542"/>
      <c r="P147" s="541"/>
      <c r="Q147" s="541"/>
      <c r="R147" s="541"/>
      <c r="S147" s="541"/>
      <c r="U147" s="543"/>
      <c r="AF147" s="543"/>
      <c r="AI147" s="541"/>
      <c r="AJ147" s="543"/>
      <c r="AK147" s="543"/>
      <c r="AM147" s="543"/>
      <c r="AO147" s="543"/>
      <c r="AV147" s="862"/>
      <c r="AW147" s="862"/>
      <c r="AX147" s="862"/>
      <c r="AY147" s="862"/>
      <c r="AZ147" s="862"/>
      <c r="BA147" s="862"/>
      <c r="BB147" s="541"/>
      <c r="BC147" s="541"/>
      <c r="BD147" s="541"/>
      <c r="BE147" s="541"/>
      <c r="BF147" s="541"/>
      <c r="BG147" s="541"/>
      <c r="BH147" s="861"/>
      <c r="BI147" s="861"/>
      <c r="BJ147" s="861"/>
      <c r="BK147" s="861"/>
      <c r="BL147" s="861"/>
      <c r="BN147" s="861"/>
      <c r="BO147" s="861"/>
      <c r="BP147" s="861"/>
      <c r="BQ147" s="861"/>
      <c r="BR147" s="861"/>
      <c r="BS147" s="861"/>
      <c r="BT147" s="861"/>
      <c r="BU147" s="861"/>
      <c r="BV147" s="861"/>
      <c r="BW147" s="861"/>
      <c r="BX147" s="861"/>
      <c r="BY147" s="861"/>
      <c r="BZ147" s="543"/>
      <c r="CA147" s="543"/>
      <c r="CB147" s="861"/>
      <c r="CC147" s="543"/>
      <c r="CD147" s="543"/>
      <c r="CE147" s="543"/>
      <c r="CF147" s="543"/>
      <c r="CG147" s="543"/>
      <c r="CH147" s="543"/>
    </row>
    <row r="148" spans="8:86" s="158" customFormat="1">
      <c r="H148" s="863"/>
      <c r="I148" s="864"/>
      <c r="J148" s="864"/>
      <c r="K148" s="863"/>
      <c r="N148" s="541"/>
      <c r="O148" s="542"/>
      <c r="P148" s="541"/>
      <c r="Q148" s="541"/>
      <c r="R148" s="541"/>
      <c r="S148" s="541"/>
      <c r="U148" s="543"/>
      <c r="AF148" s="543"/>
      <c r="AI148" s="541"/>
      <c r="AJ148" s="543"/>
      <c r="AK148" s="543"/>
      <c r="AM148" s="543"/>
      <c r="AO148" s="543"/>
      <c r="AV148" s="862"/>
      <c r="AW148" s="862"/>
      <c r="AX148" s="862"/>
      <c r="AY148" s="862"/>
      <c r="AZ148" s="862"/>
      <c r="BA148" s="862"/>
      <c r="BB148" s="541"/>
      <c r="BC148" s="541"/>
      <c r="BD148" s="541"/>
      <c r="BE148" s="541"/>
      <c r="BF148" s="541"/>
      <c r="BG148" s="541"/>
      <c r="BH148" s="861"/>
      <c r="BI148" s="861"/>
      <c r="BJ148" s="861"/>
      <c r="BK148" s="861"/>
      <c r="BL148" s="861"/>
      <c r="BN148" s="861"/>
      <c r="BO148" s="861"/>
      <c r="BP148" s="861"/>
      <c r="BQ148" s="861"/>
      <c r="BR148" s="861"/>
      <c r="BS148" s="861"/>
      <c r="BT148" s="861"/>
      <c r="BU148" s="861"/>
      <c r="BV148" s="861"/>
      <c r="BW148" s="861"/>
      <c r="BX148" s="861"/>
      <c r="BY148" s="861"/>
      <c r="BZ148" s="543"/>
      <c r="CA148" s="543"/>
      <c r="CB148" s="861"/>
      <c r="CC148" s="543"/>
      <c r="CD148" s="543"/>
      <c r="CE148" s="543"/>
      <c r="CF148" s="543"/>
      <c r="CG148" s="543"/>
      <c r="CH148" s="543"/>
    </row>
    <row r="149" spans="8:86" s="158" customFormat="1">
      <c r="H149" s="863"/>
      <c r="I149" s="864"/>
      <c r="J149" s="864"/>
      <c r="K149" s="863"/>
      <c r="N149" s="541"/>
      <c r="O149" s="542"/>
      <c r="P149" s="541"/>
      <c r="Q149" s="541"/>
      <c r="R149" s="541"/>
      <c r="S149" s="541"/>
      <c r="U149" s="543"/>
      <c r="AF149" s="543"/>
      <c r="AI149" s="541"/>
      <c r="AJ149" s="543"/>
      <c r="AK149" s="543"/>
      <c r="AM149" s="543"/>
      <c r="AO149" s="543"/>
      <c r="AV149" s="862"/>
      <c r="AW149" s="862"/>
      <c r="AX149" s="862"/>
      <c r="AY149" s="862"/>
      <c r="AZ149" s="862"/>
      <c r="BA149" s="862"/>
      <c r="BB149" s="541"/>
      <c r="BC149" s="541"/>
      <c r="BD149" s="541"/>
      <c r="BE149" s="541"/>
      <c r="BF149" s="541"/>
      <c r="BG149" s="541"/>
      <c r="BH149" s="861"/>
      <c r="BI149" s="861"/>
      <c r="BJ149" s="861"/>
      <c r="BK149" s="861"/>
      <c r="BL149" s="861"/>
      <c r="BN149" s="861"/>
      <c r="BO149" s="861"/>
      <c r="BP149" s="861"/>
      <c r="BQ149" s="861"/>
      <c r="BR149" s="861"/>
      <c r="BS149" s="861"/>
      <c r="BT149" s="861"/>
      <c r="BU149" s="861"/>
      <c r="BV149" s="861"/>
      <c r="BW149" s="861"/>
      <c r="BX149" s="861"/>
      <c r="BY149" s="861"/>
      <c r="BZ149" s="543"/>
      <c r="CA149" s="543"/>
      <c r="CB149" s="861"/>
      <c r="CC149" s="543"/>
      <c r="CD149" s="543"/>
      <c r="CE149" s="543"/>
      <c r="CF149" s="543"/>
      <c r="CG149" s="543"/>
      <c r="CH149" s="543"/>
    </row>
    <row r="150" spans="8:86" s="158" customFormat="1">
      <c r="H150" s="863"/>
      <c r="I150" s="864"/>
      <c r="J150" s="864"/>
      <c r="K150" s="863"/>
      <c r="N150" s="541"/>
      <c r="O150" s="542"/>
      <c r="P150" s="541"/>
      <c r="Q150" s="541"/>
      <c r="R150" s="541"/>
      <c r="S150" s="541"/>
      <c r="U150" s="543"/>
      <c r="AF150" s="543"/>
      <c r="AI150" s="541"/>
      <c r="AJ150" s="543"/>
      <c r="AK150" s="543"/>
      <c r="AM150" s="543"/>
      <c r="AO150" s="543"/>
      <c r="AV150" s="862"/>
      <c r="AW150" s="862"/>
      <c r="AX150" s="862"/>
      <c r="AY150" s="862"/>
      <c r="AZ150" s="862"/>
      <c r="BA150" s="862"/>
      <c r="BB150" s="541"/>
      <c r="BC150" s="541"/>
      <c r="BD150" s="541"/>
      <c r="BE150" s="541"/>
      <c r="BF150" s="541"/>
      <c r="BG150" s="541"/>
      <c r="BH150" s="861"/>
      <c r="BI150" s="861"/>
      <c r="BJ150" s="861"/>
      <c r="BK150" s="861"/>
      <c r="BL150" s="861"/>
      <c r="BN150" s="861"/>
      <c r="BO150" s="861"/>
      <c r="BP150" s="861"/>
      <c r="BQ150" s="861"/>
      <c r="BR150" s="861"/>
      <c r="BS150" s="861"/>
      <c r="BT150" s="861"/>
      <c r="BU150" s="861"/>
      <c r="BV150" s="861"/>
      <c r="BW150" s="861"/>
      <c r="BX150" s="861"/>
      <c r="BY150" s="861"/>
      <c r="BZ150" s="543"/>
      <c r="CA150" s="543"/>
      <c r="CB150" s="861"/>
      <c r="CC150" s="543"/>
      <c r="CD150" s="543"/>
      <c r="CE150" s="543"/>
      <c r="CF150" s="543"/>
      <c r="CG150" s="543"/>
      <c r="CH150" s="543"/>
    </row>
    <row r="151" spans="8:86" s="158" customFormat="1">
      <c r="H151" s="863"/>
      <c r="I151" s="864"/>
      <c r="J151" s="864"/>
      <c r="K151" s="863"/>
      <c r="N151" s="541"/>
      <c r="O151" s="542"/>
      <c r="P151" s="541"/>
      <c r="Q151" s="541"/>
      <c r="R151" s="541"/>
      <c r="S151" s="541"/>
      <c r="U151" s="543"/>
      <c r="AF151" s="543"/>
      <c r="AI151" s="541"/>
      <c r="AJ151" s="543"/>
      <c r="AK151" s="543"/>
      <c r="AM151" s="543"/>
      <c r="AO151" s="543"/>
      <c r="AV151" s="862"/>
      <c r="AW151" s="862"/>
      <c r="AX151" s="862"/>
      <c r="AY151" s="862"/>
      <c r="AZ151" s="862"/>
      <c r="BA151" s="862"/>
      <c r="BB151" s="541"/>
      <c r="BC151" s="541"/>
      <c r="BD151" s="541"/>
      <c r="BE151" s="541"/>
      <c r="BF151" s="541"/>
      <c r="BG151" s="541"/>
      <c r="BH151" s="861"/>
      <c r="BI151" s="861"/>
      <c r="BJ151" s="861"/>
      <c r="BK151" s="861"/>
      <c r="BL151" s="861"/>
      <c r="BN151" s="861"/>
      <c r="BO151" s="861"/>
      <c r="BP151" s="861"/>
      <c r="BQ151" s="861"/>
      <c r="BR151" s="861"/>
      <c r="BS151" s="861"/>
      <c r="BT151" s="861"/>
      <c r="BU151" s="861"/>
      <c r="BV151" s="861"/>
      <c r="BW151" s="861"/>
      <c r="BX151" s="861"/>
      <c r="BY151" s="861"/>
      <c r="BZ151" s="543"/>
      <c r="CA151" s="543"/>
      <c r="CB151" s="861"/>
      <c r="CC151" s="543"/>
      <c r="CD151" s="543"/>
      <c r="CE151" s="543"/>
      <c r="CF151" s="543"/>
      <c r="CG151" s="543"/>
      <c r="CH151" s="543"/>
    </row>
    <row r="152" spans="8:86" s="158" customFormat="1">
      <c r="H152" s="863"/>
      <c r="I152" s="864"/>
      <c r="J152" s="864"/>
      <c r="K152" s="863"/>
      <c r="N152" s="541"/>
      <c r="O152" s="542"/>
      <c r="P152" s="541"/>
      <c r="Q152" s="541"/>
      <c r="R152" s="541"/>
      <c r="S152" s="541"/>
      <c r="U152" s="543"/>
      <c r="AF152" s="543"/>
      <c r="AI152" s="541"/>
      <c r="AJ152" s="543"/>
      <c r="AK152" s="543"/>
      <c r="AM152" s="543"/>
      <c r="AO152" s="543"/>
      <c r="AV152" s="862"/>
      <c r="AW152" s="862"/>
      <c r="AX152" s="862"/>
      <c r="AY152" s="862"/>
      <c r="AZ152" s="862"/>
      <c r="BA152" s="862"/>
      <c r="BB152" s="541"/>
      <c r="BC152" s="541"/>
      <c r="BD152" s="541"/>
      <c r="BE152" s="541"/>
      <c r="BF152" s="541"/>
      <c r="BG152" s="541"/>
      <c r="BH152" s="861"/>
      <c r="BI152" s="861"/>
      <c r="BJ152" s="861"/>
      <c r="BK152" s="861"/>
      <c r="BL152" s="861"/>
      <c r="BN152" s="861"/>
      <c r="BO152" s="861"/>
      <c r="BP152" s="861"/>
      <c r="BQ152" s="861"/>
      <c r="BR152" s="861"/>
      <c r="BS152" s="861"/>
      <c r="BT152" s="861"/>
      <c r="BU152" s="861"/>
      <c r="BV152" s="861"/>
      <c r="BW152" s="861"/>
      <c r="BX152" s="861"/>
      <c r="BY152" s="861"/>
      <c r="BZ152" s="543"/>
      <c r="CA152" s="543"/>
      <c r="CB152" s="861"/>
      <c r="CC152" s="543"/>
      <c r="CD152" s="543"/>
      <c r="CE152" s="543"/>
      <c r="CF152" s="543"/>
      <c r="CG152" s="543"/>
      <c r="CH152" s="543"/>
    </row>
    <row r="153" spans="8:86" s="158" customFormat="1">
      <c r="H153" s="863"/>
      <c r="I153" s="864"/>
      <c r="J153" s="864"/>
      <c r="K153" s="863"/>
      <c r="N153" s="541"/>
      <c r="O153" s="542"/>
      <c r="P153" s="541"/>
      <c r="Q153" s="541"/>
      <c r="R153" s="541"/>
      <c r="S153" s="541"/>
      <c r="U153" s="543"/>
      <c r="AF153" s="543"/>
      <c r="AI153" s="541"/>
      <c r="AJ153" s="543"/>
      <c r="AK153" s="543"/>
      <c r="AM153" s="543"/>
      <c r="AO153" s="543"/>
      <c r="AV153" s="862"/>
      <c r="AW153" s="862"/>
      <c r="AX153" s="862"/>
      <c r="AY153" s="862"/>
      <c r="AZ153" s="862"/>
      <c r="BA153" s="862"/>
      <c r="BB153" s="541"/>
      <c r="BC153" s="541"/>
      <c r="BD153" s="541"/>
      <c r="BE153" s="541"/>
      <c r="BF153" s="541"/>
      <c r="BG153" s="541"/>
      <c r="BH153" s="861"/>
      <c r="BI153" s="861"/>
      <c r="BJ153" s="861"/>
      <c r="BK153" s="861"/>
      <c r="BL153" s="861"/>
      <c r="BN153" s="861"/>
      <c r="BO153" s="861"/>
      <c r="BP153" s="861"/>
      <c r="BQ153" s="861"/>
      <c r="BR153" s="861"/>
      <c r="BS153" s="861"/>
      <c r="BT153" s="861"/>
      <c r="BU153" s="861"/>
      <c r="BV153" s="861"/>
      <c r="BW153" s="861"/>
      <c r="BX153" s="861"/>
      <c r="BY153" s="861"/>
      <c r="BZ153" s="543"/>
      <c r="CA153" s="543"/>
      <c r="CB153" s="861"/>
      <c r="CC153" s="543"/>
      <c r="CD153" s="543"/>
      <c r="CE153" s="543"/>
      <c r="CF153" s="543"/>
      <c r="CG153" s="543"/>
      <c r="CH153" s="543"/>
    </row>
    <row r="154" spans="8:86" s="158" customFormat="1">
      <c r="H154" s="863"/>
      <c r="I154" s="864"/>
      <c r="J154" s="864"/>
      <c r="K154" s="863"/>
      <c r="N154" s="541"/>
      <c r="O154" s="542"/>
      <c r="P154" s="541"/>
      <c r="Q154" s="541"/>
      <c r="R154" s="541"/>
      <c r="S154" s="541"/>
      <c r="U154" s="543"/>
      <c r="AF154" s="543"/>
      <c r="AI154" s="541"/>
      <c r="AJ154" s="543"/>
      <c r="AK154" s="543"/>
      <c r="AM154" s="543"/>
      <c r="AO154" s="543"/>
      <c r="AV154" s="862"/>
      <c r="AW154" s="862"/>
      <c r="AX154" s="862"/>
      <c r="AY154" s="862"/>
      <c r="AZ154" s="862"/>
      <c r="BA154" s="862"/>
      <c r="BB154" s="541"/>
      <c r="BC154" s="541"/>
      <c r="BD154" s="541"/>
      <c r="BE154" s="541"/>
      <c r="BF154" s="541"/>
      <c r="BG154" s="541"/>
      <c r="BH154" s="861"/>
      <c r="BI154" s="861"/>
      <c r="BJ154" s="861"/>
      <c r="BK154" s="861"/>
      <c r="BL154" s="861"/>
      <c r="BN154" s="861"/>
      <c r="BO154" s="861"/>
      <c r="BP154" s="861"/>
      <c r="BQ154" s="861"/>
      <c r="BR154" s="861"/>
      <c r="BS154" s="861"/>
      <c r="BT154" s="861"/>
      <c r="BU154" s="861"/>
      <c r="BV154" s="861"/>
      <c r="BW154" s="861"/>
      <c r="BX154" s="861"/>
      <c r="BY154" s="861"/>
      <c r="BZ154" s="543"/>
      <c r="CA154" s="543"/>
      <c r="CB154" s="861"/>
      <c r="CC154" s="543"/>
      <c r="CD154" s="543"/>
      <c r="CE154" s="543"/>
      <c r="CF154" s="543"/>
      <c r="CG154" s="543"/>
      <c r="CH154" s="543"/>
    </row>
    <row r="155" spans="8:86" s="158" customFormat="1">
      <c r="H155" s="863"/>
      <c r="I155" s="864"/>
      <c r="J155" s="864"/>
      <c r="K155" s="863"/>
      <c r="N155" s="541"/>
      <c r="O155" s="542"/>
      <c r="P155" s="541"/>
      <c r="Q155" s="541"/>
      <c r="R155" s="541"/>
      <c r="S155" s="541"/>
      <c r="U155" s="543"/>
      <c r="AF155" s="543"/>
      <c r="AI155" s="541"/>
      <c r="AJ155" s="543"/>
      <c r="AK155" s="543"/>
      <c r="AM155" s="543"/>
      <c r="AO155" s="543"/>
      <c r="AV155" s="862"/>
      <c r="AW155" s="862"/>
      <c r="AX155" s="862"/>
      <c r="AY155" s="862"/>
      <c r="AZ155" s="862"/>
      <c r="BA155" s="862"/>
      <c r="BB155" s="541"/>
      <c r="BC155" s="541"/>
      <c r="BD155" s="541"/>
      <c r="BE155" s="541"/>
      <c r="BF155" s="541"/>
      <c r="BG155" s="541"/>
      <c r="BH155" s="861"/>
      <c r="BI155" s="861"/>
      <c r="BJ155" s="861"/>
      <c r="BK155" s="861"/>
      <c r="BL155" s="861"/>
      <c r="BN155" s="861"/>
      <c r="BO155" s="861"/>
      <c r="BP155" s="861"/>
      <c r="BQ155" s="861"/>
      <c r="BR155" s="861"/>
      <c r="BS155" s="861"/>
      <c r="BT155" s="861"/>
      <c r="BU155" s="861"/>
      <c r="BV155" s="861"/>
      <c r="BW155" s="861"/>
      <c r="BX155" s="861"/>
      <c r="BY155" s="861"/>
      <c r="BZ155" s="543"/>
      <c r="CA155" s="543"/>
      <c r="CB155" s="861"/>
      <c r="CC155" s="543"/>
      <c r="CD155" s="543"/>
      <c r="CE155" s="543"/>
      <c r="CF155" s="543"/>
      <c r="CG155" s="543"/>
      <c r="CH155" s="543"/>
    </row>
    <row r="156" spans="8:86" s="158" customFormat="1">
      <c r="H156" s="863"/>
      <c r="I156" s="864"/>
      <c r="J156" s="864"/>
      <c r="K156" s="863"/>
      <c r="N156" s="541"/>
      <c r="O156" s="542"/>
      <c r="P156" s="541"/>
      <c r="Q156" s="541"/>
      <c r="R156" s="541"/>
      <c r="S156" s="541"/>
      <c r="U156" s="543"/>
      <c r="AF156" s="543"/>
      <c r="AI156" s="541"/>
      <c r="AJ156" s="543"/>
      <c r="AK156" s="543"/>
      <c r="AM156" s="543"/>
      <c r="AO156" s="543"/>
      <c r="AV156" s="862"/>
      <c r="AW156" s="862"/>
      <c r="AX156" s="862"/>
      <c r="AY156" s="862"/>
      <c r="AZ156" s="862"/>
      <c r="BA156" s="862"/>
      <c r="BB156" s="541"/>
      <c r="BC156" s="541"/>
      <c r="BD156" s="541"/>
      <c r="BE156" s="541"/>
      <c r="BF156" s="541"/>
      <c r="BG156" s="541"/>
      <c r="BH156" s="861"/>
      <c r="BI156" s="861"/>
      <c r="BJ156" s="861"/>
      <c r="BK156" s="861"/>
      <c r="BL156" s="861"/>
      <c r="BN156" s="861"/>
      <c r="BO156" s="861"/>
      <c r="BP156" s="861"/>
      <c r="BQ156" s="861"/>
      <c r="BR156" s="861"/>
      <c r="BS156" s="861"/>
      <c r="BT156" s="861"/>
      <c r="BU156" s="861"/>
      <c r="BV156" s="861"/>
      <c r="BW156" s="861"/>
      <c r="BX156" s="861"/>
      <c r="BY156" s="861"/>
      <c r="BZ156" s="543"/>
      <c r="CA156" s="543"/>
      <c r="CB156" s="861"/>
      <c r="CC156" s="543"/>
      <c r="CD156" s="543"/>
      <c r="CE156" s="543"/>
      <c r="CF156" s="543"/>
      <c r="CG156" s="543"/>
      <c r="CH156" s="543"/>
    </row>
    <row r="157" spans="8:86" s="158" customFormat="1">
      <c r="H157" s="863"/>
      <c r="I157" s="864"/>
      <c r="J157" s="864"/>
      <c r="K157" s="863"/>
      <c r="N157" s="541"/>
      <c r="O157" s="542"/>
      <c r="P157" s="541"/>
      <c r="Q157" s="541"/>
      <c r="R157" s="541"/>
      <c r="S157" s="541"/>
      <c r="U157" s="543"/>
      <c r="AF157" s="543"/>
      <c r="AI157" s="541"/>
      <c r="AJ157" s="543"/>
      <c r="AK157" s="543"/>
      <c r="AM157" s="543"/>
      <c r="AO157" s="543"/>
      <c r="AV157" s="862"/>
      <c r="AW157" s="862"/>
      <c r="AX157" s="862"/>
      <c r="AY157" s="862"/>
      <c r="AZ157" s="862"/>
      <c r="BA157" s="862"/>
      <c r="BB157" s="541"/>
      <c r="BC157" s="541"/>
      <c r="BD157" s="541"/>
      <c r="BE157" s="541"/>
      <c r="BF157" s="541"/>
      <c r="BG157" s="541"/>
      <c r="BH157" s="861"/>
      <c r="BI157" s="861"/>
      <c r="BJ157" s="861"/>
      <c r="BK157" s="861"/>
      <c r="BL157" s="861"/>
      <c r="BN157" s="861"/>
      <c r="BO157" s="861"/>
      <c r="BP157" s="861"/>
      <c r="BQ157" s="861"/>
      <c r="BR157" s="861"/>
      <c r="BS157" s="861"/>
      <c r="BT157" s="861"/>
      <c r="BU157" s="861"/>
      <c r="BV157" s="861"/>
      <c r="BW157" s="861"/>
      <c r="BX157" s="861"/>
      <c r="BY157" s="861"/>
      <c r="BZ157" s="543"/>
      <c r="CA157" s="543"/>
      <c r="CB157" s="861"/>
      <c r="CC157" s="543"/>
      <c r="CD157" s="543"/>
      <c r="CE157" s="543"/>
      <c r="CF157" s="543"/>
      <c r="CG157" s="543"/>
      <c r="CH157" s="543"/>
    </row>
    <row r="158" spans="8:86" s="158" customFormat="1">
      <c r="H158" s="863"/>
      <c r="I158" s="864"/>
      <c r="J158" s="864"/>
      <c r="K158" s="863"/>
      <c r="N158" s="541"/>
      <c r="O158" s="542"/>
      <c r="P158" s="541"/>
      <c r="Q158" s="541"/>
      <c r="R158" s="541"/>
      <c r="S158" s="541"/>
      <c r="U158" s="543"/>
      <c r="AF158" s="543"/>
      <c r="AI158" s="541"/>
      <c r="AJ158" s="543"/>
      <c r="AK158" s="543"/>
      <c r="AM158" s="543"/>
      <c r="AO158" s="543"/>
      <c r="AV158" s="862"/>
      <c r="AW158" s="862"/>
      <c r="AX158" s="862"/>
      <c r="AY158" s="862"/>
      <c r="AZ158" s="862"/>
      <c r="BA158" s="862"/>
      <c r="BB158" s="541"/>
      <c r="BC158" s="541"/>
      <c r="BD158" s="541"/>
      <c r="BE158" s="541"/>
      <c r="BF158" s="541"/>
      <c r="BG158" s="541"/>
      <c r="BH158" s="861"/>
      <c r="BI158" s="861"/>
      <c r="BJ158" s="861"/>
      <c r="BK158" s="861"/>
      <c r="BL158" s="861"/>
      <c r="BN158" s="861"/>
      <c r="BO158" s="861"/>
      <c r="BP158" s="861"/>
      <c r="BQ158" s="861"/>
      <c r="BR158" s="861"/>
      <c r="BS158" s="861"/>
      <c r="BT158" s="861"/>
      <c r="BU158" s="861"/>
      <c r="BV158" s="861"/>
      <c r="BW158" s="861"/>
      <c r="BX158" s="861"/>
      <c r="BY158" s="861"/>
      <c r="BZ158" s="543"/>
      <c r="CA158" s="543"/>
      <c r="CB158" s="861"/>
      <c r="CC158" s="543"/>
      <c r="CD158" s="543"/>
      <c r="CE158" s="543"/>
      <c r="CF158" s="543"/>
      <c r="CG158" s="543"/>
      <c r="CH158" s="543"/>
    </row>
    <row r="159" spans="8:86" s="158" customFormat="1">
      <c r="H159" s="863"/>
      <c r="I159" s="864"/>
      <c r="J159" s="864"/>
      <c r="K159" s="863"/>
      <c r="N159" s="541"/>
      <c r="O159" s="542"/>
      <c r="P159" s="541"/>
      <c r="Q159" s="541"/>
      <c r="R159" s="541"/>
      <c r="S159" s="541"/>
      <c r="U159" s="543"/>
      <c r="AF159" s="543"/>
      <c r="AI159" s="541"/>
      <c r="AJ159" s="543"/>
      <c r="AK159" s="543"/>
      <c r="AM159" s="543"/>
      <c r="AO159" s="543"/>
      <c r="AV159" s="862"/>
      <c r="AW159" s="862"/>
      <c r="AX159" s="862"/>
      <c r="AY159" s="862"/>
      <c r="AZ159" s="862"/>
      <c r="BA159" s="862"/>
      <c r="BB159" s="541"/>
      <c r="BC159" s="541"/>
      <c r="BD159" s="541"/>
      <c r="BE159" s="541"/>
      <c r="BF159" s="541"/>
      <c r="BG159" s="541"/>
      <c r="BH159" s="861"/>
      <c r="BI159" s="861"/>
      <c r="BJ159" s="861"/>
      <c r="BK159" s="861"/>
      <c r="BL159" s="861"/>
      <c r="BN159" s="861"/>
      <c r="BO159" s="861"/>
      <c r="BP159" s="861"/>
      <c r="BQ159" s="861"/>
      <c r="BR159" s="861"/>
      <c r="BS159" s="861"/>
      <c r="BT159" s="861"/>
      <c r="BU159" s="861"/>
      <c r="BV159" s="861"/>
      <c r="BW159" s="861"/>
      <c r="BX159" s="861"/>
      <c r="BY159" s="861"/>
      <c r="BZ159" s="543"/>
      <c r="CA159" s="543"/>
      <c r="CB159" s="861"/>
      <c r="CC159" s="543"/>
      <c r="CD159" s="543"/>
      <c r="CE159" s="543"/>
      <c r="CF159" s="543"/>
      <c r="CG159" s="543"/>
      <c r="CH159" s="543"/>
    </row>
    <row r="160" spans="8:86" s="158" customFormat="1">
      <c r="H160" s="863"/>
      <c r="I160" s="864"/>
      <c r="J160" s="864"/>
      <c r="K160" s="863"/>
      <c r="N160" s="541"/>
      <c r="O160" s="542"/>
      <c r="P160" s="541"/>
      <c r="Q160" s="541"/>
      <c r="R160" s="541"/>
      <c r="S160" s="541"/>
      <c r="U160" s="543"/>
      <c r="AF160" s="543"/>
      <c r="AI160" s="541"/>
      <c r="AJ160" s="543"/>
      <c r="AK160" s="543"/>
      <c r="AM160" s="543"/>
      <c r="AO160" s="543"/>
      <c r="AV160" s="862"/>
      <c r="AW160" s="862"/>
      <c r="AX160" s="862"/>
      <c r="AY160" s="862"/>
      <c r="AZ160" s="862"/>
      <c r="BA160" s="862"/>
      <c r="BB160" s="541"/>
      <c r="BC160" s="541"/>
      <c r="BD160" s="541"/>
      <c r="BE160" s="541"/>
      <c r="BF160" s="541"/>
      <c r="BG160" s="541"/>
      <c r="BH160" s="861"/>
      <c r="BI160" s="861"/>
      <c r="BJ160" s="861"/>
      <c r="BK160" s="861"/>
      <c r="BL160" s="861"/>
      <c r="BN160" s="861"/>
      <c r="BO160" s="861"/>
      <c r="BP160" s="861"/>
      <c r="BQ160" s="861"/>
      <c r="BR160" s="861"/>
      <c r="BS160" s="861"/>
      <c r="BT160" s="861"/>
      <c r="BU160" s="861"/>
      <c r="BV160" s="861"/>
      <c r="BW160" s="861"/>
      <c r="BX160" s="861"/>
      <c r="BY160" s="861"/>
      <c r="BZ160" s="543"/>
      <c r="CA160" s="543"/>
      <c r="CB160" s="861"/>
      <c r="CC160" s="543"/>
      <c r="CD160" s="543"/>
      <c r="CE160" s="543"/>
      <c r="CF160" s="543"/>
      <c r="CG160" s="543"/>
      <c r="CH160" s="543"/>
    </row>
    <row r="161" spans="8:86" s="158" customFormat="1">
      <c r="H161" s="863"/>
      <c r="I161" s="864"/>
      <c r="J161" s="864"/>
      <c r="K161" s="863"/>
      <c r="N161" s="541"/>
      <c r="O161" s="542"/>
      <c r="P161" s="541"/>
      <c r="Q161" s="541"/>
      <c r="R161" s="541"/>
      <c r="S161" s="541"/>
      <c r="U161" s="543"/>
      <c r="AF161" s="543"/>
      <c r="AI161" s="541"/>
      <c r="AJ161" s="543"/>
      <c r="AK161" s="543"/>
      <c r="AM161" s="543"/>
      <c r="AO161" s="543"/>
      <c r="AV161" s="862"/>
      <c r="AW161" s="862"/>
      <c r="AX161" s="862"/>
      <c r="AY161" s="862"/>
      <c r="AZ161" s="862"/>
      <c r="BA161" s="862"/>
      <c r="BB161" s="541"/>
      <c r="BC161" s="541"/>
      <c r="BD161" s="541"/>
      <c r="BE161" s="541"/>
      <c r="BF161" s="541"/>
      <c r="BG161" s="541"/>
      <c r="BH161" s="861"/>
      <c r="BI161" s="861"/>
      <c r="BJ161" s="861"/>
      <c r="BK161" s="861"/>
      <c r="BL161" s="861"/>
      <c r="BN161" s="861"/>
      <c r="BO161" s="861"/>
      <c r="BP161" s="861"/>
      <c r="BQ161" s="861"/>
      <c r="BR161" s="861"/>
      <c r="BS161" s="861"/>
      <c r="BT161" s="861"/>
      <c r="BU161" s="861"/>
      <c r="BV161" s="861"/>
      <c r="BW161" s="861"/>
      <c r="BX161" s="861"/>
      <c r="BY161" s="861"/>
      <c r="BZ161" s="543"/>
      <c r="CA161" s="543"/>
      <c r="CB161" s="861"/>
      <c r="CC161" s="543"/>
      <c r="CD161" s="543"/>
      <c r="CE161" s="543"/>
      <c r="CF161" s="543"/>
      <c r="CG161" s="543"/>
      <c r="CH161" s="543"/>
    </row>
    <row r="162" spans="8:86" s="158" customFormat="1">
      <c r="H162" s="863"/>
      <c r="I162" s="864"/>
      <c r="J162" s="864"/>
      <c r="K162" s="863"/>
      <c r="N162" s="541"/>
      <c r="O162" s="542"/>
      <c r="P162" s="541"/>
      <c r="Q162" s="541"/>
      <c r="R162" s="541"/>
      <c r="S162" s="541"/>
      <c r="U162" s="543"/>
      <c r="AF162" s="543"/>
      <c r="AI162" s="541"/>
      <c r="AJ162" s="543"/>
      <c r="AK162" s="543"/>
      <c r="AM162" s="543"/>
      <c r="AO162" s="543"/>
      <c r="AV162" s="862"/>
      <c r="AW162" s="862"/>
      <c r="AX162" s="862"/>
      <c r="AY162" s="862"/>
      <c r="AZ162" s="862"/>
      <c r="BA162" s="862"/>
      <c r="BB162" s="541"/>
      <c r="BC162" s="541"/>
      <c r="BD162" s="541"/>
      <c r="BE162" s="541"/>
      <c r="BF162" s="541"/>
      <c r="BG162" s="541"/>
      <c r="BH162" s="861"/>
      <c r="BI162" s="861"/>
      <c r="BJ162" s="861"/>
      <c r="BK162" s="861"/>
      <c r="BL162" s="861"/>
      <c r="BN162" s="861"/>
      <c r="BO162" s="861"/>
      <c r="BP162" s="861"/>
      <c r="BQ162" s="861"/>
      <c r="BR162" s="861"/>
      <c r="BS162" s="861"/>
      <c r="BT162" s="861"/>
      <c r="BU162" s="861"/>
      <c r="BV162" s="861"/>
      <c r="BW162" s="861"/>
      <c r="BX162" s="861"/>
      <c r="BY162" s="861"/>
      <c r="BZ162" s="543"/>
      <c r="CA162" s="543"/>
      <c r="CB162" s="861"/>
      <c r="CC162" s="543"/>
      <c r="CD162" s="543"/>
      <c r="CE162" s="543"/>
      <c r="CF162" s="543"/>
      <c r="CG162" s="543"/>
      <c r="CH162" s="543"/>
    </row>
    <row r="163" spans="8:86" s="158" customFormat="1">
      <c r="H163" s="863"/>
      <c r="I163" s="864"/>
      <c r="J163" s="864"/>
      <c r="K163" s="863"/>
      <c r="N163" s="541"/>
      <c r="O163" s="542"/>
      <c r="P163" s="541"/>
      <c r="Q163" s="541"/>
      <c r="R163" s="541"/>
      <c r="S163" s="541"/>
      <c r="U163" s="543"/>
      <c r="AF163" s="543"/>
      <c r="AI163" s="541"/>
      <c r="AJ163" s="543"/>
      <c r="AK163" s="543"/>
      <c r="AM163" s="543"/>
      <c r="AO163" s="543"/>
      <c r="AV163" s="862"/>
      <c r="AW163" s="862"/>
      <c r="AX163" s="862"/>
      <c r="AY163" s="862"/>
      <c r="AZ163" s="862"/>
      <c r="BA163" s="862"/>
      <c r="BB163" s="541"/>
      <c r="BC163" s="541"/>
      <c r="BD163" s="541"/>
      <c r="BE163" s="541"/>
      <c r="BF163" s="541"/>
      <c r="BG163" s="541"/>
      <c r="BH163" s="861"/>
      <c r="BI163" s="861"/>
      <c r="BJ163" s="861"/>
      <c r="BK163" s="861"/>
      <c r="BL163" s="861"/>
      <c r="BN163" s="861"/>
      <c r="BO163" s="861"/>
      <c r="BP163" s="861"/>
      <c r="BQ163" s="861"/>
      <c r="BR163" s="861"/>
      <c r="BS163" s="861"/>
      <c r="BT163" s="861"/>
      <c r="BU163" s="861"/>
      <c r="BV163" s="861"/>
      <c r="BW163" s="861"/>
      <c r="BX163" s="861"/>
      <c r="BY163" s="861"/>
      <c r="BZ163" s="543"/>
      <c r="CA163" s="543"/>
      <c r="CB163" s="861"/>
      <c r="CC163" s="543"/>
      <c r="CD163" s="543"/>
      <c r="CE163" s="543"/>
      <c r="CF163" s="543"/>
      <c r="CG163" s="543"/>
      <c r="CH163" s="543"/>
    </row>
    <row r="164" spans="8:86" s="158" customFormat="1">
      <c r="H164" s="863"/>
      <c r="I164" s="864"/>
      <c r="J164" s="864"/>
      <c r="K164" s="863"/>
      <c r="N164" s="541"/>
      <c r="O164" s="542"/>
      <c r="P164" s="541"/>
      <c r="Q164" s="541"/>
      <c r="R164" s="541"/>
      <c r="S164" s="541"/>
      <c r="U164" s="543"/>
      <c r="AF164" s="543"/>
      <c r="AI164" s="541"/>
      <c r="AJ164" s="543"/>
      <c r="AK164" s="543"/>
      <c r="AM164" s="543"/>
      <c r="AO164" s="543"/>
      <c r="AV164" s="862"/>
      <c r="AW164" s="862"/>
      <c r="AX164" s="862"/>
      <c r="AY164" s="862"/>
      <c r="AZ164" s="862"/>
      <c r="BA164" s="862"/>
      <c r="BB164" s="541"/>
      <c r="BC164" s="541"/>
      <c r="BD164" s="541"/>
      <c r="BE164" s="541"/>
      <c r="BF164" s="541"/>
      <c r="BG164" s="541"/>
      <c r="BH164" s="861"/>
      <c r="BI164" s="861"/>
      <c r="BJ164" s="861"/>
      <c r="BK164" s="861"/>
      <c r="BL164" s="861"/>
      <c r="BN164" s="861"/>
      <c r="BO164" s="861"/>
      <c r="BP164" s="861"/>
      <c r="BQ164" s="861"/>
      <c r="BR164" s="861"/>
      <c r="BS164" s="861"/>
      <c r="BT164" s="861"/>
      <c r="BU164" s="861"/>
      <c r="BV164" s="861"/>
      <c r="BW164" s="861"/>
      <c r="BX164" s="861"/>
      <c r="BY164" s="861"/>
      <c r="BZ164" s="543"/>
      <c r="CA164" s="543"/>
      <c r="CB164" s="861"/>
      <c r="CC164" s="543"/>
      <c r="CD164" s="543"/>
      <c r="CE164" s="543"/>
      <c r="CF164" s="543"/>
      <c r="CG164" s="543"/>
      <c r="CH164" s="543"/>
    </row>
    <row r="165" spans="8:86" s="158" customFormat="1">
      <c r="H165" s="863"/>
      <c r="I165" s="864"/>
      <c r="J165" s="864"/>
      <c r="K165" s="863"/>
      <c r="N165" s="541"/>
      <c r="O165" s="542"/>
      <c r="P165" s="541"/>
      <c r="Q165" s="541"/>
      <c r="R165" s="541"/>
      <c r="S165" s="541"/>
      <c r="U165" s="543"/>
      <c r="AF165" s="543"/>
      <c r="AI165" s="541"/>
      <c r="AJ165" s="543"/>
      <c r="AK165" s="543"/>
      <c r="AM165" s="543"/>
      <c r="AO165" s="543"/>
      <c r="AV165" s="862"/>
      <c r="AW165" s="862"/>
      <c r="AX165" s="862"/>
      <c r="AY165" s="862"/>
      <c r="AZ165" s="862"/>
      <c r="BA165" s="862"/>
      <c r="BB165" s="541"/>
      <c r="BC165" s="541"/>
      <c r="BD165" s="541"/>
      <c r="BE165" s="541"/>
      <c r="BF165" s="541"/>
      <c r="BG165" s="541"/>
      <c r="BH165" s="861"/>
      <c r="BI165" s="861"/>
      <c r="BJ165" s="861"/>
      <c r="BK165" s="861"/>
      <c r="BL165" s="861"/>
      <c r="BN165" s="861"/>
      <c r="BO165" s="861"/>
      <c r="BP165" s="861"/>
      <c r="BQ165" s="861"/>
      <c r="BR165" s="861"/>
      <c r="BS165" s="861"/>
      <c r="BT165" s="861"/>
      <c r="BU165" s="861"/>
      <c r="BV165" s="861"/>
      <c r="BW165" s="861"/>
      <c r="BX165" s="861"/>
      <c r="BY165" s="861"/>
      <c r="BZ165" s="543"/>
      <c r="CA165" s="543"/>
      <c r="CB165" s="861"/>
      <c r="CC165" s="543"/>
      <c r="CD165" s="543"/>
      <c r="CE165" s="543"/>
      <c r="CF165" s="543"/>
      <c r="CG165" s="543"/>
      <c r="CH165" s="543"/>
    </row>
    <row r="166" spans="8:86" s="158" customFormat="1">
      <c r="H166" s="863"/>
      <c r="I166" s="864"/>
      <c r="J166" s="864"/>
      <c r="K166" s="863"/>
      <c r="N166" s="541"/>
      <c r="O166" s="542"/>
      <c r="P166" s="541"/>
      <c r="Q166" s="541"/>
      <c r="R166" s="541"/>
      <c r="S166" s="541"/>
      <c r="U166" s="543"/>
      <c r="AF166" s="543"/>
      <c r="AI166" s="541"/>
      <c r="AJ166" s="543"/>
      <c r="AK166" s="543"/>
      <c r="AM166" s="543"/>
      <c r="AO166" s="543"/>
      <c r="AV166" s="862"/>
      <c r="AW166" s="862"/>
      <c r="AX166" s="862"/>
      <c r="AY166" s="862"/>
      <c r="AZ166" s="862"/>
      <c r="BA166" s="862"/>
      <c r="BB166" s="541"/>
      <c r="BC166" s="541"/>
      <c r="BD166" s="541"/>
      <c r="BE166" s="541"/>
      <c r="BF166" s="541"/>
      <c r="BG166" s="541"/>
      <c r="BH166" s="861"/>
      <c r="BI166" s="861"/>
      <c r="BJ166" s="861"/>
      <c r="BK166" s="861"/>
      <c r="BL166" s="861"/>
      <c r="BN166" s="861"/>
      <c r="BO166" s="861"/>
      <c r="BP166" s="861"/>
      <c r="BQ166" s="861"/>
      <c r="BR166" s="861"/>
      <c r="BS166" s="861"/>
      <c r="BT166" s="861"/>
      <c r="BU166" s="861"/>
      <c r="BV166" s="861"/>
      <c r="BW166" s="861"/>
      <c r="BX166" s="861"/>
      <c r="BY166" s="861"/>
      <c r="BZ166" s="543"/>
      <c r="CA166" s="543"/>
      <c r="CB166" s="861"/>
      <c r="CC166" s="543"/>
      <c r="CD166" s="543"/>
      <c r="CE166" s="543"/>
      <c r="CF166" s="543"/>
      <c r="CG166" s="543"/>
      <c r="CH166" s="543"/>
    </row>
    <row r="167" spans="8:86" s="158" customFormat="1">
      <c r="H167" s="863"/>
      <c r="I167" s="864"/>
      <c r="J167" s="864"/>
      <c r="K167" s="863"/>
      <c r="N167" s="541"/>
      <c r="O167" s="542"/>
      <c r="P167" s="541"/>
      <c r="Q167" s="541"/>
      <c r="R167" s="541"/>
      <c r="S167" s="541"/>
      <c r="U167" s="543"/>
      <c r="AF167" s="543"/>
      <c r="AI167" s="541"/>
      <c r="AJ167" s="543"/>
      <c r="AK167" s="543"/>
      <c r="AM167" s="543"/>
      <c r="AO167" s="543"/>
      <c r="AV167" s="862"/>
      <c r="AW167" s="862"/>
      <c r="AX167" s="862"/>
      <c r="AY167" s="862"/>
      <c r="AZ167" s="862"/>
      <c r="BA167" s="862"/>
      <c r="BB167" s="541"/>
      <c r="BC167" s="541"/>
      <c r="BD167" s="541"/>
      <c r="BE167" s="541"/>
      <c r="BF167" s="541"/>
      <c r="BG167" s="541"/>
      <c r="BH167" s="861"/>
      <c r="BI167" s="861"/>
      <c r="BJ167" s="861"/>
      <c r="BK167" s="861"/>
      <c r="BL167" s="861"/>
      <c r="BN167" s="861"/>
      <c r="BO167" s="861"/>
      <c r="BP167" s="861"/>
      <c r="BQ167" s="861"/>
      <c r="BR167" s="861"/>
      <c r="BS167" s="861"/>
      <c r="BT167" s="861"/>
      <c r="BU167" s="861"/>
      <c r="BV167" s="861"/>
      <c r="BW167" s="861"/>
      <c r="BX167" s="861"/>
      <c r="BY167" s="861"/>
      <c r="BZ167" s="543"/>
      <c r="CA167" s="543"/>
      <c r="CB167" s="861"/>
      <c r="CC167" s="543"/>
      <c r="CD167" s="543"/>
      <c r="CE167" s="543"/>
      <c r="CF167" s="543"/>
      <c r="CG167" s="543"/>
      <c r="CH167" s="543"/>
    </row>
    <row r="168" spans="8:86" s="158" customFormat="1">
      <c r="H168" s="863"/>
      <c r="I168" s="864"/>
      <c r="J168" s="864"/>
      <c r="K168" s="863"/>
      <c r="N168" s="541"/>
      <c r="O168" s="542"/>
      <c r="P168" s="541"/>
      <c r="Q168" s="541"/>
      <c r="R168" s="541"/>
      <c r="S168" s="541"/>
      <c r="U168" s="543"/>
      <c r="AF168" s="543"/>
      <c r="AI168" s="541"/>
      <c r="AJ168" s="543"/>
      <c r="AK168" s="543"/>
      <c r="AM168" s="543"/>
      <c r="AO168" s="543"/>
      <c r="AV168" s="862"/>
      <c r="AW168" s="862"/>
      <c r="AX168" s="862"/>
      <c r="AY168" s="862"/>
      <c r="AZ168" s="862"/>
      <c r="BA168" s="862"/>
      <c r="BB168" s="541"/>
      <c r="BC168" s="541"/>
      <c r="BD168" s="541"/>
      <c r="BE168" s="541"/>
      <c r="BF168" s="541"/>
      <c r="BG168" s="541"/>
      <c r="BH168" s="861"/>
      <c r="BI168" s="861"/>
      <c r="BJ168" s="861"/>
      <c r="BK168" s="861"/>
      <c r="BL168" s="861"/>
      <c r="BN168" s="861"/>
      <c r="BO168" s="861"/>
      <c r="BP168" s="861"/>
      <c r="BQ168" s="861"/>
      <c r="BR168" s="861"/>
      <c r="BS168" s="861"/>
      <c r="BT168" s="861"/>
      <c r="BU168" s="861"/>
      <c r="BV168" s="861"/>
      <c r="BW168" s="861"/>
      <c r="BX168" s="861"/>
      <c r="BY168" s="861"/>
      <c r="BZ168" s="543"/>
      <c r="CA168" s="543"/>
      <c r="CB168" s="861"/>
      <c r="CC168" s="543"/>
      <c r="CD168" s="543"/>
      <c r="CE168" s="543"/>
      <c r="CF168" s="543"/>
      <c r="CG168" s="543"/>
      <c r="CH168" s="543"/>
    </row>
    <row r="169" spans="8:86" s="158" customFormat="1">
      <c r="H169" s="863"/>
      <c r="I169" s="864"/>
      <c r="J169" s="864"/>
      <c r="K169" s="863"/>
      <c r="N169" s="541"/>
      <c r="O169" s="542"/>
      <c r="P169" s="541"/>
      <c r="Q169" s="541"/>
      <c r="R169" s="541"/>
      <c r="S169" s="541"/>
      <c r="U169" s="543"/>
      <c r="AF169" s="543"/>
      <c r="AI169" s="541"/>
      <c r="AJ169" s="543"/>
      <c r="AK169" s="543"/>
      <c r="AM169" s="543"/>
      <c r="AO169" s="543"/>
      <c r="AV169" s="862"/>
      <c r="AW169" s="862"/>
      <c r="AX169" s="862"/>
      <c r="AY169" s="862"/>
      <c r="AZ169" s="862"/>
      <c r="BA169" s="862"/>
      <c r="BB169" s="541"/>
      <c r="BC169" s="541"/>
      <c r="BD169" s="541"/>
      <c r="BE169" s="541"/>
      <c r="BF169" s="541"/>
      <c r="BG169" s="541"/>
      <c r="BH169" s="861"/>
      <c r="BI169" s="861"/>
      <c r="BJ169" s="861"/>
      <c r="BK169" s="861"/>
      <c r="BL169" s="861"/>
      <c r="BN169" s="861"/>
      <c r="BO169" s="861"/>
      <c r="BP169" s="861"/>
      <c r="BQ169" s="861"/>
      <c r="BR169" s="861"/>
      <c r="BS169" s="861"/>
      <c r="BT169" s="861"/>
      <c r="BU169" s="861"/>
      <c r="BV169" s="861"/>
      <c r="BW169" s="861"/>
      <c r="BX169" s="861"/>
      <c r="BY169" s="861"/>
      <c r="BZ169" s="543"/>
      <c r="CA169" s="543"/>
      <c r="CB169" s="861"/>
      <c r="CC169" s="543"/>
      <c r="CD169" s="543"/>
      <c r="CE169" s="543"/>
      <c r="CF169" s="543"/>
      <c r="CG169" s="543"/>
      <c r="CH169" s="543"/>
    </row>
    <row r="170" spans="8:86" s="158" customFormat="1">
      <c r="H170" s="863"/>
      <c r="I170" s="864"/>
      <c r="J170" s="864"/>
      <c r="K170" s="863"/>
      <c r="N170" s="541"/>
      <c r="O170" s="542"/>
      <c r="P170" s="541"/>
      <c r="Q170" s="541"/>
      <c r="R170" s="541"/>
      <c r="S170" s="541"/>
      <c r="U170" s="543"/>
      <c r="AF170" s="543"/>
      <c r="AI170" s="541"/>
      <c r="AJ170" s="543"/>
      <c r="AK170" s="543"/>
      <c r="AM170" s="543"/>
      <c r="AO170" s="543"/>
      <c r="AV170" s="862"/>
      <c r="AW170" s="862"/>
      <c r="AX170" s="862"/>
      <c r="AY170" s="862"/>
      <c r="AZ170" s="862"/>
      <c r="BA170" s="862"/>
      <c r="BB170" s="541"/>
      <c r="BC170" s="541"/>
      <c r="BD170" s="541"/>
      <c r="BE170" s="541"/>
      <c r="BF170" s="541"/>
      <c r="BG170" s="541"/>
      <c r="BH170" s="861"/>
      <c r="BI170" s="861"/>
      <c r="BJ170" s="861"/>
      <c r="BK170" s="861"/>
      <c r="BL170" s="861"/>
      <c r="BN170" s="861"/>
      <c r="BO170" s="861"/>
      <c r="BP170" s="861"/>
      <c r="BQ170" s="861"/>
      <c r="BR170" s="861"/>
      <c r="BS170" s="861"/>
      <c r="BT170" s="861"/>
      <c r="BU170" s="861"/>
      <c r="BV170" s="861"/>
      <c r="BW170" s="861"/>
      <c r="BX170" s="861"/>
      <c r="BY170" s="861"/>
      <c r="BZ170" s="543"/>
      <c r="CA170" s="543"/>
      <c r="CB170" s="861"/>
      <c r="CC170" s="543"/>
      <c r="CD170" s="543"/>
      <c r="CE170" s="543"/>
      <c r="CF170" s="543"/>
      <c r="CG170" s="543"/>
      <c r="CH170" s="543"/>
    </row>
    <row r="171" spans="8:86" s="158" customFormat="1">
      <c r="H171" s="863"/>
      <c r="I171" s="864"/>
      <c r="J171" s="864"/>
      <c r="K171" s="863"/>
      <c r="N171" s="541"/>
      <c r="O171" s="542"/>
      <c r="P171" s="541"/>
      <c r="Q171" s="541"/>
      <c r="R171" s="541"/>
      <c r="S171" s="541"/>
      <c r="U171" s="543"/>
      <c r="AF171" s="543"/>
      <c r="AI171" s="541"/>
      <c r="AJ171" s="543"/>
      <c r="AK171" s="543"/>
      <c r="AM171" s="543"/>
      <c r="AO171" s="543"/>
      <c r="AV171" s="862"/>
      <c r="AW171" s="862"/>
      <c r="AX171" s="862"/>
      <c r="AY171" s="862"/>
      <c r="AZ171" s="862"/>
      <c r="BA171" s="862"/>
      <c r="BB171" s="541"/>
      <c r="BC171" s="541"/>
      <c r="BD171" s="541"/>
      <c r="BE171" s="541"/>
      <c r="BF171" s="541"/>
      <c r="BG171" s="541"/>
      <c r="BH171" s="861"/>
      <c r="BI171" s="861"/>
      <c r="BJ171" s="861"/>
      <c r="BK171" s="861"/>
      <c r="BL171" s="861"/>
      <c r="BN171" s="861"/>
      <c r="BO171" s="861"/>
      <c r="BP171" s="861"/>
      <c r="BQ171" s="861"/>
      <c r="BR171" s="861"/>
      <c r="BS171" s="861"/>
      <c r="BT171" s="861"/>
      <c r="BU171" s="861"/>
      <c r="BV171" s="861"/>
      <c r="BW171" s="861"/>
      <c r="BX171" s="861"/>
      <c r="BY171" s="861"/>
      <c r="BZ171" s="543"/>
      <c r="CA171" s="543"/>
      <c r="CB171" s="861"/>
      <c r="CC171" s="543"/>
      <c r="CD171" s="543"/>
      <c r="CE171" s="543"/>
      <c r="CF171" s="543"/>
      <c r="CG171" s="543"/>
      <c r="CH171" s="543"/>
    </row>
    <row r="172" spans="8:86" s="158" customFormat="1">
      <c r="H172" s="863"/>
      <c r="I172" s="864"/>
      <c r="J172" s="864"/>
      <c r="K172" s="863"/>
      <c r="N172" s="541"/>
      <c r="O172" s="542"/>
      <c r="P172" s="541"/>
      <c r="Q172" s="541"/>
      <c r="R172" s="541"/>
      <c r="S172" s="541"/>
      <c r="U172" s="543"/>
      <c r="AF172" s="543"/>
      <c r="AI172" s="541"/>
      <c r="AJ172" s="543"/>
      <c r="AK172" s="543"/>
      <c r="AM172" s="543"/>
      <c r="AO172" s="543"/>
      <c r="AV172" s="862"/>
      <c r="AW172" s="862"/>
      <c r="AX172" s="862"/>
      <c r="AY172" s="862"/>
      <c r="AZ172" s="862"/>
      <c r="BA172" s="862"/>
      <c r="BB172" s="541"/>
      <c r="BC172" s="541"/>
      <c r="BD172" s="541"/>
      <c r="BE172" s="541"/>
      <c r="BF172" s="541"/>
      <c r="BG172" s="541"/>
      <c r="BH172" s="861"/>
      <c r="BI172" s="861"/>
      <c r="BJ172" s="861"/>
      <c r="BK172" s="861"/>
      <c r="BL172" s="861"/>
      <c r="BN172" s="861"/>
      <c r="BO172" s="861"/>
      <c r="BP172" s="861"/>
      <c r="BQ172" s="861"/>
      <c r="BR172" s="861"/>
      <c r="BS172" s="861"/>
      <c r="BT172" s="861"/>
      <c r="BU172" s="861"/>
      <c r="BV172" s="861"/>
      <c r="BW172" s="861"/>
      <c r="BX172" s="861"/>
      <c r="BY172" s="861"/>
      <c r="BZ172" s="543"/>
      <c r="CA172" s="543"/>
      <c r="CB172" s="861"/>
      <c r="CC172" s="543"/>
      <c r="CD172" s="543"/>
      <c r="CE172" s="543"/>
      <c r="CF172" s="543"/>
      <c r="CG172" s="543"/>
      <c r="CH172" s="543"/>
    </row>
    <row r="173" spans="8:86" s="158" customFormat="1">
      <c r="H173" s="863"/>
      <c r="I173" s="864"/>
      <c r="J173" s="864"/>
      <c r="K173" s="863"/>
      <c r="N173" s="541"/>
      <c r="O173" s="542"/>
      <c r="P173" s="541"/>
      <c r="Q173" s="541"/>
      <c r="R173" s="541"/>
      <c r="S173" s="541"/>
      <c r="U173" s="543"/>
      <c r="AF173" s="543"/>
      <c r="AI173" s="541"/>
      <c r="AJ173" s="543"/>
      <c r="AK173" s="543"/>
      <c r="AM173" s="543"/>
      <c r="AO173" s="543"/>
      <c r="AV173" s="862"/>
      <c r="AW173" s="862"/>
      <c r="AX173" s="862"/>
      <c r="AY173" s="862"/>
      <c r="AZ173" s="862"/>
      <c r="BA173" s="862"/>
      <c r="BB173" s="541"/>
      <c r="BC173" s="541"/>
      <c r="BD173" s="541"/>
      <c r="BE173" s="541"/>
      <c r="BF173" s="541"/>
      <c r="BG173" s="541"/>
      <c r="BH173" s="861"/>
      <c r="BI173" s="861"/>
      <c r="BJ173" s="861"/>
      <c r="BK173" s="861"/>
      <c r="BL173" s="861"/>
      <c r="BN173" s="861"/>
      <c r="BO173" s="861"/>
      <c r="BP173" s="861"/>
      <c r="BQ173" s="861"/>
      <c r="BR173" s="861"/>
      <c r="BS173" s="861"/>
      <c r="BT173" s="861"/>
      <c r="BU173" s="861"/>
      <c r="BV173" s="861"/>
      <c r="BW173" s="861"/>
      <c r="BX173" s="861"/>
      <c r="BY173" s="861"/>
      <c r="BZ173" s="543"/>
      <c r="CA173" s="543"/>
      <c r="CB173" s="861"/>
      <c r="CC173" s="543"/>
      <c r="CD173" s="543"/>
      <c r="CE173" s="543"/>
      <c r="CF173" s="543"/>
      <c r="CG173" s="543"/>
      <c r="CH173" s="543"/>
    </row>
    <row r="174" spans="8:86" s="158" customFormat="1">
      <c r="H174" s="863"/>
      <c r="I174" s="864"/>
      <c r="J174" s="864"/>
      <c r="K174" s="863"/>
      <c r="N174" s="541"/>
      <c r="O174" s="542"/>
      <c r="P174" s="541"/>
      <c r="Q174" s="541"/>
      <c r="R174" s="541"/>
      <c r="S174" s="541"/>
      <c r="U174" s="543"/>
      <c r="AF174" s="543"/>
      <c r="AI174" s="541"/>
      <c r="AJ174" s="543"/>
      <c r="AK174" s="543"/>
      <c r="AM174" s="543"/>
      <c r="AO174" s="543"/>
      <c r="AV174" s="862"/>
      <c r="AW174" s="862"/>
      <c r="AX174" s="862"/>
      <c r="AY174" s="862"/>
      <c r="AZ174" s="862"/>
      <c r="BA174" s="862"/>
      <c r="BB174" s="541"/>
      <c r="BC174" s="541"/>
      <c r="BD174" s="541"/>
      <c r="BE174" s="541"/>
      <c r="BF174" s="541"/>
      <c r="BG174" s="541"/>
      <c r="BH174" s="861"/>
      <c r="BI174" s="861"/>
      <c r="BJ174" s="861"/>
      <c r="BK174" s="861"/>
      <c r="BL174" s="861"/>
      <c r="BN174" s="861"/>
      <c r="BO174" s="861"/>
      <c r="BP174" s="861"/>
      <c r="BQ174" s="861"/>
      <c r="BR174" s="861"/>
      <c r="BS174" s="861"/>
      <c r="BT174" s="861"/>
      <c r="BU174" s="861"/>
      <c r="BV174" s="861"/>
      <c r="BW174" s="861"/>
      <c r="BX174" s="861"/>
      <c r="BY174" s="861"/>
      <c r="BZ174" s="543"/>
      <c r="CA174" s="543"/>
      <c r="CB174" s="861"/>
      <c r="CC174" s="543"/>
      <c r="CD174" s="543"/>
      <c r="CE174" s="543"/>
      <c r="CF174" s="543"/>
      <c r="CG174" s="543"/>
      <c r="CH174" s="543"/>
    </row>
    <row r="175" spans="8:86" s="158" customFormat="1">
      <c r="H175" s="863"/>
      <c r="I175" s="864"/>
      <c r="J175" s="864"/>
      <c r="K175" s="863"/>
      <c r="N175" s="541"/>
      <c r="O175" s="542"/>
      <c r="P175" s="541"/>
      <c r="Q175" s="541"/>
      <c r="R175" s="541"/>
      <c r="S175" s="541"/>
      <c r="U175" s="543"/>
      <c r="AF175" s="543"/>
      <c r="AI175" s="541"/>
      <c r="AJ175" s="543"/>
      <c r="AK175" s="543"/>
      <c r="AM175" s="543"/>
      <c r="AO175" s="543"/>
      <c r="AV175" s="862"/>
      <c r="AW175" s="862"/>
      <c r="AX175" s="862"/>
      <c r="AY175" s="862"/>
      <c r="AZ175" s="862"/>
      <c r="BA175" s="862"/>
      <c r="BB175" s="541"/>
      <c r="BC175" s="541"/>
      <c r="BD175" s="541"/>
      <c r="BE175" s="541"/>
      <c r="BF175" s="541"/>
      <c r="BG175" s="541"/>
      <c r="BH175" s="861"/>
      <c r="BI175" s="861"/>
      <c r="BJ175" s="861"/>
      <c r="BK175" s="861"/>
      <c r="BL175" s="861"/>
      <c r="BN175" s="861"/>
      <c r="BO175" s="861"/>
      <c r="BP175" s="861"/>
      <c r="BQ175" s="861"/>
      <c r="BR175" s="861"/>
      <c r="BS175" s="861"/>
      <c r="BT175" s="861"/>
      <c r="BU175" s="861"/>
      <c r="BV175" s="861"/>
      <c r="BW175" s="861"/>
      <c r="BX175" s="861"/>
      <c r="BY175" s="861"/>
      <c r="BZ175" s="543"/>
      <c r="CA175" s="543"/>
      <c r="CB175" s="861"/>
      <c r="CC175" s="543"/>
      <c r="CD175" s="543"/>
      <c r="CE175" s="543"/>
      <c r="CF175" s="543"/>
      <c r="CG175" s="543"/>
      <c r="CH175" s="543"/>
    </row>
    <row r="176" spans="8:86" s="158" customFormat="1">
      <c r="H176" s="863"/>
      <c r="I176" s="864"/>
      <c r="J176" s="864"/>
      <c r="K176" s="863"/>
      <c r="N176" s="541"/>
      <c r="O176" s="542"/>
      <c r="P176" s="541"/>
      <c r="Q176" s="541"/>
      <c r="R176" s="541"/>
      <c r="S176" s="541"/>
      <c r="U176" s="543"/>
      <c r="AF176" s="543"/>
      <c r="AI176" s="541"/>
      <c r="AJ176" s="543"/>
      <c r="AK176" s="543"/>
      <c r="AM176" s="543"/>
      <c r="AO176" s="543"/>
      <c r="AV176" s="862"/>
      <c r="AW176" s="862"/>
      <c r="AX176" s="862"/>
      <c r="AY176" s="862"/>
      <c r="AZ176" s="862"/>
      <c r="BA176" s="862"/>
      <c r="BB176" s="541"/>
      <c r="BC176" s="541"/>
      <c r="BD176" s="541"/>
      <c r="BE176" s="541"/>
      <c r="BF176" s="541"/>
      <c r="BG176" s="541"/>
      <c r="BH176" s="861"/>
      <c r="BI176" s="861"/>
      <c r="BJ176" s="861"/>
      <c r="BK176" s="861"/>
      <c r="BL176" s="861"/>
      <c r="BN176" s="861"/>
      <c r="BO176" s="861"/>
      <c r="BP176" s="861"/>
      <c r="BQ176" s="861"/>
      <c r="BR176" s="861"/>
      <c r="BS176" s="861"/>
      <c r="BT176" s="861"/>
      <c r="BU176" s="861"/>
      <c r="BV176" s="861"/>
      <c r="BW176" s="861"/>
      <c r="BX176" s="861"/>
      <c r="BY176" s="861"/>
      <c r="BZ176" s="543"/>
      <c r="CA176" s="543"/>
      <c r="CB176" s="861"/>
      <c r="CC176" s="543"/>
      <c r="CD176" s="543"/>
      <c r="CE176" s="543"/>
      <c r="CF176" s="543"/>
      <c r="CG176" s="543"/>
      <c r="CH176" s="543"/>
    </row>
    <row r="177" spans="4:86" s="158" customFormat="1">
      <c r="H177" s="863"/>
      <c r="I177" s="864"/>
      <c r="J177" s="864"/>
      <c r="K177" s="863"/>
      <c r="N177" s="541"/>
      <c r="O177" s="542"/>
      <c r="P177" s="541"/>
      <c r="Q177" s="541"/>
      <c r="R177" s="541"/>
      <c r="S177" s="541"/>
      <c r="U177" s="543"/>
      <c r="AF177" s="543"/>
      <c r="AI177" s="541"/>
      <c r="AJ177" s="543"/>
      <c r="AK177" s="543"/>
      <c r="AM177" s="543"/>
      <c r="AO177" s="543"/>
      <c r="AV177" s="862"/>
      <c r="AW177" s="862"/>
      <c r="AX177" s="862"/>
      <c r="AY177" s="862"/>
      <c r="AZ177" s="862"/>
      <c r="BA177" s="862"/>
      <c r="BB177" s="541"/>
      <c r="BC177" s="541"/>
      <c r="BD177" s="541"/>
      <c r="BE177" s="541"/>
      <c r="BF177" s="541"/>
      <c r="BG177" s="541"/>
      <c r="BH177" s="861"/>
      <c r="BI177" s="861"/>
      <c r="BJ177" s="861"/>
      <c r="BK177" s="861"/>
      <c r="BL177" s="861"/>
      <c r="BN177" s="861"/>
      <c r="BO177" s="861"/>
      <c r="BP177" s="861"/>
      <c r="BQ177" s="861"/>
      <c r="BR177" s="861"/>
      <c r="BS177" s="861"/>
      <c r="BT177" s="861"/>
      <c r="BU177" s="861"/>
      <c r="BV177" s="861"/>
      <c r="BW177" s="861"/>
      <c r="BX177" s="861"/>
      <c r="BY177" s="861"/>
      <c r="BZ177" s="543"/>
      <c r="CA177" s="543"/>
      <c r="CB177" s="861"/>
      <c r="CC177" s="543"/>
      <c r="CD177" s="543"/>
      <c r="CE177" s="543"/>
      <c r="CF177" s="543"/>
      <c r="CG177" s="543"/>
      <c r="CH177" s="543"/>
    </row>
    <row r="178" spans="4:86" s="158" customFormat="1">
      <c r="H178" s="863"/>
      <c r="I178" s="864"/>
      <c r="J178" s="864"/>
      <c r="K178" s="863"/>
      <c r="N178" s="541"/>
      <c r="O178" s="542"/>
      <c r="P178" s="541"/>
      <c r="Q178" s="541"/>
      <c r="R178" s="541"/>
      <c r="S178" s="541"/>
      <c r="U178" s="543"/>
      <c r="AF178" s="543"/>
      <c r="AI178" s="541"/>
      <c r="AJ178" s="543"/>
      <c r="AK178" s="543"/>
      <c r="AM178" s="543"/>
      <c r="AO178" s="543"/>
      <c r="AV178" s="862"/>
      <c r="AW178" s="862"/>
      <c r="AX178" s="862"/>
      <c r="AY178" s="862"/>
      <c r="AZ178" s="862"/>
      <c r="BA178" s="862"/>
      <c r="BB178" s="541"/>
      <c r="BC178" s="541"/>
      <c r="BD178" s="541"/>
      <c r="BE178" s="541"/>
      <c r="BF178" s="541"/>
      <c r="BG178" s="541"/>
      <c r="BH178" s="861"/>
      <c r="BI178" s="861"/>
      <c r="BJ178" s="861"/>
      <c r="BK178" s="861"/>
      <c r="BL178" s="861"/>
      <c r="BN178" s="861"/>
      <c r="BO178" s="861"/>
      <c r="BP178" s="861"/>
      <c r="BQ178" s="861"/>
      <c r="BR178" s="861"/>
      <c r="BS178" s="861"/>
      <c r="BT178" s="861"/>
      <c r="BU178" s="861"/>
      <c r="BV178" s="861"/>
      <c r="BW178" s="861"/>
      <c r="BX178" s="861"/>
      <c r="BY178" s="861"/>
      <c r="BZ178" s="543"/>
      <c r="CA178" s="543"/>
      <c r="CB178" s="861"/>
      <c r="CC178" s="543"/>
      <c r="CD178" s="543"/>
      <c r="CE178" s="543"/>
      <c r="CF178" s="543"/>
      <c r="CG178" s="543"/>
      <c r="CH178" s="543"/>
    </row>
    <row r="179" spans="4:86" s="158" customFormat="1">
      <c r="H179" s="863"/>
      <c r="I179" s="864"/>
      <c r="J179" s="864"/>
      <c r="K179" s="863"/>
      <c r="N179" s="541"/>
      <c r="O179" s="542"/>
      <c r="P179" s="541"/>
      <c r="Q179" s="541"/>
      <c r="R179" s="541"/>
      <c r="S179" s="541"/>
      <c r="U179" s="543"/>
      <c r="AF179" s="543"/>
      <c r="AI179" s="541"/>
      <c r="AJ179" s="543"/>
      <c r="AK179" s="543"/>
      <c r="AM179" s="543"/>
      <c r="AO179" s="543"/>
      <c r="AV179" s="862"/>
      <c r="AW179" s="862"/>
      <c r="AX179" s="862"/>
      <c r="AY179" s="862"/>
      <c r="AZ179" s="862"/>
      <c r="BA179" s="862"/>
      <c r="BB179" s="541"/>
      <c r="BC179" s="541"/>
      <c r="BD179" s="541"/>
      <c r="BE179" s="541"/>
      <c r="BF179" s="541"/>
      <c r="BG179" s="541"/>
      <c r="BH179" s="861"/>
      <c r="BI179" s="861"/>
      <c r="BJ179" s="861"/>
      <c r="BK179" s="861"/>
      <c r="BL179" s="861"/>
      <c r="BN179" s="861"/>
      <c r="BO179" s="861"/>
      <c r="BP179" s="861"/>
      <c r="BQ179" s="861"/>
      <c r="BR179" s="861"/>
      <c r="BS179" s="861"/>
      <c r="BT179" s="861"/>
      <c r="BU179" s="861"/>
      <c r="BV179" s="861"/>
      <c r="BW179" s="861"/>
      <c r="BX179" s="861"/>
      <c r="BY179" s="861"/>
      <c r="BZ179" s="543"/>
      <c r="CA179" s="543"/>
      <c r="CB179" s="861"/>
      <c r="CC179" s="543"/>
      <c r="CD179" s="543"/>
      <c r="CE179" s="543"/>
      <c r="CF179" s="543"/>
      <c r="CG179" s="543"/>
      <c r="CH179" s="543"/>
    </row>
    <row r="180" spans="4:86" s="158" customFormat="1">
      <c r="H180" s="863"/>
      <c r="I180" s="864"/>
      <c r="J180" s="864"/>
      <c r="K180" s="863"/>
      <c r="N180" s="541"/>
      <c r="O180" s="542"/>
      <c r="P180" s="541"/>
      <c r="Q180" s="541"/>
      <c r="R180" s="541"/>
      <c r="S180" s="541"/>
      <c r="U180" s="543"/>
      <c r="AF180" s="543"/>
      <c r="AI180" s="541"/>
      <c r="AJ180" s="543"/>
      <c r="AK180" s="543"/>
      <c r="AM180" s="543"/>
      <c r="AO180" s="543"/>
      <c r="AV180" s="862"/>
      <c r="AW180" s="862"/>
      <c r="AX180" s="862"/>
      <c r="AY180" s="862"/>
      <c r="AZ180" s="862"/>
      <c r="BA180" s="862"/>
      <c r="BB180" s="541"/>
      <c r="BC180" s="541"/>
      <c r="BD180" s="541"/>
      <c r="BE180" s="541"/>
      <c r="BF180" s="541"/>
      <c r="BG180" s="541"/>
      <c r="BH180" s="861"/>
      <c r="BI180" s="861"/>
      <c r="BJ180" s="861"/>
      <c r="BK180" s="861"/>
      <c r="BL180" s="861"/>
      <c r="BN180" s="861"/>
      <c r="BO180" s="861"/>
      <c r="BP180" s="861"/>
      <c r="BQ180" s="861"/>
      <c r="BR180" s="861"/>
      <c r="BS180" s="861"/>
      <c r="BT180" s="861"/>
      <c r="BU180" s="861"/>
      <c r="BV180" s="861"/>
      <c r="BW180" s="861"/>
      <c r="BX180" s="861"/>
      <c r="BY180" s="861"/>
      <c r="BZ180" s="543"/>
      <c r="CA180" s="543"/>
      <c r="CB180" s="861"/>
      <c r="CC180" s="543"/>
      <c r="CD180" s="543"/>
      <c r="CE180" s="543"/>
      <c r="CF180" s="543"/>
      <c r="CG180" s="543"/>
      <c r="CH180" s="543"/>
    </row>
    <row r="181" spans="4:86" s="158" customFormat="1">
      <c r="H181" s="863"/>
      <c r="I181" s="864"/>
      <c r="J181" s="864"/>
      <c r="K181" s="863"/>
      <c r="N181" s="541"/>
      <c r="O181" s="542"/>
      <c r="P181" s="541"/>
      <c r="Q181" s="541"/>
      <c r="R181" s="541"/>
      <c r="S181" s="541"/>
      <c r="U181" s="543"/>
      <c r="AF181" s="543"/>
      <c r="AI181" s="541"/>
      <c r="AJ181" s="543"/>
      <c r="AK181" s="543"/>
      <c r="AM181" s="543"/>
      <c r="AO181" s="543"/>
      <c r="AV181" s="862"/>
      <c r="AW181" s="862"/>
      <c r="AX181" s="862"/>
      <c r="AY181" s="862"/>
      <c r="AZ181" s="862"/>
      <c r="BA181" s="862"/>
      <c r="BB181" s="541"/>
      <c r="BC181" s="541"/>
      <c r="BD181" s="541"/>
      <c r="BE181" s="541"/>
      <c r="BF181" s="541"/>
      <c r="BG181" s="541"/>
      <c r="BH181" s="861"/>
      <c r="BI181" s="861"/>
      <c r="BJ181" s="861"/>
      <c r="BK181" s="861"/>
      <c r="BL181" s="861"/>
      <c r="BN181" s="861"/>
      <c r="BO181" s="861"/>
      <c r="BP181" s="861"/>
      <c r="BQ181" s="861"/>
      <c r="BR181" s="861"/>
      <c r="BS181" s="861"/>
      <c r="BT181" s="861"/>
      <c r="BU181" s="861"/>
      <c r="BV181" s="861"/>
      <c r="BW181" s="861"/>
      <c r="BX181" s="861"/>
      <c r="BY181" s="861"/>
      <c r="BZ181" s="543"/>
      <c r="CA181" s="543"/>
      <c r="CB181" s="861"/>
      <c r="CC181" s="543"/>
      <c r="CD181" s="543"/>
      <c r="CE181" s="543"/>
      <c r="CF181" s="543"/>
      <c r="CG181" s="543"/>
      <c r="CH181" s="543"/>
    </row>
    <row r="182" spans="4:86" s="158" customFormat="1">
      <c r="H182" s="863"/>
      <c r="I182" s="864"/>
      <c r="J182" s="864"/>
      <c r="K182" s="863"/>
      <c r="N182" s="541"/>
      <c r="O182" s="542"/>
      <c r="P182" s="541"/>
      <c r="Q182" s="541"/>
      <c r="R182" s="541"/>
      <c r="S182" s="541"/>
      <c r="U182" s="543"/>
      <c r="AF182" s="543"/>
      <c r="AI182" s="541"/>
      <c r="AJ182" s="543"/>
      <c r="AK182" s="543"/>
      <c r="AM182" s="543"/>
      <c r="AO182" s="543"/>
      <c r="AV182" s="862"/>
      <c r="AW182" s="862"/>
      <c r="AX182" s="862"/>
      <c r="AY182" s="862"/>
      <c r="AZ182" s="862"/>
      <c r="BA182" s="862"/>
      <c r="BB182" s="541"/>
      <c r="BC182" s="541"/>
      <c r="BD182" s="541"/>
      <c r="BE182" s="541"/>
      <c r="BF182" s="541"/>
      <c r="BG182" s="541"/>
      <c r="BH182" s="861"/>
      <c r="BI182" s="861"/>
      <c r="BJ182" s="861"/>
      <c r="BK182" s="861"/>
      <c r="BL182" s="861"/>
      <c r="BN182" s="861"/>
      <c r="BO182" s="861"/>
      <c r="BP182" s="861"/>
      <c r="BQ182" s="861"/>
      <c r="BR182" s="861"/>
      <c r="BS182" s="861"/>
      <c r="BT182" s="861"/>
      <c r="BU182" s="861"/>
      <c r="BV182" s="861"/>
      <c r="BW182" s="861"/>
      <c r="BX182" s="861"/>
      <c r="BY182" s="861"/>
      <c r="BZ182" s="543"/>
      <c r="CA182" s="543"/>
      <c r="CB182" s="861"/>
      <c r="CC182" s="543"/>
      <c r="CD182" s="543"/>
      <c r="CE182" s="543"/>
      <c r="CF182" s="543"/>
      <c r="CG182" s="543"/>
      <c r="CH182" s="543"/>
    </row>
    <row r="183" spans="4:86" s="158" customFormat="1">
      <c r="H183" s="863"/>
      <c r="I183" s="864"/>
      <c r="J183" s="864"/>
      <c r="K183" s="863"/>
      <c r="N183" s="541"/>
      <c r="O183" s="542"/>
      <c r="P183" s="541"/>
      <c r="Q183" s="541"/>
      <c r="R183" s="541"/>
      <c r="S183" s="541"/>
      <c r="U183" s="543"/>
      <c r="AF183" s="543"/>
      <c r="AI183" s="541"/>
      <c r="AJ183" s="543"/>
      <c r="AK183" s="543"/>
      <c r="AM183" s="543"/>
      <c r="AO183" s="543"/>
      <c r="AV183" s="862"/>
      <c r="AW183" s="862"/>
      <c r="AX183" s="862"/>
      <c r="AY183" s="862"/>
      <c r="AZ183" s="862"/>
      <c r="BA183" s="862"/>
      <c r="BB183" s="541"/>
      <c r="BC183" s="541"/>
      <c r="BD183" s="541"/>
      <c r="BE183" s="541"/>
      <c r="BF183" s="541"/>
      <c r="BG183" s="541"/>
      <c r="BH183" s="861"/>
      <c r="BI183" s="861"/>
      <c r="BJ183" s="861"/>
      <c r="BK183" s="861"/>
      <c r="BL183" s="861"/>
      <c r="BN183" s="861"/>
      <c r="BO183" s="861"/>
      <c r="BP183" s="861"/>
      <c r="BQ183" s="861"/>
      <c r="BR183" s="861"/>
      <c r="BS183" s="861"/>
      <c r="BT183" s="861"/>
      <c r="BU183" s="861"/>
      <c r="BV183" s="861"/>
      <c r="BW183" s="861"/>
      <c r="BX183" s="861"/>
      <c r="BY183" s="861"/>
      <c r="BZ183" s="543"/>
      <c r="CA183" s="543"/>
      <c r="CB183" s="861"/>
      <c r="CC183" s="543"/>
      <c r="CD183" s="543"/>
      <c r="CE183" s="543"/>
      <c r="CF183" s="543"/>
      <c r="CG183" s="543"/>
      <c r="CH183" s="543"/>
    </row>
    <row r="184" spans="4:86" s="158" customFormat="1">
      <c r="H184" s="863"/>
      <c r="I184" s="864"/>
      <c r="J184" s="864"/>
      <c r="K184" s="863"/>
      <c r="N184" s="541"/>
      <c r="O184" s="542"/>
      <c r="P184" s="541"/>
      <c r="Q184" s="541"/>
      <c r="R184" s="541"/>
      <c r="S184" s="541"/>
      <c r="U184" s="543"/>
      <c r="AF184" s="543"/>
      <c r="AI184" s="541"/>
      <c r="AJ184" s="543"/>
      <c r="AK184" s="543"/>
      <c r="AM184" s="543"/>
      <c r="AO184" s="543"/>
      <c r="AV184" s="862"/>
      <c r="AW184" s="862"/>
      <c r="AX184" s="862"/>
      <c r="AY184" s="862"/>
      <c r="AZ184" s="862"/>
      <c r="BA184" s="862"/>
      <c r="BB184" s="541"/>
      <c r="BC184" s="541"/>
      <c r="BD184" s="541"/>
      <c r="BE184" s="541"/>
      <c r="BF184" s="541"/>
      <c r="BG184" s="541"/>
      <c r="BH184" s="861"/>
      <c r="BI184" s="861"/>
      <c r="BJ184" s="861"/>
      <c r="BK184" s="861"/>
      <c r="BL184" s="861"/>
      <c r="BN184" s="861"/>
      <c r="BO184" s="861"/>
      <c r="BP184" s="861"/>
      <c r="BQ184" s="861"/>
      <c r="BR184" s="861"/>
      <c r="BS184" s="861"/>
      <c r="BT184" s="861"/>
      <c r="BU184" s="861"/>
      <c r="BV184" s="861"/>
      <c r="BW184" s="861"/>
      <c r="BX184" s="861"/>
      <c r="BY184" s="861"/>
      <c r="BZ184" s="543"/>
      <c r="CA184" s="543"/>
      <c r="CB184" s="861"/>
      <c r="CC184" s="543"/>
      <c r="CD184" s="543"/>
      <c r="CE184" s="543"/>
      <c r="CF184" s="543"/>
      <c r="CG184" s="543"/>
      <c r="CH184" s="543"/>
    </row>
    <row r="185" spans="4:86" s="158" customFormat="1">
      <c r="H185" s="863"/>
      <c r="I185" s="864"/>
      <c r="J185" s="864"/>
      <c r="K185" s="863"/>
      <c r="N185" s="541"/>
      <c r="O185" s="542"/>
      <c r="P185" s="541"/>
      <c r="Q185" s="541"/>
      <c r="R185" s="541"/>
      <c r="S185" s="541"/>
      <c r="U185" s="543"/>
      <c r="AF185" s="543"/>
      <c r="AI185" s="541"/>
      <c r="AJ185" s="543"/>
      <c r="AK185" s="543"/>
      <c r="AM185" s="543"/>
      <c r="AO185" s="543"/>
      <c r="AV185" s="862"/>
      <c r="AW185" s="862"/>
      <c r="AX185" s="862"/>
      <c r="AY185" s="862"/>
      <c r="AZ185" s="862"/>
      <c r="BA185" s="862"/>
      <c r="BB185" s="541"/>
      <c r="BC185" s="541"/>
      <c r="BD185" s="541"/>
      <c r="BE185" s="541"/>
      <c r="BF185" s="541"/>
      <c r="BG185" s="541"/>
      <c r="BH185" s="861"/>
      <c r="BI185" s="861"/>
      <c r="BJ185" s="861"/>
      <c r="BK185" s="861"/>
      <c r="BL185" s="861"/>
      <c r="BN185" s="861"/>
      <c r="BO185" s="861"/>
      <c r="BP185" s="861"/>
      <c r="BQ185" s="861"/>
      <c r="BR185" s="861"/>
      <c r="BS185" s="861"/>
      <c r="BT185" s="861"/>
      <c r="BU185" s="861"/>
      <c r="BV185" s="861"/>
      <c r="BW185" s="861"/>
      <c r="BX185" s="861"/>
      <c r="BY185" s="861"/>
      <c r="BZ185" s="543"/>
      <c r="CA185" s="543"/>
      <c r="CB185" s="861"/>
      <c r="CC185" s="543"/>
      <c r="CD185" s="543"/>
      <c r="CE185" s="543"/>
      <c r="CF185" s="543"/>
      <c r="CG185" s="543"/>
      <c r="CH185" s="543"/>
    </row>
    <row r="186" spans="4:86" s="158" customFormat="1">
      <c r="H186" s="863"/>
      <c r="I186" s="864"/>
      <c r="J186" s="864"/>
      <c r="K186" s="863"/>
      <c r="N186" s="541"/>
      <c r="O186" s="542"/>
      <c r="P186" s="541"/>
      <c r="Q186" s="541"/>
      <c r="R186" s="541"/>
      <c r="S186" s="541"/>
      <c r="U186" s="543"/>
      <c r="AF186" s="543"/>
      <c r="AI186" s="541"/>
      <c r="AJ186" s="543"/>
      <c r="AK186" s="543"/>
      <c r="AM186" s="543"/>
      <c r="AO186" s="543"/>
      <c r="AV186" s="862"/>
      <c r="AW186" s="862"/>
      <c r="AX186" s="862"/>
      <c r="AY186" s="862"/>
      <c r="AZ186" s="862"/>
      <c r="BA186" s="862"/>
      <c r="BB186" s="541"/>
      <c r="BC186" s="541"/>
      <c r="BD186" s="541"/>
      <c r="BE186" s="541"/>
      <c r="BF186" s="541"/>
      <c r="BG186" s="541"/>
      <c r="BH186" s="861"/>
      <c r="BI186" s="861"/>
      <c r="BJ186" s="861"/>
      <c r="BK186" s="861"/>
      <c r="BL186" s="861"/>
      <c r="BN186" s="861"/>
      <c r="BO186" s="861"/>
      <c r="BP186" s="861"/>
      <c r="BQ186" s="861"/>
      <c r="BR186" s="861"/>
      <c r="BS186" s="861"/>
      <c r="BT186" s="861"/>
      <c r="BU186" s="861"/>
      <c r="BV186" s="861"/>
      <c r="BW186" s="861"/>
      <c r="BX186" s="861"/>
      <c r="BY186" s="861"/>
      <c r="BZ186" s="543"/>
      <c r="CA186" s="543"/>
      <c r="CB186" s="861"/>
      <c r="CC186" s="543"/>
      <c r="CD186" s="543"/>
      <c r="CE186" s="543"/>
      <c r="CF186" s="543"/>
      <c r="CG186" s="543"/>
      <c r="CH186" s="543"/>
    </row>
    <row r="187" spans="4:86" s="158" customFormat="1">
      <c r="H187" s="863"/>
      <c r="I187" s="864"/>
      <c r="J187" s="864"/>
      <c r="K187" s="863"/>
      <c r="N187" s="541"/>
      <c r="O187" s="542"/>
      <c r="P187" s="541"/>
      <c r="Q187" s="541"/>
      <c r="R187" s="541"/>
      <c r="S187" s="541"/>
      <c r="U187" s="543"/>
      <c r="AF187" s="543"/>
      <c r="AI187" s="541"/>
      <c r="AJ187" s="543"/>
      <c r="AK187" s="543"/>
      <c r="AM187" s="543"/>
      <c r="AO187" s="543"/>
      <c r="AV187" s="862"/>
      <c r="AW187" s="862"/>
      <c r="AX187" s="862"/>
      <c r="AY187" s="862"/>
      <c r="AZ187" s="862"/>
      <c r="BA187" s="862"/>
      <c r="BB187" s="541"/>
      <c r="BC187" s="541"/>
      <c r="BD187" s="541"/>
      <c r="BE187" s="541"/>
      <c r="BF187" s="541"/>
      <c r="BG187" s="541"/>
      <c r="BH187" s="861"/>
      <c r="BI187" s="861"/>
      <c r="BJ187" s="861"/>
      <c r="BK187" s="861"/>
      <c r="BL187" s="861"/>
      <c r="BN187" s="861"/>
      <c r="BO187" s="861"/>
      <c r="BP187" s="861"/>
      <c r="BQ187" s="861"/>
      <c r="BR187" s="861"/>
      <c r="BS187" s="861"/>
      <c r="BT187" s="861"/>
      <c r="BU187" s="861"/>
      <c r="BV187" s="861"/>
      <c r="BW187" s="861"/>
      <c r="BX187" s="861"/>
      <c r="BY187" s="861"/>
      <c r="BZ187" s="543"/>
      <c r="CA187" s="543"/>
      <c r="CB187" s="861"/>
      <c r="CC187" s="543"/>
      <c r="CD187" s="543"/>
      <c r="CE187" s="543"/>
      <c r="CF187" s="543"/>
      <c r="CG187" s="543"/>
      <c r="CH187" s="543"/>
    </row>
    <row r="188" spans="4:86" s="158" customFormat="1">
      <c r="H188" s="863"/>
      <c r="I188" s="864"/>
      <c r="J188" s="864"/>
      <c r="K188" s="863"/>
      <c r="N188" s="541"/>
      <c r="O188" s="542"/>
      <c r="P188" s="541"/>
      <c r="Q188" s="541"/>
      <c r="R188" s="541"/>
      <c r="S188" s="541"/>
      <c r="U188" s="543"/>
      <c r="AF188" s="543"/>
      <c r="AI188" s="541"/>
      <c r="AJ188" s="543"/>
      <c r="AK188" s="543"/>
      <c r="AM188" s="543"/>
      <c r="AO188" s="543"/>
      <c r="AV188" s="862"/>
      <c r="AW188" s="862"/>
      <c r="AX188" s="862"/>
      <c r="AY188" s="862"/>
      <c r="AZ188" s="862"/>
      <c r="BA188" s="862"/>
      <c r="BB188" s="541"/>
      <c r="BC188" s="541"/>
      <c r="BD188" s="541"/>
      <c r="BE188" s="541"/>
      <c r="BF188" s="541"/>
      <c r="BG188" s="541"/>
      <c r="BH188" s="861"/>
      <c r="BI188" s="861"/>
      <c r="BJ188" s="861"/>
      <c r="BK188" s="861"/>
      <c r="BL188" s="861"/>
      <c r="BN188" s="861"/>
      <c r="BO188" s="861"/>
      <c r="BP188" s="861"/>
      <c r="BQ188" s="861"/>
      <c r="BR188" s="861"/>
      <c r="BS188" s="861"/>
      <c r="BT188" s="861"/>
      <c r="BU188" s="861"/>
      <c r="BV188" s="861"/>
      <c r="BW188" s="861"/>
      <c r="BX188" s="861"/>
      <c r="BY188" s="861"/>
      <c r="BZ188" s="543"/>
      <c r="CA188" s="543"/>
      <c r="CB188" s="861"/>
      <c r="CC188" s="543"/>
      <c r="CD188" s="543"/>
      <c r="CE188" s="543"/>
      <c r="CF188" s="543"/>
      <c r="CG188" s="543"/>
      <c r="CH188" s="543"/>
    </row>
    <row r="189" spans="4:86" s="158" customFormat="1">
      <c r="H189" s="863"/>
      <c r="I189" s="864"/>
      <c r="J189" s="864"/>
      <c r="K189" s="863"/>
      <c r="N189" s="541"/>
      <c r="O189" s="542"/>
      <c r="P189" s="541"/>
      <c r="Q189" s="541"/>
      <c r="R189" s="541"/>
      <c r="S189" s="541"/>
      <c r="U189" s="543"/>
      <c r="AF189" s="543"/>
      <c r="AI189" s="541"/>
      <c r="AJ189" s="543"/>
      <c r="AK189" s="543"/>
      <c r="AM189" s="543"/>
      <c r="AO189" s="543"/>
      <c r="AV189" s="862"/>
      <c r="AW189" s="862"/>
      <c r="AX189" s="862"/>
      <c r="AY189" s="862"/>
      <c r="AZ189" s="862"/>
      <c r="BA189" s="862"/>
      <c r="BB189" s="541"/>
      <c r="BC189" s="541"/>
      <c r="BD189" s="541"/>
      <c r="BE189" s="541"/>
      <c r="BF189" s="541"/>
      <c r="BG189" s="541"/>
      <c r="BH189" s="861"/>
      <c r="BI189" s="861"/>
      <c r="BJ189" s="861"/>
      <c r="BK189" s="861"/>
      <c r="BL189" s="861"/>
      <c r="BN189" s="861"/>
      <c r="BO189" s="861"/>
      <c r="BP189" s="861"/>
      <c r="BQ189" s="861"/>
      <c r="BR189" s="861"/>
      <c r="BS189" s="861"/>
      <c r="BT189" s="861"/>
      <c r="BU189" s="861"/>
      <c r="BV189" s="861"/>
      <c r="BW189" s="861"/>
      <c r="BX189" s="861"/>
      <c r="BY189" s="861"/>
      <c r="BZ189" s="543"/>
      <c r="CA189" s="543"/>
      <c r="CB189" s="861"/>
      <c r="CC189" s="543"/>
      <c r="CD189" s="543"/>
      <c r="CE189" s="543"/>
      <c r="CF189" s="543"/>
      <c r="CG189" s="543"/>
      <c r="CH189" s="543"/>
    </row>
    <row r="190" spans="4:86" s="158" customFormat="1">
      <c r="H190" s="863"/>
      <c r="I190" s="864"/>
      <c r="J190" s="864"/>
      <c r="K190" s="863"/>
      <c r="N190" s="541"/>
      <c r="O190" s="542"/>
      <c r="P190" s="541"/>
      <c r="Q190" s="541"/>
      <c r="R190" s="541"/>
      <c r="S190" s="541"/>
      <c r="U190" s="543"/>
      <c r="AF190" s="543"/>
      <c r="AI190" s="541"/>
      <c r="AJ190" s="543"/>
      <c r="AK190" s="543"/>
      <c r="AM190" s="543"/>
      <c r="AO190" s="543"/>
      <c r="AV190" s="862"/>
      <c r="AW190" s="862"/>
      <c r="AX190" s="862"/>
      <c r="AY190" s="862"/>
      <c r="AZ190" s="862"/>
      <c r="BA190" s="862"/>
      <c r="BB190" s="541"/>
      <c r="BC190" s="541"/>
      <c r="BD190" s="541"/>
      <c r="BE190" s="541"/>
      <c r="BF190" s="541"/>
      <c r="BG190" s="541"/>
      <c r="BH190" s="861"/>
      <c r="BI190" s="861"/>
      <c r="BJ190" s="861"/>
      <c r="BK190" s="861"/>
      <c r="BL190" s="861"/>
      <c r="BN190" s="861"/>
      <c r="BO190" s="861"/>
      <c r="BP190" s="861"/>
      <c r="BQ190" s="861"/>
      <c r="BR190" s="861"/>
      <c r="BS190" s="861"/>
      <c r="BT190" s="861"/>
      <c r="BU190" s="861"/>
      <c r="BV190" s="861"/>
      <c r="BW190" s="861"/>
      <c r="BX190" s="861"/>
      <c r="BY190" s="861"/>
      <c r="BZ190" s="543"/>
      <c r="CA190" s="543"/>
      <c r="CB190" s="861"/>
      <c r="CC190" s="543"/>
      <c r="CD190" s="543"/>
      <c r="CE190" s="543"/>
      <c r="CF190" s="543"/>
      <c r="CG190" s="543"/>
      <c r="CH190" s="543"/>
    </row>
    <row r="191" spans="4:86">
      <c r="D191" s="158"/>
    </row>
  </sheetData>
  <mergeCells count="14">
    <mergeCell ref="BT7:BY7"/>
    <mergeCell ref="BZ7:CH7"/>
    <mergeCell ref="AL7:AO7"/>
    <mergeCell ref="AP7:AU7"/>
    <mergeCell ref="AV7:BA7"/>
    <mergeCell ref="BB7:BG7"/>
    <mergeCell ref="BH7:BM7"/>
    <mergeCell ref="BN7:BS7"/>
    <mergeCell ref="AI7:AK7"/>
    <mergeCell ref="A1:C1"/>
    <mergeCell ref="E7:M7"/>
    <mergeCell ref="N7:S7"/>
    <mergeCell ref="T7:AE7"/>
    <mergeCell ref="AF7:AH7"/>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pageSetUpPr fitToPage="1"/>
  </sheetPr>
  <dimension ref="A1:AJ220"/>
  <sheetViews>
    <sheetView zoomScale="85" zoomScaleNormal="85" workbookViewId="0"/>
  </sheetViews>
  <sheetFormatPr defaultRowHeight="15"/>
  <cols>
    <col min="1" max="1" width="3.85546875" style="1" customWidth="1"/>
    <col min="2" max="2" width="5.28515625" style="1" customWidth="1"/>
    <col min="3" max="3" width="24.5703125" style="1" customWidth="1"/>
    <col min="4" max="4" width="18.7109375" style="1" customWidth="1"/>
    <col min="5" max="5" width="37.85546875" style="1" customWidth="1"/>
    <col min="6" max="6" width="14.140625" style="1" customWidth="1"/>
    <col min="7" max="8" width="16.140625" style="1" customWidth="1"/>
    <col min="9" max="9" width="16.42578125" style="1" customWidth="1"/>
    <col min="10" max="11" width="19" style="1" customWidth="1"/>
    <col min="12" max="12" width="13" style="1" customWidth="1"/>
    <col min="13" max="13" width="13.140625" style="1" customWidth="1"/>
    <col min="14" max="15" width="11.5703125" style="1" customWidth="1"/>
    <col min="16" max="16" width="14.5703125" style="1" bestFit="1" customWidth="1"/>
    <col min="17" max="17" width="11.140625" style="1" customWidth="1"/>
    <col min="18" max="16384" width="9.140625" style="1"/>
  </cols>
  <sheetData>
    <row r="1" spans="1:16">
      <c r="G1" s="1028" t="s">
        <v>1624</v>
      </c>
    </row>
    <row r="2" spans="1:16" ht="18.75">
      <c r="A2" s="128" t="s">
        <v>1135</v>
      </c>
    </row>
    <row r="4" spans="1:16">
      <c r="A4" s="3" t="s">
        <v>1134</v>
      </c>
      <c r="C4" s="3" t="s">
        <v>1133</v>
      </c>
      <c r="E4" s="854"/>
    </row>
    <row r="5" spans="1:16">
      <c r="A5" s="1" t="s">
        <v>1132</v>
      </c>
    </row>
    <row r="6" spans="1:16">
      <c r="A6" s="74" t="s">
        <v>1131</v>
      </c>
      <c r="C6" s="1" t="s">
        <v>1130</v>
      </c>
    </row>
    <row r="7" spans="1:16">
      <c r="A7" s="74" t="s">
        <v>13</v>
      </c>
      <c r="C7" s="1" t="s">
        <v>1130</v>
      </c>
    </row>
    <row r="9" spans="1:16">
      <c r="A9" s="1" t="s">
        <v>1075</v>
      </c>
      <c r="C9" s="1" t="s">
        <v>1130</v>
      </c>
      <c r="L9" s="185"/>
      <c r="M9" s="184"/>
    </row>
    <row r="11" spans="1:16">
      <c r="A11" s="1" t="s">
        <v>1129</v>
      </c>
      <c r="C11" s="1" t="s">
        <v>1128</v>
      </c>
      <c r="E11" s="750"/>
      <c r="K11" s="853"/>
      <c r="L11" s="852"/>
      <c r="M11" s="205"/>
    </row>
    <row r="12" spans="1:16">
      <c r="C12" s="1" t="s">
        <v>1127</v>
      </c>
      <c r="E12" s="851">
        <v>4207.8530000000001</v>
      </c>
      <c r="F12" s="914" t="s">
        <v>1301</v>
      </c>
      <c r="L12" s="850"/>
      <c r="M12" s="289"/>
    </row>
    <row r="13" spans="1:16">
      <c r="C13" s="1" t="s">
        <v>1126</v>
      </c>
      <c r="E13" s="849">
        <f>'BA data'!E12/Assumptions!E43</f>
        <v>0.84241301301301308</v>
      </c>
      <c r="F13" s="1" t="s">
        <v>1125</v>
      </c>
      <c r="L13" s="4"/>
    </row>
    <row r="14" spans="1:16">
      <c r="E14" s="849"/>
      <c r="F14" s="125"/>
      <c r="L14" s="184"/>
      <c r="N14" s="7"/>
      <c r="O14" s="7"/>
      <c r="P14" s="7"/>
    </row>
    <row r="15" spans="1:16">
      <c r="D15" s="1" t="s">
        <v>1124</v>
      </c>
      <c r="E15" s="1" t="s">
        <v>1113</v>
      </c>
      <c r="F15" s="4">
        <v>0.9</v>
      </c>
      <c r="M15" s="133"/>
      <c r="N15" s="133"/>
      <c r="O15" s="133"/>
    </row>
    <row r="16" spans="1:16">
      <c r="E16" s="1" t="s">
        <v>1123</v>
      </c>
      <c r="F16" s="4">
        <f>100%-F15</f>
        <v>9.9999999999999978E-2</v>
      </c>
      <c r="M16" s="133"/>
      <c r="N16" s="133"/>
      <c r="O16" s="133"/>
    </row>
    <row r="17" spans="1:36">
      <c r="C17" s="474"/>
      <c r="E17" s="1" t="s">
        <v>1104</v>
      </c>
      <c r="F17" s="474">
        <f>'Time Savings'!D68*'BA data'!G17*I17</f>
        <v>5.9517551884082298</v>
      </c>
      <c r="G17" s="1">
        <v>8</v>
      </c>
      <c r="H17" s="1" t="s">
        <v>1122</v>
      </c>
      <c r="I17" s="4">
        <v>0.7</v>
      </c>
      <c r="J17" s="1" t="s">
        <v>1121</v>
      </c>
      <c r="M17" s="133"/>
      <c r="N17" s="133"/>
      <c r="O17" s="133"/>
    </row>
    <row r="18" spans="1:36">
      <c r="E18" s="1" t="s">
        <v>1120</v>
      </c>
      <c r="F18" s="1">
        <v>3</v>
      </c>
      <c r="G18" s="1">
        <f>F18*I18</f>
        <v>1095</v>
      </c>
      <c r="H18" s="1" t="s">
        <v>1119</v>
      </c>
      <c r="I18" s="1">
        <v>365</v>
      </c>
      <c r="J18" s="1" t="s">
        <v>1118</v>
      </c>
      <c r="M18" s="133" t="s">
        <v>1117</v>
      </c>
      <c r="N18" s="133"/>
      <c r="O18" s="133"/>
    </row>
    <row r="19" spans="1:36">
      <c r="E19" s="1" t="s">
        <v>1099</v>
      </c>
      <c r="F19" s="1">
        <v>7</v>
      </c>
      <c r="L19" s="127" t="s">
        <v>1116</v>
      </c>
      <c r="M19" s="127" t="s">
        <v>1613</v>
      </c>
    </row>
    <row r="20" spans="1:36">
      <c r="E20" s="1" t="s">
        <v>1115</v>
      </c>
      <c r="F20" s="4">
        <v>0.5</v>
      </c>
      <c r="L20" s="127">
        <v>1</v>
      </c>
      <c r="M20" s="847">
        <v>251162.72541600838</v>
      </c>
      <c r="O20" s="106"/>
    </row>
    <row r="21" spans="1:36">
      <c r="E21" s="1" t="s">
        <v>1114</v>
      </c>
      <c r="F21" s="178">
        <f>(F15*G18*F17+F16*F17*F19*G18)*F20</f>
        <v>5213.7375450456093</v>
      </c>
      <c r="L21" s="127">
        <v>2</v>
      </c>
      <c r="M21" s="847">
        <v>768888.7807414711</v>
      </c>
      <c r="O21" s="106"/>
    </row>
    <row r="22" spans="1:36">
      <c r="A22" s="1" t="s">
        <v>135</v>
      </c>
      <c r="E22" s="1" t="s">
        <v>1113</v>
      </c>
      <c r="F22" s="178" t="s">
        <v>1112</v>
      </c>
      <c r="L22" s="848" t="s">
        <v>1111</v>
      </c>
      <c r="M22" s="847">
        <v>1087863.5853769309</v>
      </c>
      <c r="O22" s="106"/>
    </row>
    <row r="23" spans="1:36">
      <c r="E23" s="1" t="s">
        <v>1110</v>
      </c>
      <c r="F23" s="1" t="s">
        <v>1109</v>
      </c>
      <c r="L23" s="848" t="s">
        <v>1108</v>
      </c>
      <c r="M23" s="847">
        <v>1087863.5853769309</v>
      </c>
      <c r="O23" s="106"/>
    </row>
    <row r="25" spans="1:36">
      <c r="D25" s="1" t="s">
        <v>1107</v>
      </c>
    </row>
    <row r="26" spans="1:36">
      <c r="D26" s="846">
        <f>SUM(M36:R36)*1000000</f>
        <v>7431402.2639999995</v>
      </c>
      <c r="E26" s="1" t="s">
        <v>1619</v>
      </c>
    </row>
    <row r="27" spans="1:36">
      <c r="D27" s="4">
        <f>F15</f>
        <v>0.9</v>
      </c>
      <c r="E27" s="1" t="s">
        <v>1106</v>
      </c>
    </row>
    <row r="28" spans="1:36">
      <c r="D28" s="4">
        <f>F16</f>
        <v>9.9999999999999978E-2</v>
      </c>
      <c r="E28" s="1" t="s">
        <v>1105</v>
      </c>
    </row>
    <row r="29" spans="1:36">
      <c r="C29" s="106">
        <f>D29*Assumptions!E43</f>
        <v>29729.017166099107</v>
      </c>
      <c r="D29" s="474">
        <f>F17</f>
        <v>5.9517551884082298</v>
      </c>
      <c r="E29" s="1" t="s">
        <v>1104</v>
      </c>
      <c r="K29" s="914" t="s">
        <v>1328</v>
      </c>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row>
    <row r="30" spans="1:36">
      <c r="C30" s="115" t="s">
        <v>1103</v>
      </c>
      <c r="D30" s="1">
        <f>F18</f>
        <v>3</v>
      </c>
      <c r="E30" s="1" t="s">
        <v>1102</v>
      </c>
      <c r="F30" s="12">
        <v>50</v>
      </c>
      <c r="G30" s="1" t="s">
        <v>1101</v>
      </c>
      <c r="H30" s="12">
        <v>5</v>
      </c>
      <c r="I30" s="1" t="s">
        <v>1100</v>
      </c>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row>
    <row r="31" spans="1:36">
      <c r="D31" s="1">
        <f>F19</f>
        <v>7</v>
      </c>
      <c r="E31" s="1" t="s">
        <v>1099</v>
      </c>
      <c r="K31" s="914" t="s">
        <v>470</v>
      </c>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row>
    <row r="32" spans="1:36">
      <c r="C32" s="1" t="s">
        <v>1098</v>
      </c>
      <c r="D32" s="845">
        <v>984.60372078409853</v>
      </c>
      <c r="E32" s="1" t="s">
        <v>1097</v>
      </c>
      <c r="K32" s="914"/>
      <c r="L32" s="914"/>
      <c r="M32" s="914"/>
      <c r="N32" s="914" t="s">
        <v>1329</v>
      </c>
      <c r="O32" s="914"/>
      <c r="P32" s="914"/>
      <c r="Q32" s="914"/>
      <c r="R32" s="914"/>
      <c r="S32" s="914"/>
      <c r="T32" s="914"/>
      <c r="U32" s="914"/>
      <c r="V32" s="914"/>
      <c r="W32" s="914"/>
      <c r="X32" s="914"/>
      <c r="Y32" s="914"/>
      <c r="Z32" s="914"/>
      <c r="AA32" s="914"/>
      <c r="AB32" s="914"/>
      <c r="AC32" s="914"/>
      <c r="AD32" s="914"/>
      <c r="AE32" s="914"/>
      <c r="AF32" s="914"/>
      <c r="AG32" s="914"/>
      <c r="AH32" s="914"/>
      <c r="AI32" s="914" t="s">
        <v>1330</v>
      </c>
      <c r="AJ32" s="914" t="s">
        <v>1331</v>
      </c>
    </row>
    <row r="33" spans="1:36">
      <c r="D33" s="851">
        <f>(D28/D27)*D32</f>
        <v>109.40041342045537</v>
      </c>
      <c r="E33" s="1" t="s">
        <v>1096</v>
      </c>
      <c r="F33" s="1" t="s">
        <v>1095</v>
      </c>
      <c r="H33" s="4">
        <v>0.5</v>
      </c>
      <c r="I33" s="1" t="s">
        <v>1136</v>
      </c>
      <c r="K33" s="914"/>
      <c r="L33" s="474" t="s">
        <v>419</v>
      </c>
      <c r="M33" s="914">
        <v>2012</v>
      </c>
      <c r="N33" s="914">
        <v>2013</v>
      </c>
      <c r="O33" s="914">
        <v>2014</v>
      </c>
      <c r="P33" s="914">
        <v>2015</v>
      </c>
      <c r="Q33" s="914">
        <v>2016</v>
      </c>
      <c r="R33" s="914">
        <v>2017</v>
      </c>
      <c r="S33" s="914">
        <v>2018</v>
      </c>
      <c r="T33" s="914">
        <v>2019</v>
      </c>
      <c r="U33" s="914">
        <v>2020</v>
      </c>
      <c r="V33" s="914">
        <v>2021</v>
      </c>
      <c r="W33" s="914">
        <v>2022</v>
      </c>
      <c r="X33" s="914">
        <v>2023</v>
      </c>
      <c r="Y33" s="914">
        <v>2024</v>
      </c>
      <c r="Z33" s="914">
        <v>2025</v>
      </c>
      <c r="AA33" s="914">
        <v>2026</v>
      </c>
      <c r="AB33" s="914">
        <v>2027</v>
      </c>
      <c r="AC33" s="914">
        <v>2028</v>
      </c>
      <c r="AD33" s="914">
        <v>2029</v>
      </c>
      <c r="AE33" s="914">
        <v>2030</v>
      </c>
      <c r="AF33" s="914">
        <v>2031</v>
      </c>
      <c r="AG33" s="914">
        <v>2032</v>
      </c>
      <c r="AH33" s="914"/>
      <c r="AI33" s="914" t="s">
        <v>1332</v>
      </c>
      <c r="AJ33" s="914" t="s">
        <v>1332</v>
      </c>
    </row>
    <row r="34" spans="1:36">
      <c r="D34" s="106">
        <f>D32+D33</f>
        <v>1094.0041342045538</v>
      </c>
      <c r="E34" s="1" t="s">
        <v>1094</v>
      </c>
      <c r="F34" s="1" t="s">
        <v>1093</v>
      </c>
      <c r="K34" s="914"/>
      <c r="L34" s="474"/>
      <c r="M34" s="914">
        <v>0</v>
      </c>
      <c r="N34" s="914">
        <v>1</v>
      </c>
      <c r="O34" s="914">
        <v>2</v>
      </c>
      <c r="P34" s="914">
        <v>3</v>
      </c>
      <c r="Q34" s="914">
        <v>4</v>
      </c>
      <c r="R34" s="914">
        <v>5</v>
      </c>
      <c r="S34" s="914">
        <v>6</v>
      </c>
      <c r="T34" s="914">
        <v>7</v>
      </c>
      <c r="U34" s="914">
        <v>8</v>
      </c>
      <c r="V34" s="914">
        <v>9</v>
      </c>
      <c r="W34" s="914">
        <v>10</v>
      </c>
      <c r="X34" s="914">
        <v>11</v>
      </c>
      <c r="Y34" s="914">
        <v>12</v>
      </c>
      <c r="Z34" s="914">
        <v>13</v>
      </c>
      <c r="AA34" s="914">
        <v>14</v>
      </c>
      <c r="AB34" s="914">
        <v>15</v>
      </c>
      <c r="AC34" s="914">
        <v>16</v>
      </c>
      <c r="AD34" s="914">
        <v>17</v>
      </c>
      <c r="AE34" s="914">
        <v>18</v>
      </c>
      <c r="AF34" s="914">
        <v>19</v>
      </c>
      <c r="AG34" s="914">
        <v>20</v>
      </c>
      <c r="AH34" s="914"/>
      <c r="AI34" s="914"/>
      <c r="AJ34" s="914"/>
    </row>
    <row r="35" spans="1:36">
      <c r="D35" s="106">
        <f>D32*D29*D30*F30*H30</f>
        <v>4395090.2277771048</v>
      </c>
      <c r="E35" s="1" t="s">
        <v>1092</v>
      </c>
      <c r="F35" s="1" t="s">
        <v>635</v>
      </c>
      <c r="G35" s="106">
        <f>D35/D32*$H$33</f>
        <v>2231.9081956530863</v>
      </c>
      <c r="K35" s="914"/>
      <c r="L35" s="474"/>
      <c r="M35" s="474"/>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914"/>
    </row>
    <row r="36" spans="1:36">
      <c r="D36" s="106">
        <f>D33*D29*D31*D30*F30*H30</f>
        <v>3418403.5104933032</v>
      </c>
      <c r="E36" s="1" t="s">
        <v>1091</v>
      </c>
      <c r="F36" s="1" t="s">
        <v>634</v>
      </c>
      <c r="G36" s="106">
        <f>D36/D33*$H$33</f>
        <v>15623.357369571604</v>
      </c>
      <c r="K36" s="914" t="s">
        <v>1333</v>
      </c>
      <c r="L36" s="914" t="s">
        <v>693</v>
      </c>
      <c r="M36" s="1004">
        <v>0</v>
      </c>
      <c r="N36" s="1004">
        <v>3.8611430144946432E-2</v>
      </c>
      <c r="O36" s="1004">
        <v>1.5703519681237004</v>
      </c>
      <c r="P36" s="1004">
        <v>2.1933649890435003</v>
      </c>
      <c r="Q36" s="1004">
        <v>2.175085681513472</v>
      </c>
      <c r="R36" s="1004">
        <v>1.4539881951743809</v>
      </c>
      <c r="S36" s="1004">
        <v>0</v>
      </c>
      <c r="T36" s="1004">
        <v>0</v>
      </c>
      <c r="U36" s="1004">
        <v>0</v>
      </c>
      <c r="V36" s="1004">
        <v>0</v>
      </c>
      <c r="W36" s="1004">
        <v>0</v>
      </c>
      <c r="X36" s="1004">
        <v>0</v>
      </c>
      <c r="Y36" s="1004">
        <v>0</v>
      </c>
      <c r="Z36" s="1004">
        <v>0</v>
      </c>
      <c r="AA36" s="1004">
        <v>0</v>
      </c>
      <c r="AB36" s="1004">
        <v>0</v>
      </c>
      <c r="AC36" s="1004">
        <v>0</v>
      </c>
      <c r="AD36" s="1004">
        <v>0</v>
      </c>
      <c r="AE36" s="1004">
        <v>0</v>
      </c>
      <c r="AF36" s="1004">
        <v>0</v>
      </c>
      <c r="AG36" s="1004">
        <v>0</v>
      </c>
      <c r="AH36" s="2"/>
      <c r="AI36" s="1004">
        <v>4.8811322590809425</v>
      </c>
      <c r="AJ36" s="4">
        <v>1</v>
      </c>
    </row>
    <row r="37" spans="1:36">
      <c r="D37" s="844">
        <f>D35+D36</f>
        <v>7813493.7382704075</v>
      </c>
      <c r="E37" s="1" t="s">
        <v>1090</v>
      </c>
      <c r="K37" s="914" t="s">
        <v>1048</v>
      </c>
      <c r="L37" s="91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92"/>
      <c r="AI37" s="2"/>
      <c r="AJ37" s="4"/>
    </row>
    <row r="38" spans="1:36">
      <c r="C38" s="843" t="s">
        <v>1089</v>
      </c>
      <c r="D38" s="842">
        <f>D26-D37</f>
        <v>-382091.47427040804</v>
      </c>
      <c r="E38" s="841" t="s">
        <v>1088</v>
      </c>
      <c r="K38" s="914" t="s">
        <v>707</v>
      </c>
      <c r="L38" s="914" t="s">
        <v>693</v>
      </c>
      <c r="M38" s="1004">
        <v>0</v>
      </c>
      <c r="N38" s="1004">
        <v>0</v>
      </c>
      <c r="O38" s="1004">
        <v>0.69619227600000011</v>
      </c>
      <c r="P38" s="1004">
        <v>1.0442884139999999</v>
      </c>
      <c r="Q38" s="1004">
        <v>1.0442884139999999</v>
      </c>
      <c r="R38" s="1004">
        <v>0.69619227600000011</v>
      </c>
      <c r="S38" s="1004">
        <v>0</v>
      </c>
      <c r="T38" s="1004">
        <v>0</v>
      </c>
      <c r="U38" s="1004">
        <v>0</v>
      </c>
      <c r="V38" s="1004">
        <v>0</v>
      </c>
      <c r="W38" s="1004">
        <v>0</v>
      </c>
      <c r="X38" s="1004">
        <v>0</v>
      </c>
      <c r="Y38" s="1004">
        <v>0</v>
      </c>
      <c r="Z38" s="1004">
        <v>0</v>
      </c>
      <c r="AA38" s="1004">
        <v>0</v>
      </c>
      <c r="AB38" s="1004">
        <v>0</v>
      </c>
      <c r="AC38" s="1004">
        <v>0</v>
      </c>
      <c r="AD38" s="1004">
        <v>0</v>
      </c>
      <c r="AE38" s="1004">
        <v>0</v>
      </c>
      <c r="AF38" s="1004">
        <v>0</v>
      </c>
      <c r="AG38" s="1004">
        <v>0</v>
      </c>
      <c r="AH38" s="192"/>
      <c r="AI38" s="1004">
        <v>2.277725933059036</v>
      </c>
      <c r="AJ38" s="4">
        <v>0.46663884774306524</v>
      </c>
    </row>
    <row r="39" spans="1:36">
      <c r="D39" s="1" t="s">
        <v>1087</v>
      </c>
      <c r="K39" s="914" t="s">
        <v>706</v>
      </c>
      <c r="L39" s="914" t="s">
        <v>693</v>
      </c>
      <c r="M39" s="1004">
        <v>0</v>
      </c>
      <c r="N39" s="1004">
        <v>0</v>
      </c>
      <c r="O39" s="1004">
        <v>0.272015016</v>
      </c>
      <c r="P39" s="1004">
        <v>0.40802252400000005</v>
      </c>
      <c r="Q39" s="1004">
        <v>0.40802252400000005</v>
      </c>
      <c r="R39" s="1004">
        <v>0.272015016</v>
      </c>
      <c r="S39" s="1004">
        <v>0</v>
      </c>
      <c r="T39" s="1004">
        <v>0</v>
      </c>
      <c r="U39" s="1004">
        <v>0</v>
      </c>
      <c r="V39" s="1004">
        <v>0</v>
      </c>
      <c r="W39" s="1004">
        <v>0</v>
      </c>
      <c r="X39" s="1004">
        <v>0</v>
      </c>
      <c r="Y39" s="1004">
        <v>0</v>
      </c>
      <c r="Z39" s="1004">
        <v>0</v>
      </c>
      <c r="AA39" s="1004">
        <v>0</v>
      </c>
      <c r="AB39" s="1004">
        <v>0</v>
      </c>
      <c r="AC39" s="1004">
        <v>0</v>
      </c>
      <c r="AD39" s="1004">
        <v>0</v>
      </c>
      <c r="AE39" s="1004">
        <v>0</v>
      </c>
      <c r="AF39" s="1004">
        <v>0</v>
      </c>
      <c r="AG39" s="1004">
        <v>0</v>
      </c>
      <c r="AH39" s="192"/>
      <c r="AI39" s="1004">
        <v>0.88994905212747377</v>
      </c>
      <c r="AJ39" s="4">
        <v>0.18232430610168313</v>
      </c>
    </row>
    <row r="40" spans="1:36">
      <c r="K40" s="914" t="s">
        <v>705</v>
      </c>
      <c r="L40" s="914" t="s">
        <v>693</v>
      </c>
      <c r="M40" s="1004">
        <v>0</v>
      </c>
      <c r="N40" s="1004">
        <v>0</v>
      </c>
      <c r="O40" s="1004">
        <v>0.31511758199999995</v>
      </c>
      <c r="P40" s="1004">
        <v>0.460717608</v>
      </c>
      <c r="Q40" s="1004">
        <v>0.43680000000000002</v>
      </c>
      <c r="R40" s="1004">
        <v>0.29119997399999997</v>
      </c>
      <c r="S40" s="1004">
        <v>0</v>
      </c>
      <c r="T40" s="1004">
        <v>0</v>
      </c>
      <c r="U40" s="1004">
        <v>0</v>
      </c>
      <c r="V40" s="1004">
        <v>0</v>
      </c>
      <c r="W40" s="1004">
        <v>0</v>
      </c>
      <c r="X40" s="1004">
        <v>0</v>
      </c>
      <c r="Y40" s="1004">
        <v>0</v>
      </c>
      <c r="Z40" s="1004">
        <v>0</v>
      </c>
      <c r="AA40" s="1004">
        <v>0</v>
      </c>
      <c r="AB40" s="1004">
        <v>0</v>
      </c>
      <c r="AC40" s="1004">
        <v>0</v>
      </c>
      <c r="AD40" s="1004">
        <v>0</v>
      </c>
      <c r="AE40" s="1004">
        <v>0</v>
      </c>
      <c r="AF40" s="1004">
        <v>0</v>
      </c>
      <c r="AG40" s="1004">
        <v>0</v>
      </c>
      <c r="AH40" s="192"/>
      <c r="AI40" s="1004">
        <v>0.98702205643610297</v>
      </c>
      <c r="AJ40" s="4">
        <v>0.20221170090194343</v>
      </c>
    </row>
    <row r="41" spans="1:36">
      <c r="D41" s="13">
        <v>1</v>
      </c>
      <c r="E41" s="1" t="s">
        <v>1086</v>
      </c>
      <c r="K41" s="914" t="s">
        <v>704</v>
      </c>
      <c r="L41" s="914" t="s">
        <v>693</v>
      </c>
      <c r="M41" s="1004">
        <v>0</v>
      </c>
      <c r="N41" s="1004">
        <v>0</v>
      </c>
      <c r="O41" s="1004">
        <v>0</v>
      </c>
      <c r="P41" s="1004">
        <v>0</v>
      </c>
      <c r="Q41" s="1004">
        <v>0</v>
      </c>
      <c r="R41" s="1004">
        <v>0</v>
      </c>
      <c r="S41" s="1004">
        <v>0</v>
      </c>
      <c r="T41" s="1004">
        <v>0</v>
      </c>
      <c r="U41" s="1004">
        <v>0</v>
      </c>
      <c r="V41" s="1004">
        <v>0</v>
      </c>
      <c r="W41" s="1004">
        <v>0</v>
      </c>
      <c r="X41" s="1004">
        <v>0</v>
      </c>
      <c r="Y41" s="1004">
        <v>0</v>
      </c>
      <c r="Z41" s="1004">
        <v>0</v>
      </c>
      <c r="AA41" s="1004">
        <v>0</v>
      </c>
      <c r="AB41" s="1004">
        <v>0</v>
      </c>
      <c r="AC41" s="1004">
        <v>0</v>
      </c>
      <c r="AD41" s="1004">
        <v>0</v>
      </c>
      <c r="AE41" s="1004">
        <v>0</v>
      </c>
      <c r="AF41" s="1004">
        <v>0</v>
      </c>
      <c r="AG41" s="1004">
        <v>0</v>
      </c>
      <c r="AH41" s="192"/>
      <c r="AI41" s="1004">
        <v>0</v>
      </c>
      <c r="AJ41" s="4">
        <v>0</v>
      </c>
    </row>
    <row r="42" spans="1:36">
      <c r="D42" s="53">
        <f>ROUND(D32*$D$41, -2)</f>
        <v>1000</v>
      </c>
      <c r="E42" s="1" t="s">
        <v>1085</v>
      </c>
      <c r="K42" s="914" t="s">
        <v>728</v>
      </c>
      <c r="L42" s="914" t="s">
        <v>693</v>
      </c>
      <c r="M42" s="1004">
        <v>0</v>
      </c>
      <c r="N42" s="1004">
        <v>0</v>
      </c>
      <c r="O42" s="1004">
        <v>0</v>
      </c>
      <c r="P42" s="1004">
        <v>0</v>
      </c>
      <c r="Q42" s="1004">
        <v>0</v>
      </c>
      <c r="R42" s="1004">
        <v>0</v>
      </c>
      <c r="S42" s="1004">
        <v>0</v>
      </c>
      <c r="T42" s="1004">
        <v>0</v>
      </c>
      <c r="U42" s="1004">
        <v>0</v>
      </c>
      <c r="V42" s="1004">
        <v>0</v>
      </c>
      <c r="W42" s="1004">
        <v>0</v>
      </c>
      <c r="X42" s="1004">
        <v>0</v>
      </c>
      <c r="Y42" s="1004">
        <v>0</v>
      </c>
      <c r="Z42" s="1004">
        <v>0</v>
      </c>
      <c r="AA42" s="1004">
        <v>0</v>
      </c>
      <c r="AB42" s="1004">
        <v>0</v>
      </c>
      <c r="AC42" s="1004">
        <v>0</v>
      </c>
      <c r="AD42" s="1004">
        <v>0</v>
      </c>
      <c r="AE42" s="1004">
        <v>0</v>
      </c>
      <c r="AF42" s="1004">
        <v>0</v>
      </c>
      <c r="AG42" s="1004">
        <v>0</v>
      </c>
      <c r="AH42" s="192"/>
      <c r="AI42" s="1004">
        <v>0</v>
      </c>
      <c r="AJ42" s="4">
        <v>0</v>
      </c>
    </row>
    <row r="43" spans="1:36">
      <c r="D43" s="53">
        <f>ROUND(D33*$D$41, -2)</f>
        <v>100</v>
      </c>
      <c r="E43" s="1" t="s">
        <v>1084</v>
      </c>
      <c r="K43" s="914" t="s">
        <v>703</v>
      </c>
      <c r="L43" s="914" t="s">
        <v>693</v>
      </c>
      <c r="M43" s="1004">
        <v>0</v>
      </c>
      <c r="N43" s="1004">
        <v>0</v>
      </c>
      <c r="O43" s="1004">
        <v>0.10405012799999999</v>
      </c>
      <c r="P43" s="1004">
        <v>0.156075192</v>
      </c>
      <c r="Q43" s="1004">
        <v>0.156075192</v>
      </c>
      <c r="R43" s="1004">
        <v>0.10405012799999999</v>
      </c>
      <c r="S43" s="1004">
        <v>0</v>
      </c>
      <c r="T43" s="1004">
        <v>0</v>
      </c>
      <c r="U43" s="1004">
        <v>0</v>
      </c>
      <c r="V43" s="1004">
        <v>0</v>
      </c>
      <c r="W43" s="1004">
        <v>0</v>
      </c>
      <c r="X43" s="1004">
        <v>0</v>
      </c>
      <c r="Y43" s="1004">
        <v>0</v>
      </c>
      <c r="Z43" s="1004">
        <v>0</v>
      </c>
      <c r="AA43" s="1004">
        <v>0</v>
      </c>
      <c r="AB43" s="1004">
        <v>0</v>
      </c>
      <c r="AC43" s="1004">
        <v>0</v>
      </c>
      <c r="AD43" s="1004">
        <v>0</v>
      </c>
      <c r="AE43" s="1004">
        <v>0</v>
      </c>
      <c r="AF43" s="1004">
        <v>0</v>
      </c>
      <c r="AG43" s="1004">
        <v>0</v>
      </c>
      <c r="AH43" s="192"/>
      <c r="AI43" s="1004">
        <v>0.34041985677490061</v>
      </c>
      <c r="AJ43" s="4">
        <v>6.9741985815192295E-2</v>
      </c>
    </row>
    <row r="44" spans="1:36">
      <c r="D44" s="53">
        <f>ROUND(D34*$D$41, -2)</f>
        <v>1100</v>
      </c>
      <c r="E44" s="1" t="s">
        <v>1083</v>
      </c>
      <c r="K44" s="914" t="s">
        <v>702</v>
      </c>
      <c r="L44" s="914" t="s">
        <v>693</v>
      </c>
      <c r="M44" s="1004">
        <v>0</v>
      </c>
      <c r="N44" s="1004">
        <v>0</v>
      </c>
      <c r="O44" s="1004">
        <v>0</v>
      </c>
      <c r="P44" s="1004">
        <v>0</v>
      </c>
      <c r="Q44" s="1004">
        <v>0</v>
      </c>
      <c r="R44" s="1004">
        <v>0</v>
      </c>
      <c r="S44" s="1004">
        <v>0</v>
      </c>
      <c r="T44" s="1004">
        <v>0</v>
      </c>
      <c r="U44" s="1004">
        <v>0</v>
      </c>
      <c r="V44" s="1004">
        <v>0</v>
      </c>
      <c r="W44" s="1004">
        <v>0</v>
      </c>
      <c r="X44" s="1004">
        <v>0</v>
      </c>
      <c r="Y44" s="1004">
        <v>0</v>
      </c>
      <c r="Z44" s="1004">
        <v>0</v>
      </c>
      <c r="AA44" s="1004">
        <v>0</v>
      </c>
      <c r="AB44" s="1004">
        <v>0</v>
      </c>
      <c r="AC44" s="1004">
        <v>0</v>
      </c>
      <c r="AD44" s="1004">
        <v>0</v>
      </c>
      <c r="AE44" s="1004">
        <v>0</v>
      </c>
      <c r="AF44" s="1004">
        <v>0</v>
      </c>
      <c r="AG44" s="1004">
        <v>0</v>
      </c>
      <c r="AH44" s="192"/>
      <c r="AI44" s="1004">
        <v>0</v>
      </c>
      <c r="AJ44" s="4">
        <v>0</v>
      </c>
    </row>
    <row r="45" spans="1:36">
      <c r="K45" s="914" t="s">
        <v>14</v>
      </c>
      <c r="L45" s="914" t="s">
        <v>693</v>
      </c>
      <c r="M45" s="1004">
        <v>0</v>
      </c>
      <c r="N45" s="1004">
        <v>3.8611430144946432E-2</v>
      </c>
      <c r="O45" s="1004">
        <v>0.18297696612370043</v>
      </c>
      <c r="P45" s="1004">
        <v>0.12426125104350054</v>
      </c>
      <c r="Q45" s="1004">
        <v>0.12989955151347174</v>
      </c>
      <c r="R45" s="1004">
        <v>9.0530801174380754E-2</v>
      </c>
      <c r="S45" s="1004">
        <v>0</v>
      </c>
      <c r="T45" s="1004">
        <v>0</v>
      </c>
      <c r="U45" s="1004">
        <v>0</v>
      </c>
      <c r="V45" s="1004">
        <v>0</v>
      </c>
      <c r="W45" s="1004">
        <v>0</v>
      </c>
      <c r="X45" s="1004">
        <v>0</v>
      </c>
      <c r="Y45" s="1004">
        <v>0</v>
      </c>
      <c r="Z45" s="1004">
        <v>0</v>
      </c>
      <c r="AA45" s="1004">
        <v>0</v>
      </c>
      <c r="AB45" s="1004">
        <v>0</v>
      </c>
      <c r="AC45" s="1004">
        <v>0</v>
      </c>
      <c r="AD45" s="1004">
        <v>0</v>
      </c>
      <c r="AE45" s="1004">
        <v>0</v>
      </c>
      <c r="AF45" s="1004">
        <v>0</v>
      </c>
      <c r="AG45" s="1004">
        <v>0</v>
      </c>
      <c r="AH45" s="2"/>
      <c r="AI45" s="1004">
        <v>0.38601536068342918</v>
      </c>
      <c r="AJ45" s="4">
        <v>7.9083159438115933E-2</v>
      </c>
    </row>
    <row r="46" spans="1:36" ht="15.75">
      <c r="A46" s="196" t="s">
        <v>1082</v>
      </c>
      <c r="K46" s="914"/>
      <c r="L46" s="914"/>
      <c r="M46" s="1004"/>
      <c r="N46" s="1004"/>
      <c r="O46" s="1004"/>
      <c r="P46" s="1004"/>
      <c r="Q46" s="1004"/>
      <c r="R46" s="1004"/>
      <c r="S46" s="1004"/>
      <c r="T46" s="1004"/>
      <c r="U46" s="1004"/>
      <c r="V46" s="1004"/>
      <c r="W46" s="1004"/>
      <c r="X46" s="1004"/>
      <c r="Y46" s="1004"/>
      <c r="Z46" s="1004"/>
      <c r="AA46" s="1004"/>
      <c r="AB46" s="1004"/>
      <c r="AC46" s="1004"/>
      <c r="AD46" s="1004"/>
      <c r="AE46" s="1004"/>
      <c r="AF46" s="1004"/>
      <c r="AG46" s="1004"/>
      <c r="AH46" s="2"/>
      <c r="AI46" s="2"/>
      <c r="AJ46" s="914"/>
    </row>
    <row r="47" spans="1:36">
      <c r="A47" s="254" t="s">
        <v>1081</v>
      </c>
      <c r="K47" s="914" t="s">
        <v>1334</v>
      </c>
      <c r="L47" s="914"/>
      <c r="M47" s="1004"/>
      <c r="N47" s="1004"/>
      <c r="O47" s="1004"/>
      <c r="P47" s="1004"/>
      <c r="Q47" s="1004"/>
      <c r="R47" s="1004"/>
      <c r="S47" s="1004"/>
      <c r="T47" s="1004"/>
      <c r="U47" s="1004"/>
      <c r="V47" s="1004"/>
      <c r="W47" s="1004"/>
      <c r="X47" s="1004"/>
      <c r="Y47" s="1004"/>
      <c r="Z47" s="1004"/>
      <c r="AA47" s="1004"/>
      <c r="AB47" s="1004"/>
      <c r="AC47" s="1004"/>
      <c r="AD47" s="1004"/>
      <c r="AE47" s="1004"/>
      <c r="AF47" s="1004"/>
      <c r="AG47" s="1004"/>
      <c r="AH47" s="2"/>
      <c r="AI47" s="2"/>
      <c r="AJ47" s="914"/>
    </row>
    <row r="48" spans="1:36">
      <c r="A48" s="3"/>
      <c r="K48" s="914"/>
      <c r="L48" s="914"/>
      <c r="M48" s="1004"/>
      <c r="N48" s="1004"/>
      <c r="O48" s="1004"/>
      <c r="P48" s="1004"/>
      <c r="Q48" s="1004"/>
      <c r="R48" s="1004"/>
      <c r="S48" s="1004"/>
      <c r="T48" s="1004"/>
      <c r="U48" s="1004"/>
      <c r="V48" s="1004"/>
      <c r="W48" s="1004"/>
      <c r="X48" s="1004"/>
      <c r="Y48" s="1004"/>
      <c r="Z48" s="1004"/>
      <c r="AA48" s="1004"/>
      <c r="AB48" s="1004"/>
      <c r="AC48" s="1004"/>
      <c r="AD48" s="1004"/>
      <c r="AE48" s="1004"/>
      <c r="AF48" s="1004"/>
      <c r="AG48" s="1004"/>
      <c r="AH48" s="2"/>
      <c r="AI48" s="2"/>
      <c r="AJ48" s="914"/>
    </row>
    <row r="49" spans="1:10">
      <c r="A49" s="3"/>
      <c r="C49" s="3" t="s">
        <v>1080</v>
      </c>
    </row>
    <row r="50" spans="1:10">
      <c r="A50" s="3"/>
      <c r="E50" s="177" t="s">
        <v>1077</v>
      </c>
      <c r="I50" s="1273" t="s">
        <v>1076</v>
      </c>
      <c r="J50" s="1273" t="s">
        <v>559</v>
      </c>
    </row>
    <row r="51" spans="1:10">
      <c r="C51" s="177" t="s">
        <v>1048</v>
      </c>
      <c r="E51" s="1" t="s">
        <v>594</v>
      </c>
      <c r="F51" s="1" t="s">
        <v>639</v>
      </c>
      <c r="G51" s="1" t="s">
        <v>1075</v>
      </c>
      <c r="H51" s="1" t="s">
        <v>816</v>
      </c>
      <c r="I51" s="1273"/>
      <c r="J51" s="1273"/>
    </row>
    <row r="52" spans="1:10">
      <c r="B52" s="826">
        <v>1</v>
      </c>
      <c r="C52" s="827" t="s">
        <v>707</v>
      </c>
      <c r="D52" s="127"/>
      <c r="E52" s="714">
        <f>health!C42</f>
        <v>0</v>
      </c>
      <c r="F52" s="714">
        <f>$D$34*AJ38</f>
        <v>510.50482861136271</v>
      </c>
      <c r="G52" s="714">
        <f>E52</f>
        <v>0</v>
      </c>
      <c r="H52" s="714">
        <f>health!B45</f>
        <v>860000</v>
      </c>
      <c r="I52" s="836"/>
      <c r="J52" s="836"/>
    </row>
    <row r="53" spans="1:10">
      <c r="B53" s="826">
        <v>2</v>
      </c>
      <c r="C53" s="827" t="s">
        <v>706</v>
      </c>
      <c r="D53" s="127"/>
      <c r="E53" s="714">
        <f>health!E40</f>
        <v>250102</v>
      </c>
      <c r="F53" s="714">
        <f t="shared" ref="F53:F59" si="0">$D$34*AJ39</f>
        <v>199.46354464121788</v>
      </c>
      <c r="G53" s="714">
        <f>E53</f>
        <v>250102</v>
      </c>
      <c r="H53" s="836"/>
      <c r="I53" s="836"/>
      <c r="J53" s="836"/>
    </row>
    <row r="54" spans="1:10">
      <c r="B54" s="826">
        <v>3</v>
      </c>
      <c r="C54" s="827" t="s">
        <v>705</v>
      </c>
      <c r="D54" s="127"/>
      <c r="E54" s="714">
        <f>health!F40</f>
        <v>155280</v>
      </c>
      <c r="F54" s="714">
        <f t="shared" si="0"/>
        <v>221.22043677126081</v>
      </c>
      <c r="G54" s="836"/>
      <c r="H54" s="836"/>
      <c r="I54" s="836"/>
      <c r="J54" s="836"/>
    </row>
    <row r="55" spans="1:10">
      <c r="B55" s="492">
        <v>4</v>
      </c>
      <c r="C55" s="390" t="s">
        <v>704</v>
      </c>
      <c r="E55" s="714"/>
      <c r="F55" s="714"/>
      <c r="G55" s="714"/>
      <c r="H55" s="836"/>
      <c r="I55" s="836"/>
      <c r="J55" s="836"/>
    </row>
    <row r="56" spans="1:10">
      <c r="B56" s="738">
        <v>5</v>
      </c>
      <c r="C56" s="242" t="s">
        <v>728</v>
      </c>
      <c r="D56" s="7"/>
      <c r="E56" s="714">
        <f>health!H40</f>
        <v>0</v>
      </c>
      <c r="F56" s="714">
        <f t="shared" si="0"/>
        <v>0</v>
      </c>
      <c r="G56" s="836"/>
      <c r="H56" s="836"/>
      <c r="I56" s="836"/>
      <c r="J56" s="836"/>
    </row>
    <row r="57" spans="1:10">
      <c r="B57" s="839">
        <v>6</v>
      </c>
      <c r="C57" s="838" t="s">
        <v>703</v>
      </c>
      <c r="D57" s="837"/>
      <c r="E57" s="714">
        <f>health!I40</f>
        <v>318566</v>
      </c>
      <c r="F57" s="714">
        <f t="shared" si="0"/>
        <v>76.298020809455721</v>
      </c>
      <c r="G57" s="714">
        <f>E57</f>
        <v>318566</v>
      </c>
      <c r="H57" s="836"/>
      <c r="I57" s="836"/>
      <c r="J57" s="836"/>
    </row>
    <row r="58" spans="1:10">
      <c r="B58" s="492">
        <v>7</v>
      </c>
      <c r="C58" s="390" t="s">
        <v>702</v>
      </c>
      <c r="E58" s="714"/>
      <c r="F58" s="714"/>
      <c r="G58" s="836"/>
      <c r="H58" s="836"/>
      <c r="I58" s="836"/>
      <c r="J58" s="836"/>
    </row>
    <row r="59" spans="1:10">
      <c r="B59" s="826">
        <v>8</v>
      </c>
      <c r="C59" s="825" t="s">
        <v>1047</v>
      </c>
      <c r="D59" s="127"/>
      <c r="E59" s="714">
        <f>Drainage!X229</f>
        <v>218156.89166956834</v>
      </c>
      <c r="F59" s="714">
        <f t="shared" si="0"/>
        <v>86.517303371256702</v>
      </c>
      <c r="G59" s="714">
        <f>Drainage!M77</f>
        <v>15127.91345264269</v>
      </c>
      <c r="H59" s="836"/>
      <c r="I59" s="714">
        <f>Drainage!X229</f>
        <v>218156.89166956834</v>
      </c>
      <c r="J59" s="714">
        <f>Drainage!J84</f>
        <v>8324.64</v>
      </c>
    </row>
    <row r="62" spans="1:10">
      <c r="C62" s="3" t="s">
        <v>1079</v>
      </c>
    </row>
    <row r="63" spans="1:10">
      <c r="E63" s="177" t="s">
        <v>1077</v>
      </c>
      <c r="I63" s="1273" t="s">
        <v>1076</v>
      </c>
      <c r="J63" s="1273" t="s">
        <v>559</v>
      </c>
    </row>
    <row r="64" spans="1:10">
      <c r="C64" s="177" t="s">
        <v>1048</v>
      </c>
      <c r="E64" s="1" t="s">
        <v>594</v>
      </c>
      <c r="F64" s="1" t="s">
        <v>639</v>
      </c>
      <c r="G64" s="1" t="s">
        <v>1075</v>
      </c>
      <c r="H64" s="1" t="s">
        <v>816</v>
      </c>
      <c r="I64" s="1273"/>
      <c r="J64" s="1273"/>
    </row>
    <row r="65" spans="2:11">
      <c r="B65" s="826">
        <v>1</v>
      </c>
      <c r="C65" s="827" t="s">
        <v>707</v>
      </c>
      <c r="D65" s="127"/>
      <c r="E65" s="194">
        <v>0</v>
      </c>
      <c r="F65" s="194"/>
      <c r="G65" s="194">
        <v>0</v>
      </c>
      <c r="H65" s="194">
        <f>Benefits!C25</f>
        <v>61.474387096668984</v>
      </c>
      <c r="I65" s="836"/>
      <c r="J65" s="836"/>
    </row>
    <row r="66" spans="2:11">
      <c r="B66" s="826">
        <v>2</v>
      </c>
      <c r="C66" s="827" t="s">
        <v>706</v>
      </c>
      <c r="D66" s="127"/>
      <c r="E66" s="194">
        <f>Benefits!C15*health!H30</f>
        <v>11.91587520242984</v>
      </c>
      <c r="F66" s="194"/>
      <c r="G66" s="194">
        <f>Benefits!C20*health!H30</f>
        <v>134.15902764969823</v>
      </c>
      <c r="H66" s="836"/>
      <c r="I66" s="836"/>
      <c r="J66" s="836"/>
    </row>
    <row r="67" spans="2:11">
      <c r="B67" s="826">
        <v>3</v>
      </c>
      <c r="C67" s="827" t="s">
        <v>705</v>
      </c>
      <c r="D67" s="127"/>
      <c r="E67" s="194">
        <f>Benefits!C16</f>
        <v>8.296682703117046</v>
      </c>
      <c r="F67" s="194"/>
      <c r="G67" s="836"/>
      <c r="H67" s="836"/>
      <c r="I67" s="836"/>
      <c r="J67" s="836"/>
    </row>
    <row r="68" spans="2:11">
      <c r="B68" s="492">
        <v>4</v>
      </c>
      <c r="C68" s="390" t="s">
        <v>704</v>
      </c>
      <c r="E68" s="194"/>
      <c r="F68" s="194"/>
      <c r="G68" s="194"/>
      <c r="H68" s="836"/>
      <c r="I68" s="836"/>
      <c r="J68" s="836"/>
    </row>
    <row r="69" spans="2:11">
      <c r="B69" s="738">
        <v>5</v>
      </c>
      <c r="C69" s="242" t="s">
        <v>728</v>
      </c>
      <c r="D69" s="7"/>
      <c r="E69" s="840"/>
      <c r="F69" s="194"/>
      <c r="G69" s="836"/>
      <c r="H69" s="836"/>
      <c r="I69" s="836"/>
      <c r="J69" s="836"/>
    </row>
    <row r="70" spans="2:11">
      <c r="B70" s="839">
        <v>6</v>
      </c>
      <c r="C70" s="838" t="s">
        <v>703</v>
      </c>
      <c r="D70" s="837"/>
      <c r="E70" s="194">
        <f>Benefits!C15*health!H31</f>
        <v>6.8398326478374676</v>
      </c>
      <c r="F70" s="194"/>
      <c r="G70" s="194">
        <f>Benefits!C20*health!H31</f>
        <v>77.008636103659157</v>
      </c>
      <c r="H70" s="836"/>
      <c r="I70" s="836"/>
      <c r="J70" s="836"/>
    </row>
    <row r="71" spans="2:11">
      <c r="B71" s="492">
        <v>7</v>
      </c>
      <c r="C71" s="390" t="s">
        <v>702</v>
      </c>
      <c r="E71" s="194"/>
      <c r="F71" s="194"/>
      <c r="G71" s="836"/>
      <c r="H71" s="836"/>
      <c r="I71" s="836"/>
      <c r="J71" s="836"/>
    </row>
    <row r="72" spans="2:11">
      <c r="B72" s="826">
        <v>8</v>
      </c>
      <c r="C72" s="825" t="s">
        <v>1047</v>
      </c>
      <c r="D72" s="127"/>
      <c r="E72" s="194">
        <f>Benefits!C17</f>
        <v>14.201302213216881</v>
      </c>
      <c r="F72" s="194"/>
      <c r="G72" s="194">
        <f>Drainage!E13</f>
        <v>27.400035764892891</v>
      </c>
      <c r="H72" s="836"/>
      <c r="I72" s="194">
        <f>Drainage!E14</f>
        <v>1.3436462796650386</v>
      </c>
      <c r="J72" s="194">
        <f>Drainage!E15</f>
        <v>4.0845224882762805</v>
      </c>
    </row>
    <row r="74" spans="2:11">
      <c r="F74" s="474"/>
    </row>
    <row r="75" spans="2:11">
      <c r="C75" s="3" t="s">
        <v>1078</v>
      </c>
    </row>
    <row r="76" spans="2:11">
      <c r="E76" s="177" t="s">
        <v>1077</v>
      </c>
      <c r="I76" s="1273" t="s">
        <v>1076</v>
      </c>
      <c r="J76" s="1273" t="s">
        <v>559</v>
      </c>
      <c r="K76" s="177"/>
    </row>
    <row r="77" spans="2:11">
      <c r="C77" s="177" t="s">
        <v>1048</v>
      </c>
      <c r="E77" s="1" t="s">
        <v>594</v>
      </c>
      <c r="F77" s="1" t="s">
        <v>639</v>
      </c>
      <c r="G77" s="1" t="s">
        <v>1075</v>
      </c>
      <c r="H77" s="1" t="s">
        <v>816</v>
      </c>
      <c r="I77" s="1273"/>
      <c r="J77" s="1273"/>
      <c r="K77" s="177"/>
    </row>
    <row r="78" spans="2:11">
      <c r="B78" s="826">
        <v>1</v>
      </c>
      <c r="C78" s="827" t="s">
        <v>707</v>
      </c>
      <c r="D78" s="127"/>
      <c r="E78" s="146">
        <f>IFERROR(E65*1000000/E52,0)</f>
        <v>0</v>
      </c>
      <c r="F78" s="146">
        <f>F65*1000000/F52</f>
        <v>0</v>
      </c>
      <c r="G78" s="146">
        <f>IFERROR(G65*1000000/G52,0)</f>
        <v>0</v>
      </c>
      <c r="H78" s="146">
        <f>H65*1000000/H52</f>
        <v>71.481845461242997</v>
      </c>
      <c r="I78" s="836"/>
      <c r="J78" s="836"/>
    </row>
    <row r="79" spans="2:11">
      <c r="B79" s="826">
        <v>2</v>
      </c>
      <c r="C79" s="827" t="s">
        <v>706</v>
      </c>
      <c r="D79" s="127"/>
      <c r="E79" s="146">
        <f>E66*1000000/E53</f>
        <v>47.64406203241014</v>
      </c>
      <c r="F79" s="146">
        <f>F66*1000000/F53</f>
        <v>0</v>
      </c>
      <c r="G79" s="146">
        <f>G66*1000000/G53</f>
        <v>536.41725235983006</v>
      </c>
      <c r="H79" s="836"/>
      <c r="I79" s="836"/>
      <c r="J79" s="836"/>
    </row>
    <row r="80" spans="2:11">
      <c r="B80" s="826">
        <v>3</v>
      </c>
      <c r="C80" s="827" t="s">
        <v>705</v>
      </c>
      <c r="D80" s="127"/>
      <c r="E80" s="146">
        <f>E67*1000000/E54</f>
        <v>53.430465630583754</v>
      </c>
      <c r="F80" s="146">
        <f>F67*1000000/F54</f>
        <v>0</v>
      </c>
      <c r="G80" s="836"/>
      <c r="H80" s="836"/>
      <c r="I80" s="836"/>
      <c r="J80" s="836"/>
    </row>
    <row r="81" spans="2:13">
      <c r="B81" s="492">
        <v>4</v>
      </c>
      <c r="C81" s="390" t="s">
        <v>704</v>
      </c>
      <c r="E81" s="714"/>
      <c r="F81" s="714"/>
      <c r="G81" s="146"/>
      <c r="H81" s="836"/>
      <c r="I81" s="836"/>
      <c r="J81" s="836"/>
    </row>
    <row r="82" spans="2:13">
      <c r="B82" s="738">
        <v>5</v>
      </c>
      <c r="C82" s="242" t="s">
        <v>728</v>
      </c>
      <c r="D82" s="7"/>
      <c r="E82" s="146">
        <f>IFERROR(E69*1000000/E56,0)</f>
        <v>0</v>
      </c>
      <c r="F82" s="146">
        <f>IFERROR(F69*1000000/F56,0)</f>
        <v>0</v>
      </c>
      <c r="G82" s="836"/>
      <c r="H82" s="836"/>
      <c r="I82" s="836"/>
      <c r="J82" s="836"/>
    </row>
    <row r="83" spans="2:13">
      <c r="B83" s="839">
        <v>6</v>
      </c>
      <c r="C83" s="838" t="s">
        <v>703</v>
      </c>
      <c r="D83" s="837"/>
      <c r="E83" s="146">
        <f>E70*1000000/E57</f>
        <v>21.470692565551463</v>
      </c>
      <c r="F83" s="146">
        <f>F70*1000000/F57</f>
        <v>0</v>
      </c>
      <c r="G83" s="146">
        <f>G70*1000000/G57</f>
        <v>241.73526397562563</v>
      </c>
      <c r="H83" s="836"/>
      <c r="I83" s="836"/>
      <c r="J83" s="836"/>
    </row>
    <row r="84" spans="2:13">
      <c r="B84" s="492">
        <v>7</v>
      </c>
      <c r="C84" s="390" t="s">
        <v>702</v>
      </c>
      <c r="E84" s="714"/>
      <c r="F84" s="714"/>
      <c r="G84" s="836"/>
      <c r="H84" s="836"/>
      <c r="I84" s="836"/>
      <c r="J84" s="836"/>
    </row>
    <row r="85" spans="2:13">
      <c r="B85" s="826">
        <v>8</v>
      </c>
      <c r="C85" s="825" t="s">
        <v>1047</v>
      </c>
      <c r="D85" s="127"/>
      <c r="E85" s="146">
        <f>E72*1000000/E59</f>
        <v>65.096738886099018</v>
      </c>
      <c r="F85" s="146">
        <f>F72*1000000/F59</f>
        <v>0</v>
      </c>
      <c r="G85" s="146">
        <f>G72*1000000/G59</f>
        <v>1811.2237256425069</v>
      </c>
      <c r="H85" s="836"/>
      <c r="I85" s="146">
        <f>I72*1000000/I59</f>
        <v>6.1590824354987346</v>
      </c>
      <c r="J85" s="146">
        <f>J72*1000000/J59</f>
        <v>490.6545494191077</v>
      </c>
      <c r="K85" s="146"/>
    </row>
    <row r="87" spans="2:13">
      <c r="E87" s="1324" t="s">
        <v>1074</v>
      </c>
      <c r="F87" s="1324"/>
      <c r="G87" s="1324"/>
      <c r="H87" s="1324"/>
      <c r="I87" s="1324" t="s">
        <v>1073</v>
      </c>
      <c r="J87" s="1324"/>
      <c r="K87" s="1324"/>
      <c r="L87" s="1324"/>
    </row>
    <row r="88" spans="2:13">
      <c r="C88" s="1" t="s">
        <v>1072</v>
      </c>
      <c r="E88" s="829" t="s">
        <v>1065</v>
      </c>
      <c r="F88" s="829" t="s">
        <v>1064</v>
      </c>
      <c r="G88" s="829" t="s">
        <v>1063</v>
      </c>
      <c r="H88" s="829" t="s">
        <v>1062</v>
      </c>
      <c r="I88" s="829" t="s">
        <v>1065</v>
      </c>
      <c r="J88" s="829" t="s">
        <v>1064</v>
      </c>
      <c r="K88" s="829" t="s">
        <v>1063</v>
      </c>
      <c r="L88" s="829" t="s">
        <v>1062</v>
      </c>
    </row>
    <row r="89" spans="2:13">
      <c r="C89" s="1" t="s">
        <v>1071</v>
      </c>
      <c r="E89" s="834">
        <f>20.84%</f>
        <v>0.2084</v>
      </c>
      <c r="F89" s="834">
        <v>0.1908</v>
      </c>
      <c r="G89" s="834">
        <v>0.26369999999999999</v>
      </c>
      <c r="H89" s="834">
        <v>0.33710000000000001</v>
      </c>
      <c r="I89" s="475">
        <v>0.82699999999999996</v>
      </c>
      <c r="J89" s="475">
        <v>1.6</v>
      </c>
      <c r="K89" s="475">
        <v>2.82</v>
      </c>
      <c r="L89" s="475">
        <v>10.15</v>
      </c>
    </row>
    <row r="90" spans="2:13">
      <c r="C90" s="127" t="s">
        <v>1070</v>
      </c>
      <c r="D90" s="1" t="s">
        <v>1415</v>
      </c>
      <c r="E90" s="637">
        <v>0.61920000000000008</v>
      </c>
      <c r="F90" s="637">
        <v>0.13771428571428571</v>
      </c>
      <c r="G90" s="637">
        <v>0.14204285714285714</v>
      </c>
      <c r="H90" s="637">
        <v>0.10104285714285713</v>
      </c>
      <c r="I90" s="475">
        <v>0.58199999999999996</v>
      </c>
      <c r="J90" s="475">
        <v>1.5995714285714284</v>
      </c>
      <c r="K90" s="475">
        <v>2.7598571428571432</v>
      </c>
      <c r="L90" s="475">
        <v>9.035857142857143</v>
      </c>
      <c r="M90" s="914"/>
    </row>
    <row r="91" spans="2:13">
      <c r="C91" s="127" t="s">
        <v>14</v>
      </c>
      <c r="E91" s="133">
        <v>0.45091779661016956</v>
      </c>
      <c r="F91" s="133">
        <v>0.14765762711864408</v>
      </c>
      <c r="G91" s="133">
        <v>0.17088474576271184</v>
      </c>
      <c r="H91" s="133">
        <v>0.23056186440677967</v>
      </c>
      <c r="I91" s="475">
        <v>0.65099152542372873</v>
      </c>
      <c r="J91" s="475">
        <v>1.5969915254237292</v>
      </c>
      <c r="K91" s="475">
        <v>2.8421016949152547</v>
      </c>
      <c r="L91" s="475">
        <v>9.7672881355932208</v>
      </c>
    </row>
    <row r="92" spans="2:13">
      <c r="C92" s="827" t="s">
        <v>706</v>
      </c>
      <c r="D92" s="1" t="s">
        <v>1416</v>
      </c>
      <c r="E92" s="637">
        <v>0.64476152865019609</v>
      </c>
      <c r="F92" s="637">
        <v>0.12097749167343054</v>
      </c>
      <c r="G92" s="637">
        <v>0.14389705841193429</v>
      </c>
      <c r="H92" s="637">
        <v>9.0355687856603084E-2</v>
      </c>
      <c r="I92" s="531">
        <v>0.56228241524491918</v>
      </c>
      <c r="J92" s="531">
        <v>1.5816739143472889</v>
      </c>
      <c r="K92" s="531">
        <v>2.7696428751354443</v>
      </c>
      <c r="L92" s="531">
        <v>12.079712522440754</v>
      </c>
    </row>
    <row r="93" spans="2:13">
      <c r="C93" s="827" t="s">
        <v>35</v>
      </c>
      <c r="D93" s="914" t="s">
        <v>1416</v>
      </c>
      <c r="E93" s="637">
        <v>0.66997746533232416</v>
      </c>
      <c r="F93" s="637">
        <v>0.11354910391754283</v>
      </c>
      <c r="G93" s="637">
        <v>0.12026065399163145</v>
      </c>
      <c r="H93" s="637">
        <v>9.620119004549435E-2</v>
      </c>
      <c r="I93" s="531">
        <v>0.52408331210120007</v>
      </c>
      <c r="J93" s="531">
        <v>1.605224712227052</v>
      </c>
      <c r="K93" s="531">
        <v>2.7677503480607513</v>
      </c>
      <c r="L93" s="531">
        <v>8.407523004288727</v>
      </c>
    </row>
    <row r="94" spans="2:13">
      <c r="C94" s="827" t="s">
        <v>1068</v>
      </c>
      <c r="D94" s="914" t="s">
        <v>1416</v>
      </c>
      <c r="E94" s="834">
        <v>0.56422852127728906</v>
      </c>
      <c r="F94" s="834">
        <v>0.15326315909436095</v>
      </c>
      <c r="G94" s="834">
        <v>0.16392908280406127</v>
      </c>
      <c r="H94" s="834">
        <v>0.11857923682428896</v>
      </c>
      <c r="I94" s="835">
        <v>0.653193671989168</v>
      </c>
      <c r="J94" s="835">
        <v>1.5927352456377666</v>
      </c>
      <c r="K94" s="835">
        <v>2.7875145755748818</v>
      </c>
      <c r="L94" s="835">
        <v>10.368615691546355</v>
      </c>
      <c r="M94" s="914"/>
    </row>
    <row r="95" spans="2:13">
      <c r="C95" s="827" t="s">
        <v>1067</v>
      </c>
      <c r="D95" s="914" t="s">
        <v>1416</v>
      </c>
      <c r="E95" s="637">
        <f>E90*$H52/'Poverty Scorecard'!$D$18+E91*($E59)/'Poverty Scorecard'!$D$18+E92*health!$E42/'Poverty Scorecard'!$D$18+E94*health!$I42/'Poverty Scorecard'!$D$18</f>
        <v>0.59017601654926877</v>
      </c>
      <c r="F95" s="637">
        <f>F90*$H52/'Poverty Scorecard'!$D$18+F91*($E59)/'Poverty Scorecard'!$D$18+F92*health!$E42/'Poverty Scorecard'!$D$18+F94*health!$I42/'Poverty Scorecard'!$D$18</f>
        <v>0.13834831332279218</v>
      </c>
      <c r="G95" s="637">
        <f>G90*$H52/'Poverty Scorecard'!$D$18+G91*($E59)/'Poverty Scorecard'!$D$18+G92*health!$E42/'Poverty Scorecard'!$D$18+G94*health!$I42/'Poverty Scorecard'!$D$18</f>
        <v>0.14797062325516608</v>
      </c>
      <c r="H95" s="637">
        <f>H90*$H52/'Poverty Scorecard'!$D$18+H91*($E59)/'Poverty Scorecard'!$D$18+H92*health!$E42/'Poverty Scorecard'!$D$18+H94*health!$I42/'Poverty Scorecard'!$D$18</f>
        <v>0.12350817498799616</v>
      </c>
      <c r="I95" s="531">
        <f>I90*$H52/'Poverty Scorecard'!$D$18+I91*($E59)/'Poverty Scorecard'!$D$18+I92*health!$E42/'Poverty Scorecard'!$D$18+I94*health!$I42/'Poverty Scorecard'!$D$18</f>
        <v>0.59444536205637455</v>
      </c>
      <c r="J95" s="531">
        <f>J90*$H52/'Poverty Scorecard'!$D$18+J91*($E59)/'Poverty Scorecard'!$D$18+J92*health!$E42/'Poverty Scorecard'!$D$18+J94*health!$I42/'Poverty Scorecard'!$D$18</f>
        <v>1.5972220696219741</v>
      </c>
      <c r="K95" s="531">
        <f>K90*$H52/'Poverty Scorecard'!$D$18+K91*($E59)/'Poverty Scorecard'!$D$18+K92*health!$E42/'Poverty Scorecard'!$D$18+K94*health!$I42/'Poverty Scorecard'!$D$18</f>
        <v>2.7761718433580929</v>
      </c>
      <c r="L95" s="531">
        <f>L90*$H52/'Poverty Scorecard'!$D$18+L91*($E59)/'Poverty Scorecard'!$D$18+L92*health!$E42/'Poverty Scorecard'!$D$18+L94*health!$I42/'Poverty Scorecard'!$D$18</f>
        <v>9.4922703840590668</v>
      </c>
    </row>
    <row r="96" spans="2:13" s="914" customFormat="1">
      <c r="C96" s="827" t="s">
        <v>1417</v>
      </c>
      <c r="E96" s="202">
        <f>E92*health!$E42/SUM(health!$E$42,health!$I$42)+E94*health!$I42/SUM(health!$E$42,health!$I$42)</f>
        <v>0.6257707690301032</v>
      </c>
      <c r="F96" s="202">
        <f>F92*health!$E42/SUM(health!$E$42,health!$I$42)+F94*health!$I42/SUM(health!$E$42,health!$I$42)</f>
        <v>0.12859088361254023</v>
      </c>
      <c r="G96" s="202">
        <f>G92*health!$E42/SUM(health!$E$42,health!$I$42)+G94*health!$I42/SUM(health!$E$42,health!$I$42)</f>
        <v>0.14862087753088479</v>
      </c>
      <c r="H96" s="202">
        <f>H92*health!$E42/SUM(health!$E$42,health!$I$42)+H94*health!$I42/SUM(health!$E$42,health!$I$42)</f>
        <v>9.701117796625916E-2</v>
      </c>
      <c r="I96" s="531">
        <f>I91*$H53/'Poverty Scorecard'!$D$18+I92*($E60)/'Poverty Scorecard'!$D$18+I93*health!$E43/'Poverty Scorecard'!$D$18+I95*health!$I43/'Poverty Scorecard'!$D$18</f>
        <v>0</v>
      </c>
      <c r="J96" s="531">
        <f>J91*$H53/'Poverty Scorecard'!$D$18+J92*($E60)/'Poverty Scorecard'!$D$18+J93*health!$E43/'Poverty Scorecard'!$D$18+J95*health!$I43/'Poverty Scorecard'!$D$18</f>
        <v>0</v>
      </c>
      <c r="K96" s="531">
        <f>K91*$H53/'Poverty Scorecard'!$D$18+K92*($E60)/'Poverty Scorecard'!$D$18+K93*health!$E43/'Poverty Scorecard'!$D$18+K95*health!$I43/'Poverty Scorecard'!$D$18</f>
        <v>0</v>
      </c>
      <c r="L96" s="531">
        <f>L91*$H53/'Poverty Scorecard'!$D$18+L92*($E60)/'Poverty Scorecard'!$D$18+L93*health!$E43/'Poverty Scorecard'!$D$18+L95*health!$I43/'Poverty Scorecard'!$D$18</f>
        <v>0</v>
      </c>
    </row>
    <row r="97" spans="2:12" ht="15.75" customHeight="1">
      <c r="B97" s="914"/>
      <c r="C97" s="914" t="s">
        <v>162</v>
      </c>
      <c r="D97" s="106"/>
      <c r="E97" s="133">
        <v>0.63619999999999999</v>
      </c>
      <c r="F97" s="133">
        <v>0.1152</v>
      </c>
      <c r="G97" s="133">
        <v>0.12859999999999999</v>
      </c>
      <c r="H97" s="133">
        <v>0.12</v>
      </c>
      <c r="I97" s="475">
        <v>0.56999999999999995</v>
      </c>
      <c r="J97" s="475">
        <v>1.56</v>
      </c>
      <c r="K97" s="475">
        <v>2.69</v>
      </c>
      <c r="L97" s="475">
        <v>8.49</v>
      </c>
    </row>
    <row r="98" spans="2:12">
      <c r="C98" s="914" t="s">
        <v>161</v>
      </c>
      <c r="D98" s="106"/>
      <c r="E98" s="133">
        <v>0.6</v>
      </c>
      <c r="F98" s="133">
        <v>0.14940000000000001</v>
      </c>
      <c r="G98" s="133">
        <v>0.16920000000000002</v>
      </c>
      <c r="H98" s="133">
        <v>8.539999999999999E-2</v>
      </c>
      <c r="I98" s="475">
        <v>0.58099999999999996</v>
      </c>
      <c r="J98" s="475">
        <v>1.5649999999999999</v>
      </c>
      <c r="K98" s="475">
        <v>2.7559999999999998</v>
      </c>
      <c r="L98" s="475">
        <v>6.22</v>
      </c>
    </row>
    <row r="99" spans="2:12">
      <c r="C99" s="914" t="s">
        <v>83</v>
      </c>
      <c r="D99" s="106"/>
      <c r="E99" s="133">
        <v>0.60780000000000001</v>
      </c>
      <c r="F99" s="133">
        <v>0.14019999999999999</v>
      </c>
      <c r="G99" s="133">
        <v>0.1176</v>
      </c>
      <c r="H99" s="133">
        <v>0.1343</v>
      </c>
      <c r="I99" s="475">
        <v>0.56399999999999995</v>
      </c>
      <c r="J99" s="475">
        <v>1.593</v>
      </c>
      <c r="K99" s="475">
        <v>2.92</v>
      </c>
      <c r="L99" s="475">
        <v>9.0299999999999994</v>
      </c>
    </row>
    <row r="100" spans="2:12">
      <c r="C100" s="914" t="s">
        <v>88</v>
      </c>
      <c r="D100" s="106"/>
      <c r="E100" s="133">
        <v>0.70750000000000002</v>
      </c>
      <c r="F100" s="133">
        <v>0.1094</v>
      </c>
      <c r="G100" s="133">
        <v>0.11890000000000001</v>
      </c>
      <c r="H100" s="133">
        <v>6.4199999999999993E-2</v>
      </c>
      <c r="I100" s="475">
        <v>0.53</v>
      </c>
      <c r="J100" s="475">
        <v>1.609</v>
      </c>
      <c r="K100" s="475">
        <v>2.726</v>
      </c>
      <c r="L100" s="475">
        <v>8.0660000000000007</v>
      </c>
    </row>
    <row r="101" spans="2:12">
      <c r="C101" s="914" t="s">
        <v>86</v>
      </c>
      <c r="D101" s="106"/>
      <c r="E101" s="133">
        <v>0.67700000000000005</v>
      </c>
      <c r="F101" s="133">
        <v>0.12870000000000001</v>
      </c>
      <c r="G101" s="133">
        <v>0.12869999999999998</v>
      </c>
      <c r="H101" s="133">
        <v>6.5599999999999992E-2</v>
      </c>
      <c r="I101" s="475">
        <v>0.55200000000000005</v>
      </c>
      <c r="J101" s="475">
        <v>1.5940000000000001</v>
      </c>
      <c r="K101" s="475">
        <v>2.71</v>
      </c>
      <c r="L101" s="475">
        <v>7.5350000000000001</v>
      </c>
    </row>
    <row r="102" spans="2:12">
      <c r="C102" s="914" t="s">
        <v>155</v>
      </c>
      <c r="D102" s="106"/>
      <c r="E102" s="133">
        <v>0.54139999999999999</v>
      </c>
      <c r="F102" s="133">
        <v>0.16120000000000001</v>
      </c>
      <c r="G102" s="133">
        <v>0.16120000000000001</v>
      </c>
      <c r="H102" s="133">
        <v>0.13619999999999999</v>
      </c>
      <c r="I102" s="475">
        <v>0.59799999999999998</v>
      </c>
      <c r="J102" s="475">
        <v>1.603</v>
      </c>
      <c r="K102" s="475">
        <v>2.81</v>
      </c>
      <c r="L102" s="475">
        <v>9.968</v>
      </c>
    </row>
    <row r="103" spans="2:12">
      <c r="C103" s="69" t="s">
        <v>154</v>
      </c>
      <c r="D103" s="35"/>
      <c r="E103" s="834">
        <v>0.68630000000000002</v>
      </c>
      <c r="F103" s="834">
        <v>0.12509999999999999</v>
      </c>
      <c r="G103" s="834">
        <v>0.12239999999999999</v>
      </c>
      <c r="H103" s="834">
        <v>6.6199999999999995E-2</v>
      </c>
      <c r="I103" s="475">
        <v>0.52010000000000001</v>
      </c>
      <c r="J103" s="475">
        <v>1.583</v>
      </c>
      <c r="K103" s="475">
        <v>2.82</v>
      </c>
      <c r="L103" s="475">
        <v>8.7100000000000009</v>
      </c>
    </row>
    <row r="104" spans="2:12" ht="15.75" customHeight="1">
      <c r="C104" s="914"/>
      <c r="D104" s="914"/>
      <c r="E104" s="133"/>
      <c r="F104" s="914"/>
    </row>
    <row r="105" spans="2:12">
      <c r="C105" s="827" t="s">
        <v>707</v>
      </c>
      <c r="K105" s="133"/>
    </row>
    <row r="106" spans="2:12">
      <c r="C106" s="827"/>
      <c r="I106" s="125"/>
      <c r="J106" s="125"/>
      <c r="K106" s="133"/>
      <c r="L106" s="125"/>
    </row>
    <row r="107" spans="2:12">
      <c r="C107" s="69" t="s">
        <v>1066</v>
      </c>
      <c r="D107" s="69" t="s">
        <v>72</v>
      </c>
      <c r="E107" s="829" t="s">
        <v>1065</v>
      </c>
      <c r="F107" s="829" t="s">
        <v>1064</v>
      </c>
      <c r="G107" s="829" t="s">
        <v>1063</v>
      </c>
      <c r="H107" s="829" t="s">
        <v>1062</v>
      </c>
      <c r="I107" s="833"/>
      <c r="K107" s="133"/>
    </row>
    <row r="108" spans="2:12">
      <c r="C108" s="205" t="s">
        <v>1061</v>
      </c>
      <c r="D108" s="106">
        <f>F52</f>
        <v>510.50482861136271</v>
      </c>
      <c r="E108" s="75">
        <v>0</v>
      </c>
      <c r="F108" s="75">
        <v>0</v>
      </c>
      <c r="G108" s="75">
        <f>F52/D34*D32</f>
        <v>459.45434575022648</v>
      </c>
      <c r="H108" s="75">
        <f>F52/D34*D33</f>
        <v>51.05048286113626</v>
      </c>
      <c r="K108" s="133"/>
    </row>
    <row r="109" spans="2:12">
      <c r="C109" s="205" t="s">
        <v>816</v>
      </c>
      <c r="D109" s="106">
        <f>H52</f>
        <v>860000</v>
      </c>
      <c r="E109" s="125">
        <f>E90*$D$109</f>
        <v>532512.00000000012</v>
      </c>
      <c r="F109" s="125">
        <f>F90*$D$109</f>
        <v>118434.28571428571</v>
      </c>
      <c r="G109" s="125">
        <f>G90*$D$109</f>
        <v>122156.85714285714</v>
      </c>
      <c r="H109" s="125">
        <f>H90*$D$109</f>
        <v>86896.85714285713</v>
      </c>
      <c r="I109" s="125"/>
      <c r="K109" s="133"/>
    </row>
    <row r="110" spans="2:12">
      <c r="C110" s="205" t="s">
        <v>1059</v>
      </c>
      <c r="D110" s="125">
        <f>SUM(E110:H110)</f>
        <v>5101.7092857142852</v>
      </c>
      <c r="E110" s="125">
        <f>I90*365</f>
        <v>212.42999999999998</v>
      </c>
      <c r="F110" s="125">
        <f>J90*365</f>
        <v>583.84357142857141</v>
      </c>
      <c r="G110" s="125">
        <f>K90*365</f>
        <v>1007.3478571428573</v>
      </c>
      <c r="H110" s="125">
        <f>L90*365</f>
        <v>3298.087857142857</v>
      </c>
      <c r="I110" s="125"/>
      <c r="K110" s="133"/>
    </row>
    <row r="111" spans="2:12">
      <c r="C111" s="205" t="s">
        <v>1058</v>
      </c>
      <c r="D111" s="125">
        <f>SUM(E111:H111)</f>
        <v>11.614954039238318</v>
      </c>
      <c r="E111" s="125">
        <f>LOG(E110)</f>
        <v>2.3272158491063633</v>
      </c>
      <c r="F111" s="125">
        <f>LOG(F110)</f>
        <v>2.7662965026507749</v>
      </c>
      <c r="G111" s="125">
        <f>LOG(G110)</f>
        <v>3.0031794669294669</v>
      </c>
      <c r="H111" s="125">
        <f>LOG(H110)</f>
        <v>3.5182622205517142</v>
      </c>
      <c r="I111" s="125"/>
      <c r="K111" s="133"/>
    </row>
    <row r="112" spans="2:12">
      <c r="C112" s="205" t="s">
        <v>1057</v>
      </c>
      <c r="D112" s="125">
        <f>SUM(E112:H112)</f>
        <v>2239479.6112911575</v>
      </c>
      <c r="E112" s="125">
        <f>E111*E109</f>
        <v>1239270.3662393279</v>
      </c>
      <c r="F112" s="125">
        <f>F111*F109</f>
        <v>327624.35036537121</v>
      </c>
      <c r="G112" s="125">
        <f>G111*G109</f>
        <v>366858.96511606476</v>
      </c>
      <c r="H112" s="125">
        <f>H111*H109</f>
        <v>305725.92957039364</v>
      </c>
      <c r="K112" s="133"/>
    </row>
    <row r="113" spans="3:11">
      <c r="C113" s="1" t="s">
        <v>1056</v>
      </c>
      <c r="D113" s="832">
        <f>E113+F113+G113+H113</f>
        <v>51786823.657233223</v>
      </c>
      <c r="E113" s="832">
        <f>(E112/$D$112*$H$65*1000000)*E13</f>
        <v>28657495.070057623</v>
      </c>
      <c r="F113" s="832">
        <f>(F112/$D$112*$H$65*1000000)*E13</f>
        <v>7576145.9817020046</v>
      </c>
      <c r="G113" s="832">
        <f>(G112/$D$112*$H$65*1000000+F65*D35/D37*1000000)*E13</f>
        <v>8483426.4343167096</v>
      </c>
      <c r="H113" s="832">
        <f>(H112/$D$112*$H$65*1000000+F65*D36/D37*1000000)*E13</f>
        <v>7069756.1711568814</v>
      </c>
    </row>
    <row r="114" spans="3:11">
      <c r="C114" s="1" t="s">
        <v>1055</v>
      </c>
      <c r="D114" s="106"/>
      <c r="E114" s="125">
        <f>E113/(E109+E108)</f>
        <v>53.815679402638096</v>
      </c>
      <c r="F114" s="125">
        <f>F113/(F109+F108)</f>
        <v>63.969195541727821</v>
      </c>
      <c r="G114" s="125">
        <f>G113/(G109+G108)</f>
        <v>69.186769128224256</v>
      </c>
      <c r="H114" s="125">
        <f>H113/(H109+H108)</f>
        <v>81.310250749101669</v>
      </c>
      <c r="K114" s="125"/>
    </row>
    <row r="115" spans="3:11">
      <c r="D115" s="106"/>
      <c r="E115" s="125"/>
      <c r="F115" s="125">
        <f>(F109*F114+E109*E114)/(E109+F109)</f>
        <v>55.66302757530957</v>
      </c>
      <c r="G115" s="125"/>
      <c r="H115" s="125"/>
    </row>
    <row r="116" spans="3:11">
      <c r="C116" s="825" t="s">
        <v>1045</v>
      </c>
    </row>
    <row r="117" spans="3:11">
      <c r="C117" s="69" t="s">
        <v>1066</v>
      </c>
      <c r="D117" s="69" t="s">
        <v>72</v>
      </c>
      <c r="E117" s="829" t="s">
        <v>1065</v>
      </c>
      <c r="F117" s="829" t="s">
        <v>1064</v>
      </c>
      <c r="G117" s="829" t="s">
        <v>1063</v>
      </c>
      <c r="H117" s="829" t="s">
        <v>1062</v>
      </c>
    </row>
    <row r="118" spans="3:11">
      <c r="C118" s="1" t="s">
        <v>1061</v>
      </c>
      <c r="D118" s="2">
        <f>F59</f>
        <v>86.517303371256702</v>
      </c>
      <c r="E118" s="75">
        <v>0</v>
      </c>
      <c r="F118" s="75">
        <v>0</v>
      </c>
      <c r="G118" s="75">
        <f>D118*D32/D34</f>
        <v>77.865573034131046</v>
      </c>
      <c r="H118" s="75">
        <f>D118*D33/D34</f>
        <v>8.6517303371256684</v>
      </c>
      <c r="I118" s="75"/>
    </row>
    <row r="119" spans="3:11">
      <c r="C119" s="1" t="s">
        <v>1060</v>
      </c>
      <c r="D119" s="2">
        <f>E59+G59+J59</f>
        <v>241609.44512221101</v>
      </c>
      <c r="E119" s="75">
        <f>E91*$D$119</f>
        <v>108945.99863471306</v>
      </c>
      <c r="F119" s="75">
        <f>F91*$D$119</f>
        <v>35675.477356197931</v>
      </c>
      <c r="G119" s="75">
        <f>G91*$D$119</f>
        <v>41287.368603578907</v>
      </c>
      <c r="H119" s="75">
        <f>H91*$D$119</f>
        <v>55705.924125664489</v>
      </c>
    </row>
    <row r="120" spans="3:11">
      <c r="C120" s="205" t="s">
        <v>1059</v>
      </c>
      <c r="D120" s="76">
        <f>SUM(E120:H120)</f>
        <v>5422.9411016949161</v>
      </c>
      <c r="E120" s="76">
        <f>I91*365</f>
        <v>237.61190677966098</v>
      </c>
      <c r="F120" s="76">
        <f>J91*365</f>
        <v>582.9019067796612</v>
      </c>
      <c r="G120" s="76">
        <f>K91*365</f>
        <v>1037.3671186440679</v>
      </c>
      <c r="H120" s="76">
        <f>L91*365</f>
        <v>3565.0601694915258</v>
      </c>
    </row>
    <row r="121" spans="3:11">
      <c r="C121" s="205" t="s">
        <v>1058</v>
      </c>
      <c r="D121" s="76">
        <f>SUM(E121:H121)</f>
        <v>11.70946301756649</v>
      </c>
      <c r="E121" s="125">
        <f>LOG(E120)</f>
        <v>2.3758681994368525</v>
      </c>
      <c r="F121" s="125">
        <f>LOG(F120)</f>
        <v>2.7655954759791306</v>
      </c>
      <c r="G121" s="125">
        <f>LOG(G120)</f>
        <v>3.0159324780726853</v>
      </c>
      <c r="H121" s="125">
        <f>LOG(H120)</f>
        <v>3.552066864077823</v>
      </c>
    </row>
    <row r="122" spans="3:11">
      <c r="C122" s="205" t="s">
        <v>1057</v>
      </c>
      <c r="D122" s="750">
        <f>SUM(E122:H122)</f>
        <v>679896.35551710078</v>
      </c>
      <c r="E122" s="750">
        <f>E121*E119</f>
        <v>258841.33361210552</v>
      </c>
      <c r="F122" s="750">
        <f>F121*F119</f>
        <v>98663.938779696909</v>
      </c>
      <c r="G122" s="750">
        <f>G121*G119</f>
        <v>124519.91590569212</v>
      </c>
      <c r="H122" s="750">
        <f>H121*H119</f>
        <v>197871.1672196062</v>
      </c>
    </row>
    <row r="123" spans="3:11">
      <c r="C123" s="1" t="s">
        <v>1056</v>
      </c>
      <c r="D123" s="750">
        <f>SUM(E123:H123)</f>
        <v>39618268.478456721</v>
      </c>
      <c r="E123" s="750">
        <f>E122/$D$122*($E$72+$G$72+$I$72+$J$72)*1000000*$E$13</f>
        <v>15082953.990195716</v>
      </c>
      <c r="F123" s="750">
        <f>F122/$D$122*($E$72+$G$72+$I$72+$J$72)*1000000*$E$13</f>
        <v>5749250.4320649104</v>
      </c>
      <c r="G123" s="750">
        <f>G122/$D$122*($E$72+$G$72+$I$72+$J$72)*1000000*$E$13+F72*D35/D37*1000000*$E$13</f>
        <v>7255905.1379449284</v>
      </c>
      <c r="H123" s="750">
        <f>H122/$D$122*($E$72+$G$72+$I$72+$J$72)*1000000*$E$13+F72*D36/D37*1000000*$E$13</f>
        <v>11530158.918251162</v>
      </c>
    </row>
    <row r="124" spans="3:11">
      <c r="C124" s="1" t="s">
        <v>1055</v>
      </c>
      <c r="E124" s="1">
        <f>E123/(E119+E118)</f>
        <v>138.444313505883</v>
      </c>
      <c r="F124" s="1">
        <f>F123/(F119+F118)</f>
        <v>161.1541276564331</v>
      </c>
      <c r="G124" s="1">
        <f>G123/(G119+G118)</f>
        <v>175.41071100830976</v>
      </c>
      <c r="H124" s="1">
        <f>H123/(H119+H118)</f>
        <v>206.95049259733571</v>
      </c>
    </row>
    <row r="126" spans="3:11">
      <c r="C126" s="827" t="s">
        <v>706</v>
      </c>
    </row>
    <row r="127" spans="3:11">
      <c r="C127" s="69" t="s">
        <v>1066</v>
      </c>
      <c r="D127" s="69" t="s">
        <v>72</v>
      </c>
      <c r="E127" s="829" t="s">
        <v>1065</v>
      </c>
      <c r="F127" s="829" t="s">
        <v>1064</v>
      </c>
      <c r="G127" s="829" t="s">
        <v>1063</v>
      </c>
      <c r="H127" s="829" t="s">
        <v>1062</v>
      </c>
    </row>
    <row r="128" spans="3:11">
      <c r="C128" s="1" t="s">
        <v>1061</v>
      </c>
      <c r="D128" s="2">
        <f>F53</f>
        <v>199.46354464121788</v>
      </c>
      <c r="E128" s="1">
        <v>0</v>
      </c>
      <c r="F128" s="1">
        <v>0</v>
      </c>
      <c r="G128" s="75">
        <f>D128*D32/D34</f>
        <v>179.51719017709613</v>
      </c>
      <c r="H128" s="75">
        <f>D128*D33/D34</f>
        <v>19.946354464121786</v>
      </c>
    </row>
    <row r="129" spans="3:10">
      <c r="C129" s="1" t="s">
        <v>1060</v>
      </c>
      <c r="D129" s="2">
        <f>E53</f>
        <v>250102</v>
      </c>
      <c r="E129" s="75">
        <f>$D$129*E92</f>
        <v>161256.14783847134</v>
      </c>
      <c r="F129" s="75">
        <f>$D$129*F92</f>
        <v>30256.712622508327</v>
      </c>
      <c r="G129" s="75">
        <f>$D$129*G92</f>
        <v>35988.94210294159</v>
      </c>
      <c r="H129" s="75">
        <f>$D$129*H92</f>
        <v>22598.138244312144</v>
      </c>
      <c r="J129" s="75"/>
    </row>
    <row r="130" spans="3:10">
      <c r="C130" s="205" t="s">
        <v>1059</v>
      </c>
      <c r="D130" s="76">
        <f>SUM(E130:H130)</f>
        <v>6202.5587804164679</v>
      </c>
      <c r="E130" s="1">
        <f>I92*365</f>
        <v>205.23308156439549</v>
      </c>
      <c r="F130" s="1">
        <f>J92*365</f>
        <v>577.31097873676049</v>
      </c>
      <c r="G130" s="1">
        <f>K92*365</f>
        <v>1010.9196494244371</v>
      </c>
      <c r="H130" s="1">
        <f>L92*365</f>
        <v>4409.0950706908752</v>
      </c>
    </row>
    <row r="131" spans="3:10">
      <c r="C131" s="205" t="s">
        <v>1058</v>
      </c>
      <c r="D131" s="76">
        <f>SUM(E131:H131)</f>
        <v>11.722723284114466</v>
      </c>
      <c r="E131" s="76">
        <f>LOG(E130)</f>
        <v>2.3122473661029668</v>
      </c>
      <c r="F131" s="76">
        <f>LOG(F130)</f>
        <v>2.7614098165657648</v>
      </c>
      <c r="G131" s="76">
        <f>LOG(G130)</f>
        <v>3.0047166380852111</v>
      </c>
      <c r="H131" s="76">
        <f>LOG(H130)</f>
        <v>3.6443494633605238</v>
      </c>
    </row>
    <row r="132" spans="3:10">
      <c r="C132" s="205" t="s">
        <v>1057</v>
      </c>
      <c r="D132" s="75">
        <f>SUM(E132:H132)</f>
        <v>646907.37246761948</v>
      </c>
      <c r="E132" s="75">
        <f>E131*E129</f>
        <v>372864.10310741595</v>
      </c>
      <c r="F132" s="75">
        <f>F131*F129</f>
        <v>83551.183252803778</v>
      </c>
      <c r="G132" s="75">
        <f>G131*G129</f>
        <v>108136.57312379396</v>
      </c>
      <c r="H132" s="75">
        <f>H131*H129</f>
        <v>82355.512983605891</v>
      </c>
    </row>
    <row r="133" spans="3:10">
      <c r="C133" s="1" t="s">
        <v>1056</v>
      </c>
      <c r="D133" s="750">
        <f>SUM(E133:H133)</f>
        <v>123055399.03724441</v>
      </c>
      <c r="E133" s="474">
        <f>E132/$D$132*($E$66+$G$66)*1000000*$E$13</f>
        <v>70926600.850949407</v>
      </c>
      <c r="F133" s="474">
        <f>F132/$D$132*($E$66+$G$66)*1000000*$E$13</f>
        <v>15893193.728785848</v>
      </c>
      <c r="G133" s="474">
        <f>G132/$D$132*($E$66+$G$66)*1000000*$E$13+F66*D35/D37*1000000*$E$13</f>
        <v>20569852.381663322</v>
      </c>
      <c r="H133" s="474">
        <f>H132/$D$132*($E$66+$G$66)*1000000*$E$13+F66*D36/D37*1000000*$E$13</f>
        <v>15665752.075845834</v>
      </c>
    </row>
    <row r="134" spans="3:10">
      <c r="C134" s="1" t="s">
        <v>1055</v>
      </c>
      <c r="D134" s="76">
        <f>SUM(E134:H134)</f>
        <v>2226.4605146129993</v>
      </c>
      <c r="E134" s="1">
        <f>E133/(E128+E129)</f>
        <v>439.83811967278211</v>
      </c>
      <c r="F134" s="1">
        <f>F133/(F128+F129)</f>
        <v>525.27827219942969</v>
      </c>
      <c r="G134" s="1">
        <f>G133/(G128+G129)</f>
        <v>568.72348957305155</v>
      </c>
      <c r="H134" s="1">
        <f>H133/(H128+H129)</f>
        <v>692.62063316773595</v>
      </c>
    </row>
    <row r="136" spans="3:10">
      <c r="C136" s="827" t="s">
        <v>35</v>
      </c>
    </row>
    <row r="137" spans="3:10">
      <c r="C137" s="69" t="s">
        <v>1066</v>
      </c>
      <c r="D137" s="69" t="s">
        <v>72</v>
      </c>
      <c r="E137" s="829" t="s">
        <v>1065</v>
      </c>
      <c r="F137" s="829" t="s">
        <v>1064</v>
      </c>
      <c r="G137" s="829" t="s">
        <v>1063</v>
      </c>
      <c r="H137" s="829" t="s">
        <v>1062</v>
      </c>
    </row>
    <row r="138" spans="3:10">
      <c r="C138" s="1" t="s">
        <v>1061</v>
      </c>
      <c r="D138" s="2">
        <f>F54</f>
        <v>221.22043677126081</v>
      </c>
      <c r="E138" s="75">
        <v>0</v>
      </c>
      <c r="F138" s="75">
        <v>0</v>
      </c>
      <c r="G138" s="75">
        <f>D138*D32/D34</f>
        <v>199.09839309413476</v>
      </c>
      <c r="H138" s="75">
        <f>D138*D33/D34</f>
        <v>22.122043677126079</v>
      </c>
    </row>
    <row r="139" spans="3:10">
      <c r="C139" s="1" t="s">
        <v>1060</v>
      </c>
      <c r="D139" s="2">
        <f>E54</f>
        <v>155280</v>
      </c>
      <c r="E139" s="1">
        <f>$D$139*E93</f>
        <v>104034.1008168033</v>
      </c>
      <c r="F139" s="1">
        <f>$D$139*F93</f>
        <v>17631.90485631605</v>
      </c>
      <c r="G139" s="1">
        <f>$D$139*G93</f>
        <v>18674.074351820531</v>
      </c>
      <c r="H139" s="1">
        <f>$D$139*H93</f>
        <v>14938.120790264362</v>
      </c>
    </row>
    <row r="140" spans="3:10">
      <c r="C140" s="205" t="s">
        <v>1059</v>
      </c>
      <c r="D140" s="76">
        <f>SUM(E140:H140)</f>
        <v>4856.1722024873716</v>
      </c>
      <c r="E140" s="1">
        <f>I93*365</f>
        <v>191.29040891693802</v>
      </c>
      <c r="F140" s="1">
        <f>J93*365</f>
        <v>585.90701996287396</v>
      </c>
      <c r="G140" s="1">
        <f>K93*365</f>
        <v>1010.2288770421742</v>
      </c>
      <c r="H140" s="1">
        <f>L93*365</f>
        <v>3068.7458965653855</v>
      </c>
    </row>
    <row r="141" spans="3:10">
      <c r="C141" s="205" t="s">
        <v>1058</v>
      </c>
      <c r="D141" s="76">
        <f>SUM(E141:H141)</f>
        <v>11.540902604272921</v>
      </c>
      <c r="E141" s="750">
        <f>LOG(E140)</f>
        <v>2.2816931955428701</v>
      </c>
      <c r="F141" s="750">
        <f>LOG(F140)</f>
        <v>2.7678287014771792</v>
      </c>
      <c r="G141" s="750">
        <f>LOG(G140)</f>
        <v>3.0044197785109437</v>
      </c>
      <c r="H141" s="750">
        <f>LOG(H140)</f>
        <v>3.4869609287419272</v>
      </c>
    </row>
    <row r="142" spans="3:10">
      <c r="C142" s="205" t="s">
        <v>1057</v>
      </c>
      <c r="D142" s="75">
        <f>SUM(E142:H142)</f>
        <v>394369.39413362037</v>
      </c>
      <c r="E142" s="750">
        <f>E141*E139</f>
        <v>237373.89993812103</v>
      </c>
      <c r="F142" s="750">
        <f>F141*F139</f>
        <v>48802.092323026423</v>
      </c>
      <c r="G142" s="750">
        <f>G141*G139</f>
        <v>56104.758327993535</v>
      </c>
      <c r="H142" s="750">
        <f>H141*H139</f>
        <v>52088.64354447931</v>
      </c>
    </row>
    <row r="143" spans="3:10">
      <c r="C143" s="1" t="s">
        <v>1056</v>
      </c>
      <c r="D143" s="750">
        <f>SUM(E143:H143)</f>
        <v>6989233.4739457797</v>
      </c>
      <c r="E143" s="750">
        <f>E142/$D$142*$E$67*1000000*$E$13</f>
        <v>4206872.1152495109</v>
      </c>
      <c r="F143" s="750">
        <f>F142/$D$142*$E$67*1000000*$E$13</f>
        <v>864897.7895762386</v>
      </c>
      <c r="G143" s="750">
        <f>G142/$D$142*$E$67*1000000*$E$13+F67*D35/D37*1000000*$E$13</f>
        <v>994319.69312707207</v>
      </c>
      <c r="H143" s="750">
        <f>H142/$D$142*$E$67*1000000*$E$13+F67*D36/D37*1000000*$E$13</f>
        <v>923143.87599295739</v>
      </c>
    </row>
    <row r="144" spans="3:10">
      <c r="C144" s="1" t="s">
        <v>1055</v>
      </c>
      <c r="D144" s="76">
        <f>SUM(E144:H144)</f>
        <v>203.88119807534864</v>
      </c>
      <c r="E144" s="750">
        <f>E143/(E139+E138)</f>
        <v>40.437434285682109</v>
      </c>
      <c r="F144" s="750">
        <f>F143/(F139+F138)</f>
        <v>49.052997768781481</v>
      </c>
      <c r="G144" s="750">
        <f>G143/(G139+G138)</f>
        <v>52.68428931192765</v>
      </c>
      <c r="H144" s="750">
        <f>H143/(H139+H138)</f>
        <v>61.70647670895741</v>
      </c>
    </row>
    <row r="145" spans="3:8">
      <c r="C145" s="106"/>
      <c r="D145" s="125"/>
      <c r="E145" s="125"/>
      <c r="F145" s="125"/>
      <c r="G145" s="125"/>
    </row>
    <row r="146" spans="3:8">
      <c r="C146" s="831" t="s">
        <v>1069</v>
      </c>
      <c r="D146" s="125"/>
      <c r="E146" s="125"/>
      <c r="F146" s="125"/>
      <c r="G146" s="125"/>
    </row>
    <row r="147" spans="3:8">
      <c r="C147" s="69" t="s">
        <v>1066</v>
      </c>
      <c r="D147" s="69" t="s">
        <v>72</v>
      </c>
      <c r="E147" s="829" t="s">
        <v>1065</v>
      </c>
      <c r="F147" s="829" t="s">
        <v>1064</v>
      </c>
      <c r="G147" s="829" t="s">
        <v>1063</v>
      </c>
      <c r="H147" s="829" t="s">
        <v>1062</v>
      </c>
    </row>
    <row r="148" spans="3:8">
      <c r="C148" s="1" t="s">
        <v>1061</v>
      </c>
      <c r="D148" s="125">
        <f>D128+D138</f>
        <v>420.68398141247872</v>
      </c>
      <c r="E148" s="192">
        <f>E128+E138</f>
        <v>0</v>
      </c>
      <c r="F148" s="192">
        <f>F128+F138</f>
        <v>0</v>
      </c>
      <c r="G148" s="192">
        <f>G128+G138</f>
        <v>378.61558327123089</v>
      </c>
      <c r="H148" s="192">
        <f>H128+H138</f>
        <v>42.068398141247869</v>
      </c>
    </row>
    <row r="149" spans="3:8">
      <c r="C149" s="1" t="s">
        <v>1060</v>
      </c>
      <c r="D149" s="192">
        <f>E149+F149+G149+H149</f>
        <v>405378.14162343764</v>
      </c>
      <c r="E149" s="192">
        <f>E129+E139</f>
        <v>265290.24865527463</v>
      </c>
      <c r="F149" s="192">
        <f>F129+F139</f>
        <v>47888.617478824381</v>
      </c>
      <c r="G149" s="192">
        <f>G129+G139</f>
        <v>54663.016454762124</v>
      </c>
      <c r="H149" s="192">
        <f>H129+H139</f>
        <v>37536.259034576506</v>
      </c>
    </row>
    <row r="150" spans="3:8">
      <c r="C150" s="205" t="s">
        <v>1059</v>
      </c>
      <c r="D150" s="125">
        <f>SUM(E150:H150)</f>
        <v>5666.4151270881566</v>
      </c>
      <c r="E150" s="125">
        <f>(E130*(E129+E128)+E140*(E139+E138))/(E139+E138+E129+E128)</f>
        <v>199.76543464102099</v>
      </c>
      <c r="F150" s="125">
        <f>(F130*(F129+F128)+F140*(F139+F138))/(F139+F138+F129+F128)</f>
        <v>580.47591831988416</v>
      </c>
      <c r="G150" s="125">
        <f>(G130*(G129+G128)+G140*(G139+G138))/(G139+G138+G129+G128)</f>
        <v>1010.6827911407138</v>
      </c>
      <c r="H150" s="125">
        <f>(H130*(H129+H128)+H140*(H139+H138))/(H139+H138+H129+H128)</f>
        <v>3875.4909829865378</v>
      </c>
    </row>
    <row r="151" spans="3:8">
      <c r="C151" s="205" t="s">
        <v>1058</v>
      </c>
      <c r="D151" s="125">
        <f>SUM(E151:H151)</f>
        <v>11.657246153610158</v>
      </c>
      <c r="E151" s="125">
        <f>LOG(E150)</f>
        <v>2.3005203445340254</v>
      </c>
      <c r="F151" s="125">
        <f>LOG(F150)</f>
        <v>2.763784207265414</v>
      </c>
      <c r="G151" s="125">
        <f>LOG(G150)</f>
        <v>3.0046148710473197</v>
      </c>
      <c r="H151" s="125">
        <f>LOG(H150)</f>
        <v>3.5883267307633981</v>
      </c>
    </row>
    <row r="152" spans="3:8">
      <c r="C152" s="205" t="s">
        <v>1057</v>
      </c>
      <c r="D152" s="125">
        <f>SUM(E152:H152)</f>
        <v>1041593.0927366116</v>
      </c>
      <c r="E152" s="125">
        <f>E151*E149</f>
        <v>610305.61423794972</v>
      </c>
      <c r="F152" s="125">
        <f>F151*F149</f>
        <v>132353.80469574928</v>
      </c>
      <c r="G152" s="125">
        <f>G151*G149</f>
        <v>164241.31213628262</v>
      </c>
      <c r="H152" s="125">
        <f>H151*H149</f>
        <v>134692.36166662999</v>
      </c>
    </row>
    <row r="153" spans="3:8">
      <c r="C153" s="1" t="s">
        <v>1056</v>
      </c>
      <c r="D153" s="125">
        <f>D133+D143</f>
        <v>130044632.51119019</v>
      </c>
      <c r="E153" s="125">
        <f>E152/$D$152*($E$67+$E$66+$G$66)*1000000*$E$13</f>
        <v>76197672.465902135</v>
      </c>
      <c r="F153" s="125">
        <f>F152/$D$152*($E$67+$E$66+$G$66)*1000000*$E$13</f>
        <v>16524592.96546904</v>
      </c>
      <c r="G153" s="125">
        <f>G152/$D$152*($E$67+$E$66+$G$66)*1000000*$E$13+(F66+F67)*D35/D37*1000000*$E$13</f>
        <v>20505801.381422509</v>
      </c>
      <c r="H153" s="125">
        <f>H152/$D$152*($E$67+$E$66+$G$66)*1000000*$E$13+(F66+F67)*D36/D37*1000000*$E$13</f>
        <v>16816565.698396489</v>
      </c>
    </row>
    <row r="154" spans="3:8">
      <c r="C154" s="1" t="s">
        <v>1055</v>
      </c>
      <c r="D154" s="125">
        <f>D134+D144</f>
        <v>2430.3417126883478</v>
      </c>
      <c r="E154" s="125">
        <f>E153/(E148+E149)</f>
        <v>287.22379677405883</v>
      </c>
      <c r="F154" s="125">
        <f>F153/(F148+F149)</f>
        <v>345.06306165083936</v>
      </c>
      <c r="G154" s="125">
        <f>G153/(G148+G149)</f>
        <v>372.55075153391442</v>
      </c>
      <c r="H154" s="125">
        <f>H153/(H148+H149)</f>
        <v>447.50702990987998</v>
      </c>
    </row>
    <row r="155" spans="3:8">
      <c r="C155" s="106"/>
      <c r="D155" s="125"/>
      <c r="E155" s="125"/>
      <c r="F155" s="125"/>
      <c r="G155" s="125"/>
    </row>
    <row r="156" spans="3:8">
      <c r="C156" s="831" t="s">
        <v>728</v>
      </c>
      <c r="D156" s="125"/>
      <c r="E156" s="125"/>
      <c r="F156" s="125"/>
      <c r="G156" s="125"/>
    </row>
    <row r="157" spans="3:8">
      <c r="C157" s="69" t="s">
        <v>1066</v>
      </c>
      <c r="D157" s="69" t="s">
        <v>72</v>
      </c>
      <c r="E157" s="829" t="s">
        <v>1065</v>
      </c>
      <c r="F157" s="829" t="s">
        <v>1064</v>
      </c>
      <c r="G157" s="829" t="s">
        <v>1063</v>
      </c>
      <c r="H157" s="829" t="s">
        <v>1062</v>
      </c>
    </row>
    <row r="158" spans="3:8">
      <c r="C158" s="1" t="s">
        <v>1061</v>
      </c>
      <c r="D158" s="125">
        <f>F56</f>
        <v>0</v>
      </c>
      <c r="E158" s="75">
        <f>0</f>
        <v>0</v>
      </c>
      <c r="F158" s="75">
        <f>0</f>
        <v>0</v>
      </c>
      <c r="G158" s="75">
        <f>F56*D32/D34</f>
        <v>0</v>
      </c>
      <c r="H158" s="75">
        <f>F56*D33/D34</f>
        <v>0</v>
      </c>
    </row>
    <row r="159" spans="3:8">
      <c r="C159" s="1" t="s">
        <v>1060</v>
      </c>
      <c r="D159" s="125">
        <f>E56</f>
        <v>0</v>
      </c>
      <c r="E159" s="125">
        <f>$D$159*E94</f>
        <v>0</v>
      </c>
      <c r="F159" s="125">
        <f>$D$159*F94</f>
        <v>0</v>
      </c>
      <c r="G159" s="125">
        <f>$D$159*G94</f>
        <v>0</v>
      </c>
      <c r="H159" s="125">
        <f>$D$159*H94</f>
        <v>0</v>
      </c>
    </row>
    <row r="160" spans="3:8">
      <c r="C160" s="205" t="s">
        <v>1059</v>
      </c>
      <c r="D160" s="125">
        <f>SUM(E160:H160)</f>
        <v>5621.7516024330826</v>
      </c>
      <c r="E160" s="125">
        <f>I94*365</f>
        <v>238.41569027604632</v>
      </c>
      <c r="F160" s="125">
        <f>J94*365</f>
        <v>581.34836465778483</v>
      </c>
      <c r="G160" s="125">
        <f>K94*365</f>
        <v>1017.4428200848319</v>
      </c>
      <c r="H160" s="125">
        <f>L94*365</f>
        <v>3784.5447274144194</v>
      </c>
    </row>
    <row r="161" spans="3:8">
      <c r="C161" s="205" t="s">
        <v>1058</v>
      </c>
      <c r="D161" s="125">
        <f>SUM(E161:H161)</f>
        <v>11.727294941987214</v>
      </c>
      <c r="E161" s="125">
        <f>LOG(E160)</f>
        <v>2.377334833182621</v>
      </c>
      <c r="F161" s="125">
        <f>LOG(F160)</f>
        <v>2.7644364551260892</v>
      </c>
      <c r="G161" s="125">
        <f>LOG(G160)</f>
        <v>3.0075100113916844</v>
      </c>
      <c r="H161" s="125">
        <f>LOG(H160)</f>
        <v>3.5780136422868205</v>
      </c>
    </row>
    <row r="162" spans="3:8">
      <c r="C162" s="205" t="s">
        <v>1057</v>
      </c>
      <c r="D162" s="125">
        <f>SUM(E162:H162)</f>
        <v>0</v>
      </c>
      <c r="E162" s="125">
        <f>E161*E159</f>
        <v>0</v>
      </c>
      <c r="F162" s="125">
        <f>F161*F159</f>
        <v>0</v>
      </c>
      <c r="G162" s="125">
        <f>G161*G159</f>
        <v>0</v>
      </c>
      <c r="H162" s="125">
        <f>H161*H159</f>
        <v>0</v>
      </c>
    </row>
    <row r="163" spans="3:8">
      <c r="C163" s="1" t="s">
        <v>1056</v>
      </c>
      <c r="D163" s="125" t="e">
        <f>SUM(E163:H163)</f>
        <v>#DIV/0!</v>
      </c>
      <c r="E163" s="125" t="e">
        <f>E162/$D$162*$E$69*1000000*$E$13</f>
        <v>#DIV/0!</v>
      </c>
      <c r="F163" s="125" t="e">
        <f>F162/$D$162*$E$69*1000000*$E$13</f>
        <v>#DIV/0!</v>
      </c>
      <c r="G163" s="125" t="e">
        <f>G162/$D$162*$E$69*1000000*$E$13+F69*D35/D37*1000000*$E$13</f>
        <v>#DIV/0!</v>
      </c>
      <c r="H163" s="125" t="e">
        <f>H162/$D$162*$E$69*1000000*$E$13+F69*D36/D37*1000000*$E$13</f>
        <v>#DIV/0!</v>
      </c>
    </row>
    <row r="164" spans="3:8">
      <c r="C164" s="1" t="s">
        <v>1055</v>
      </c>
      <c r="D164" s="125" t="e">
        <f>SUM(E164:H164)</f>
        <v>#DIV/0!</v>
      </c>
      <c r="E164" s="125" t="e">
        <f>E163/(E159+E158)</f>
        <v>#DIV/0!</v>
      </c>
      <c r="F164" s="125" t="e">
        <f>F163/(F159+F158)</f>
        <v>#DIV/0!</v>
      </c>
      <c r="G164" s="125" t="e">
        <f>G163/(G159+G158)</f>
        <v>#DIV/0!</v>
      </c>
      <c r="H164" s="125" t="e">
        <f>H163/(H159+H158)</f>
        <v>#DIV/0!</v>
      </c>
    </row>
    <row r="165" spans="3:8">
      <c r="D165" s="125"/>
      <c r="E165" s="125"/>
      <c r="F165" s="125"/>
      <c r="G165" s="125"/>
      <c r="H165" s="125"/>
    </row>
    <row r="166" spans="3:8">
      <c r="C166" s="830" t="s">
        <v>1068</v>
      </c>
      <c r="D166" s="125"/>
      <c r="E166" s="125"/>
      <c r="F166" s="125"/>
      <c r="G166" s="125"/>
    </row>
    <row r="167" spans="3:8">
      <c r="C167" s="69" t="s">
        <v>1066</v>
      </c>
      <c r="D167" s="69" t="s">
        <v>72</v>
      </c>
      <c r="E167" s="829" t="s">
        <v>1065</v>
      </c>
      <c r="F167" s="829" t="s">
        <v>1064</v>
      </c>
      <c r="G167" s="829" t="s">
        <v>1063</v>
      </c>
      <c r="H167" s="829" t="s">
        <v>1062</v>
      </c>
    </row>
    <row r="168" spans="3:8">
      <c r="C168" s="1" t="s">
        <v>1061</v>
      </c>
      <c r="D168" s="106">
        <f>F57</f>
        <v>76.298020809455721</v>
      </c>
      <c r="E168" s="75">
        <v>0</v>
      </c>
      <c r="F168" s="75">
        <v>0</v>
      </c>
      <c r="G168" s="75">
        <f>D168*D32/D34</f>
        <v>68.668218728510155</v>
      </c>
      <c r="H168" s="75">
        <f>D168*D33/D34</f>
        <v>7.6298020809455718</v>
      </c>
    </row>
    <row r="169" spans="3:8">
      <c r="C169" s="1" t="s">
        <v>1060</v>
      </c>
      <c r="D169" s="106">
        <f>E57</f>
        <v>318566</v>
      </c>
      <c r="E169" s="53">
        <f>$D$169*E94</f>
        <v>179744.02310922087</v>
      </c>
      <c r="F169" s="53">
        <f>$D$169*F94</f>
        <v>48824.431540054189</v>
      </c>
      <c r="G169" s="53">
        <f>$D$169*G94</f>
        <v>52222.232192558578</v>
      </c>
      <c r="H169" s="53">
        <f>$D$169*H94</f>
        <v>37775.313158166435</v>
      </c>
    </row>
    <row r="170" spans="3:8">
      <c r="C170" s="205" t="s">
        <v>1059</v>
      </c>
      <c r="D170" s="125">
        <f>SUM(E170:H170)</f>
        <v>5621.7516024330826</v>
      </c>
      <c r="E170" s="125">
        <f>I94*365</f>
        <v>238.41569027604632</v>
      </c>
      <c r="F170" s="125">
        <f>J94*365</f>
        <v>581.34836465778483</v>
      </c>
      <c r="G170" s="125">
        <f>K94*365</f>
        <v>1017.4428200848319</v>
      </c>
      <c r="H170" s="125">
        <f>L94*365</f>
        <v>3784.5447274144194</v>
      </c>
    </row>
    <row r="171" spans="3:8">
      <c r="C171" s="205" t="s">
        <v>1058</v>
      </c>
      <c r="D171" s="125">
        <f>SUM(E171:H171)</f>
        <v>11.727294941987214</v>
      </c>
      <c r="E171" s="125">
        <f>LOG(E170)</f>
        <v>2.377334833182621</v>
      </c>
      <c r="F171" s="125">
        <f>LOG(F170)</f>
        <v>2.7644364551260892</v>
      </c>
      <c r="G171" s="125">
        <f>LOG(G170)</f>
        <v>3.0075100113916844</v>
      </c>
      <c r="H171" s="125">
        <f>LOG(H170)</f>
        <v>3.5780136422868205</v>
      </c>
    </row>
    <row r="172" spans="3:8">
      <c r="C172" s="205" t="s">
        <v>1057</v>
      </c>
      <c r="D172" s="125">
        <f>SUM(E172:H172)</f>
        <v>854503.23760198383</v>
      </c>
      <c r="E172" s="125">
        <f>E171*E169</f>
        <v>427311.72719393275</v>
      </c>
      <c r="F172" s="125">
        <f>F171*F169</f>
        <v>134972.03845013381</v>
      </c>
      <c r="G172" s="125">
        <f>G171*G169</f>
        <v>157058.88613634103</v>
      </c>
      <c r="H172" s="125">
        <f>H171*H169</f>
        <v>135160.58582157633</v>
      </c>
    </row>
    <row r="173" spans="3:8">
      <c r="C173" s="1" t="s">
        <v>1056</v>
      </c>
      <c r="D173" s="125">
        <f>SUM(E173:H173)</f>
        <v>70635041.197475761</v>
      </c>
      <c r="E173" s="125">
        <f>E172/$D$172*SUM($E$70:$G$70)*1000000*$E$13</f>
        <v>35322489.285367556</v>
      </c>
      <c r="F173" s="125">
        <f>F172/$D$172*SUM($E$70:$G$70)*1000000*$E$13</f>
        <v>11157073.580185985</v>
      </c>
      <c r="G173" s="125">
        <f>G172/$D$172*SUM($E$70:$G$70)*1000000*$E$13</f>
        <v>12982819.028050862</v>
      </c>
      <c r="H173" s="125">
        <f>H172/$D$172*SUM($E$70:$G$70)*1000000*$E$13</f>
        <v>11172659.303871356</v>
      </c>
    </row>
    <row r="174" spans="3:8">
      <c r="C174" s="1" t="s">
        <v>1055</v>
      </c>
      <c r="D174" s="125">
        <f>SUM(E174:H174)</f>
        <v>969.01675607938182</v>
      </c>
      <c r="E174" s="125">
        <f>E173/SUM(E168:E169)</f>
        <v>196.51551508838745</v>
      </c>
      <c r="F174" s="125">
        <f>F173/SUM(F168:F169)</f>
        <v>228.51415220334999</v>
      </c>
      <c r="G174" s="125">
        <f>G173/SUM(G168:G169)</f>
        <v>248.28065544743416</v>
      </c>
      <c r="H174" s="125">
        <f>H173/SUM(H168:H169)</f>
        <v>295.7064333402102</v>
      </c>
    </row>
    <row r="175" spans="3:8">
      <c r="D175" s="125"/>
      <c r="E175" s="125"/>
      <c r="F175" s="125"/>
      <c r="G175" s="125"/>
      <c r="H175" s="125"/>
    </row>
    <row r="176" spans="3:8">
      <c r="C176" s="127" t="s">
        <v>1067</v>
      </c>
      <c r="D176" s="125"/>
      <c r="E176" s="125"/>
      <c r="F176" s="125"/>
      <c r="G176" s="125"/>
      <c r="H176" s="125"/>
    </row>
    <row r="177" spans="2:9">
      <c r="C177" s="69" t="s">
        <v>1066</v>
      </c>
      <c r="D177" s="69" t="s">
        <v>72</v>
      </c>
      <c r="E177" s="829" t="s">
        <v>1065</v>
      </c>
      <c r="F177" s="829" t="s">
        <v>1064</v>
      </c>
      <c r="G177" s="829" t="s">
        <v>1063</v>
      </c>
      <c r="H177" s="829" t="s">
        <v>1062</v>
      </c>
    </row>
    <row r="178" spans="2:9">
      <c r="C178" s="1" t="s">
        <v>1061</v>
      </c>
      <c r="D178" s="125">
        <f>D34</f>
        <v>1094.0041342045538</v>
      </c>
      <c r="E178" s="192">
        <f>0</f>
        <v>0</v>
      </c>
      <c r="F178" s="192">
        <f>0</f>
        <v>0</v>
      </c>
      <c r="G178" s="192">
        <f>G168+G148+G118+G108</f>
        <v>984.60372078409853</v>
      </c>
      <c r="H178" s="192">
        <f>H168+H148+H118+H108</f>
        <v>109.40041342045538</v>
      </c>
      <c r="I178" s="125"/>
    </row>
    <row r="179" spans="2:9">
      <c r="C179" s="1" t="s">
        <v>1060</v>
      </c>
      <c r="D179" s="53">
        <f>H52+health!E42+health!I42+E59-'BA data'!D178</f>
        <v>1229318.8875353639</v>
      </c>
      <c r="E179" s="192">
        <f>$D$179*E95</f>
        <v>725514.52411439957</v>
      </c>
      <c r="F179" s="192">
        <f>$D$179*F95</f>
        <v>170074.19462636884</v>
      </c>
      <c r="G179" s="192">
        <f>$D$179*G95</f>
        <v>181903.08196795522</v>
      </c>
      <c r="H179" s="192">
        <f>$D$179*H95</f>
        <v>151830.93227776649</v>
      </c>
      <c r="I179" s="192"/>
    </row>
    <row r="180" spans="2:9">
      <c r="C180" s="205" t="s">
        <v>1059</v>
      </c>
      <c r="D180" s="125">
        <f>SUM(E180:H180)</f>
        <v>5277.9400255698602</v>
      </c>
      <c r="E180" s="125">
        <f>I95*365</f>
        <v>216.9725571505767</v>
      </c>
      <c r="F180" s="125">
        <f>J95*365</f>
        <v>582.98605541202051</v>
      </c>
      <c r="G180" s="125">
        <f>K95*365</f>
        <v>1013.3027228257039</v>
      </c>
      <c r="H180" s="125">
        <f>L95*365</f>
        <v>3464.6786901815594</v>
      </c>
    </row>
    <row r="181" spans="2:9">
      <c r="C181" s="205" t="s">
        <v>1058</v>
      </c>
      <c r="D181" s="125">
        <f>SUM(E181:H181)</f>
        <v>11.647465148864887</v>
      </c>
      <c r="E181" s="125">
        <f>LOG(E180)</f>
        <v>2.3364048074349038</v>
      </c>
      <c r="F181" s="125">
        <f>LOG(F180)</f>
        <v>2.765658166885876</v>
      </c>
      <c r="G181" s="125">
        <f>LOG(G180)</f>
        <v>3.0057392096371047</v>
      </c>
      <c r="H181" s="125">
        <f>LOG(H180)</f>
        <v>3.5396629649070022</v>
      </c>
    </row>
    <row r="182" spans="2:9">
      <c r="C182" s="205" t="s">
        <v>1057</v>
      </c>
      <c r="D182" s="125">
        <f>SUM(E182:H182)</f>
        <v>3249646.261085513</v>
      </c>
      <c r="E182" s="125">
        <f>E181*E179</f>
        <v>1695095.6220047295</v>
      </c>
      <c r="F182" s="125">
        <f>F181*F179</f>
        <v>470367.08534495498</v>
      </c>
      <c r="G182" s="125">
        <f>G181*G179</f>
        <v>546753.22582491522</v>
      </c>
      <c r="H182" s="125">
        <f>H181*H179</f>
        <v>537430.32791091315</v>
      </c>
    </row>
    <row r="183" spans="2:9">
      <c r="C183" s="1" t="s">
        <v>1056</v>
      </c>
      <c r="D183" s="125">
        <f>SUM(E183:H183)</f>
        <v>292084765.84435588</v>
      </c>
      <c r="E183" s="125">
        <f>E182/$D$182*'Poverty Scorecard'!$D$12*1000000</f>
        <v>152358616.31033555</v>
      </c>
      <c r="F183" s="125">
        <f>F182/$D$182*'Poverty Scorecard'!$D$12*1000000</f>
        <v>42277543.137258425</v>
      </c>
      <c r="G183" s="125">
        <f>G182/$D$182*'Poverty Scorecard'!$D$12*1000000</f>
        <v>49143283.640469514</v>
      </c>
      <c r="H183" s="125">
        <f>H182/$D$182*'Poverty Scorecard'!$D$12*1000000</f>
        <v>48305322.756292373</v>
      </c>
    </row>
    <row r="184" spans="2:9">
      <c r="C184" s="1" t="s">
        <v>1055</v>
      </c>
      <c r="D184" s="125">
        <f>SUM(E184:H184)</f>
        <v>1045.2141453992624</v>
      </c>
      <c r="E184" s="125">
        <f>E183/(E179+E178)</f>
        <v>210.00078047550093</v>
      </c>
      <c r="F184" s="125">
        <f>F183/(F179+F178)</f>
        <v>248.58293893519095</v>
      </c>
      <c r="G184" s="125">
        <f>G183/(G179+G178)</f>
        <v>268.70744990511594</v>
      </c>
      <c r="H184" s="125">
        <f>H183/(H179+H178)</f>
        <v>317.92297608345467</v>
      </c>
    </row>
    <row r="185" spans="2:9">
      <c r="D185" s="125"/>
      <c r="E185" s="125"/>
      <c r="F185" s="125"/>
      <c r="G185" s="125"/>
      <c r="H185" s="125"/>
    </row>
    <row r="186" spans="2:9">
      <c r="C186" s="3" t="s">
        <v>1054</v>
      </c>
    </row>
    <row r="188" spans="2:9">
      <c r="C188" s="177" t="s">
        <v>1048</v>
      </c>
    </row>
    <row r="189" spans="2:9">
      <c r="B189" s="826">
        <v>1</v>
      </c>
      <c r="C189" s="827" t="s">
        <v>707</v>
      </c>
      <c r="E189" s="828"/>
    </row>
    <row r="190" spans="2:9">
      <c r="B190" s="826">
        <v>2</v>
      </c>
      <c r="C190" s="827" t="s">
        <v>706</v>
      </c>
      <c r="E190" s="828"/>
    </row>
    <row r="191" spans="2:9">
      <c r="B191" s="826">
        <v>3</v>
      </c>
      <c r="C191" s="827" t="s">
        <v>705</v>
      </c>
      <c r="E191" s="828"/>
    </row>
    <row r="192" spans="2:9">
      <c r="B192" s="492">
        <v>4</v>
      </c>
      <c r="C192" s="390" t="s">
        <v>704</v>
      </c>
    </row>
    <row r="193" spans="1:12">
      <c r="B193" s="826">
        <v>5</v>
      </c>
      <c r="C193" s="827" t="s">
        <v>728</v>
      </c>
    </row>
    <row r="194" spans="1:12">
      <c r="B194" s="492">
        <v>6</v>
      </c>
      <c r="C194" s="390" t="s">
        <v>703</v>
      </c>
    </row>
    <row r="195" spans="1:12">
      <c r="B195" s="492">
        <v>7</v>
      </c>
      <c r="C195" s="390" t="s">
        <v>702</v>
      </c>
    </row>
    <row r="196" spans="1:12">
      <c r="B196" s="826">
        <v>8</v>
      </c>
      <c r="C196" s="825" t="s">
        <v>1045</v>
      </c>
      <c r="E196" s="1" t="s">
        <v>1053</v>
      </c>
    </row>
    <row r="199" spans="1:12">
      <c r="B199" s="810"/>
      <c r="C199" s="824" t="s">
        <v>1052</v>
      </c>
      <c r="D199" s="810"/>
      <c r="E199" s="823" t="s">
        <v>1051</v>
      </c>
      <c r="F199" s="810"/>
      <c r="G199" s="810"/>
      <c r="H199" s="810"/>
      <c r="I199" s="810"/>
      <c r="J199" s="810"/>
      <c r="K199" s="810"/>
      <c r="L199" s="810"/>
    </row>
    <row r="200" spans="1:12">
      <c r="A200" s="177" t="s">
        <v>1050</v>
      </c>
      <c r="B200" s="810"/>
      <c r="C200" s="810"/>
      <c r="D200" s="810"/>
      <c r="E200" s="815">
        <v>1</v>
      </c>
      <c r="F200" s="815">
        <v>2</v>
      </c>
      <c r="G200" s="815">
        <v>3</v>
      </c>
      <c r="H200" s="817">
        <v>4</v>
      </c>
      <c r="I200" s="815">
        <v>5</v>
      </c>
      <c r="J200" s="817">
        <v>6</v>
      </c>
      <c r="K200" s="817">
        <v>7</v>
      </c>
      <c r="L200" s="815">
        <v>8</v>
      </c>
    </row>
    <row r="201" spans="1:12">
      <c r="A201" s="177" t="s">
        <v>1049</v>
      </c>
      <c r="B201" s="810"/>
      <c r="C201" s="823" t="s">
        <v>1048</v>
      </c>
      <c r="D201" s="810"/>
      <c r="E201" s="822" t="s">
        <v>707</v>
      </c>
      <c r="F201" s="822" t="s">
        <v>706</v>
      </c>
      <c r="G201" s="822" t="s">
        <v>705</v>
      </c>
      <c r="H201" s="816" t="s">
        <v>704</v>
      </c>
      <c r="I201" s="822" t="s">
        <v>728</v>
      </c>
      <c r="J201" s="818" t="s">
        <v>703</v>
      </c>
      <c r="K201" s="816" t="s">
        <v>702</v>
      </c>
      <c r="L201" s="814" t="s">
        <v>1047</v>
      </c>
    </row>
    <row r="202" spans="1:12">
      <c r="A202" s="177" t="s">
        <v>1046</v>
      </c>
      <c r="B202" s="815">
        <v>1</v>
      </c>
      <c r="C202" s="822" t="s">
        <v>707</v>
      </c>
      <c r="D202" s="810"/>
      <c r="E202" s="811">
        <v>1</v>
      </c>
      <c r="F202" s="811">
        <f>health!E41/health!E40</f>
        <v>0.53478180902191907</v>
      </c>
      <c r="G202" s="811">
        <f>health!F41/health!F40</f>
        <v>0.36663446676970635</v>
      </c>
      <c r="H202" s="812"/>
      <c r="I202" s="811" t="e">
        <f>health!H41/health!H40</f>
        <v>#DIV/0!</v>
      </c>
      <c r="J202" s="811">
        <f>health!I41/health!I40</f>
        <v>0.88729494045190005</v>
      </c>
      <c r="K202" s="812"/>
      <c r="L202" s="811">
        <f>12917/E59</f>
        <v>5.9209681166363305E-2</v>
      </c>
    </row>
    <row r="203" spans="1:12">
      <c r="B203" s="815">
        <v>2</v>
      </c>
      <c r="C203" s="822" t="s">
        <v>706</v>
      </c>
      <c r="D203" s="810"/>
      <c r="E203" s="811">
        <f>health!E41/health!B45</f>
        <v>0.15552325581395349</v>
      </c>
      <c r="F203" s="811">
        <v>1</v>
      </c>
      <c r="G203" s="811">
        <f>health!F42/health!F40</f>
        <v>0.63336553323029365</v>
      </c>
      <c r="H203" s="812"/>
      <c r="I203" s="811">
        <v>0</v>
      </c>
      <c r="J203" s="813">
        <v>0</v>
      </c>
      <c r="K203" s="812"/>
      <c r="L203" s="811">
        <v>0</v>
      </c>
    </row>
    <row r="204" spans="1:12">
      <c r="A204" s="177"/>
      <c r="B204" s="815">
        <v>3</v>
      </c>
      <c r="C204" s="822" t="s">
        <v>705</v>
      </c>
      <c r="D204" s="810"/>
      <c r="E204" s="811">
        <f>health!F41/health!B45</f>
        <v>6.6198837209302322E-2</v>
      </c>
      <c r="F204" s="811">
        <v>0.44266276941200539</v>
      </c>
      <c r="G204" s="811">
        <v>1</v>
      </c>
      <c r="H204" s="812"/>
      <c r="I204" s="811">
        <v>0</v>
      </c>
      <c r="J204" s="813">
        <v>0</v>
      </c>
      <c r="K204" s="812"/>
      <c r="L204" s="811">
        <v>0</v>
      </c>
    </row>
    <row r="205" spans="1:12">
      <c r="B205" s="817">
        <v>4</v>
      </c>
      <c r="C205" s="816" t="s">
        <v>704</v>
      </c>
      <c r="D205" s="810"/>
      <c r="E205" s="812"/>
      <c r="F205" s="812"/>
      <c r="G205" s="812"/>
      <c r="H205" s="811">
        <v>1</v>
      </c>
      <c r="I205" s="812"/>
      <c r="J205" s="812"/>
      <c r="K205" s="812"/>
      <c r="L205" s="811">
        <v>0</v>
      </c>
    </row>
    <row r="206" spans="1:12">
      <c r="B206" s="821">
        <v>5</v>
      </c>
      <c r="C206" s="820" t="s">
        <v>728</v>
      </c>
      <c r="D206" s="810"/>
      <c r="E206" s="811">
        <f>health!H41/health!B45</f>
        <v>0</v>
      </c>
      <c r="F206" s="811">
        <v>0</v>
      </c>
      <c r="G206" s="811">
        <v>0</v>
      </c>
      <c r="H206" s="812"/>
      <c r="I206" s="811">
        <v>1</v>
      </c>
      <c r="J206" s="812"/>
      <c r="K206" s="812"/>
      <c r="L206" s="811">
        <v>0</v>
      </c>
    </row>
    <row r="207" spans="1:12">
      <c r="B207" s="819">
        <v>6</v>
      </c>
      <c r="C207" s="818" t="s">
        <v>703</v>
      </c>
      <c r="D207" s="810"/>
      <c r="E207" s="813">
        <f>health!I41/health!B45</f>
        <v>0.32867674418604653</v>
      </c>
      <c r="F207" s="813">
        <v>0</v>
      </c>
      <c r="G207" s="813">
        <v>0</v>
      </c>
      <c r="H207" s="812"/>
      <c r="I207" s="813">
        <v>0</v>
      </c>
      <c r="J207" s="813">
        <v>1</v>
      </c>
      <c r="K207" s="812"/>
      <c r="L207" s="811">
        <v>0</v>
      </c>
    </row>
    <row r="208" spans="1:12">
      <c r="B208" s="817">
        <v>7</v>
      </c>
      <c r="C208" s="816" t="s">
        <v>702</v>
      </c>
      <c r="D208" s="810"/>
      <c r="E208" s="812"/>
      <c r="F208" s="812"/>
      <c r="G208" s="812"/>
      <c r="H208" s="812"/>
      <c r="I208" s="812"/>
      <c r="J208" s="812"/>
      <c r="K208" s="811">
        <v>1</v>
      </c>
      <c r="L208" s="811">
        <v>0</v>
      </c>
    </row>
    <row r="209" spans="2:12">
      <c r="B209" s="815">
        <v>8</v>
      </c>
      <c r="C209" s="814" t="s">
        <v>1045</v>
      </c>
      <c r="D209" s="810"/>
      <c r="E209" s="811">
        <f>12917/health!B45</f>
        <v>1.5019767441860465E-2</v>
      </c>
      <c r="F209" s="811">
        <v>0</v>
      </c>
      <c r="G209" s="811">
        <v>0</v>
      </c>
      <c r="H209" s="812"/>
      <c r="I209" s="811">
        <v>0</v>
      </c>
      <c r="J209" s="813">
        <v>0</v>
      </c>
      <c r="K209" s="812"/>
      <c r="L209" s="811">
        <v>1</v>
      </c>
    </row>
    <row r="210" spans="2:12">
      <c r="B210" s="810"/>
      <c r="C210" s="810"/>
      <c r="D210" s="810"/>
      <c r="E210" s="810"/>
      <c r="F210" s="810"/>
      <c r="G210" s="810"/>
      <c r="H210" s="810"/>
      <c r="I210" s="810"/>
      <c r="J210" s="810"/>
      <c r="K210" s="810"/>
      <c r="L210" s="810"/>
    </row>
    <row r="212" spans="2:12" ht="15.75" thickBot="1">
      <c r="D212" s="1" t="s">
        <v>1465</v>
      </c>
      <c r="E212" s="829" t="s">
        <v>1065</v>
      </c>
      <c r="F212" s="829" t="s">
        <v>1469</v>
      </c>
      <c r="G212" s="829" t="s">
        <v>1063</v>
      </c>
      <c r="H212" s="829" t="s">
        <v>1062</v>
      </c>
    </row>
    <row r="213" spans="2:12" ht="30" customHeight="1" thickBot="1">
      <c r="D213" s="1023" t="s">
        <v>1466</v>
      </c>
      <c r="E213" s="53">
        <f>E114</f>
        <v>53.815679402638096</v>
      </c>
      <c r="F213" s="53">
        <f>F115</f>
        <v>55.66302757530957</v>
      </c>
      <c r="G213" s="53">
        <f t="shared" ref="G213:H213" si="1">G114</f>
        <v>69.186769128224256</v>
      </c>
      <c r="H213" s="53">
        <f t="shared" si="1"/>
        <v>81.310250749101669</v>
      </c>
    </row>
    <row r="214" spans="2:12" ht="55.5" customHeight="1" thickBot="1">
      <c r="D214" s="1024" t="s">
        <v>1467</v>
      </c>
      <c r="E214" s="53">
        <f>(E154*E149+E174*E169)/(E169+E149)</f>
        <v>250.58780598875819</v>
      </c>
      <c r="F214" s="53">
        <f>(I214*(F169+F149)+E214*(E169+E149))/(SUM(E149:F149,E169:F169))</f>
        <v>256.9497309107814</v>
      </c>
      <c r="G214" s="53">
        <f t="shared" ref="G214:H214" si="2">(G154*G149+G174*G169)/(G169+G149)</f>
        <v>311.83459196513178</v>
      </c>
      <c r="H214" s="53">
        <f t="shared" si="2"/>
        <v>371.36580876606854</v>
      </c>
      <c r="I214" s="125">
        <f>(F154*F149+F174*F169)/(F169+F149)</f>
        <v>286.22473209640521</v>
      </c>
    </row>
    <row r="215" spans="2:12" ht="30.75" customHeight="1" thickBot="1">
      <c r="D215" s="1024" t="s">
        <v>1468</v>
      </c>
      <c r="E215" s="53">
        <f>E124</f>
        <v>138.444313505883</v>
      </c>
      <c r="F215" s="53">
        <f>(I215*F119+E215*E119)/(E119+F119)</f>
        <v>144.04640997834835</v>
      </c>
      <c r="G215" s="53">
        <f t="shared" ref="G215:H215" si="3">G124</f>
        <v>175.41071100830976</v>
      </c>
      <c r="H215" s="53">
        <f t="shared" si="3"/>
        <v>206.95049259733571</v>
      </c>
      <c r="I215" s="914">
        <f>F124</f>
        <v>161.1541276564331</v>
      </c>
    </row>
    <row r="217" spans="2:12" ht="24.75" thickBot="1">
      <c r="D217" s="1026" t="s">
        <v>1470</v>
      </c>
    </row>
    <row r="218" spans="2:12" ht="24.75" thickBot="1">
      <c r="D218" s="1023" t="s">
        <v>1466</v>
      </c>
    </row>
    <row r="219" spans="2:12" ht="48.75" thickBot="1">
      <c r="D219" s="1024" t="s">
        <v>1467</v>
      </c>
    </row>
    <row r="220" spans="2:12" ht="15.75" thickBot="1">
      <c r="D220" s="1024" t="s">
        <v>1468</v>
      </c>
    </row>
  </sheetData>
  <mergeCells count="8">
    <mergeCell ref="E87:H87"/>
    <mergeCell ref="I87:L87"/>
    <mergeCell ref="I50:I51"/>
    <mergeCell ref="J50:J51"/>
    <mergeCell ref="I63:I64"/>
    <mergeCell ref="J63:J64"/>
    <mergeCell ref="I76:I77"/>
    <mergeCell ref="J76:J77"/>
  </mergeCells>
  <pageMargins left="0.25" right="0.25" top="0.75" bottom="0.75" header="0.3" footer="0.3"/>
  <pageSetup scale="22" orientation="landscape"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43"/>
  <sheetViews>
    <sheetView showGridLines="0" workbookViewId="0"/>
  </sheetViews>
  <sheetFormatPr defaultRowHeight="15"/>
  <cols>
    <col min="1" max="1" width="9.140625" style="914"/>
    <col min="2" max="2" width="0.42578125" style="914" customWidth="1"/>
    <col min="3" max="3" width="47.28515625" style="914" customWidth="1"/>
    <col min="4" max="4" width="12.28515625" style="914" customWidth="1"/>
    <col min="5" max="5" width="0.7109375" style="914" customWidth="1"/>
    <col min="6" max="6" width="8.85546875" style="914" customWidth="1"/>
    <col min="7" max="8" width="7.85546875" style="914" customWidth="1"/>
    <col min="9" max="9" width="8.140625" style="914" customWidth="1"/>
    <col min="10" max="10" width="1.140625" style="914" customWidth="1"/>
    <col min="11" max="16384" width="9.140625" style="914"/>
  </cols>
  <sheetData>
    <row r="1" spans="1:10">
      <c r="A1" s="926"/>
      <c r="B1" s="926"/>
      <c r="C1" s="922"/>
      <c r="D1" s="926"/>
      <c r="E1" s="1002"/>
      <c r="F1" s="922"/>
      <c r="G1" s="922"/>
      <c r="H1" s="922"/>
      <c r="I1" s="922"/>
      <c r="J1" s="926"/>
    </row>
    <row r="2" spans="1:10" ht="15.75">
      <c r="A2" s="926"/>
      <c r="B2" s="926"/>
      <c r="C2" s="922"/>
      <c r="D2" s="926"/>
      <c r="E2" s="1003"/>
      <c r="F2" s="922"/>
      <c r="G2" s="922"/>
      <c r="H2" s="922"/>
      <c r="I2" s="922"/>
      <c r="J2" s="926"/>
    </row>
    <row r="3" spans="1:10">
      <c r="A3" s="926"/>
      <c r="B3" s="1002"/>
      <c r="C3" s="1002"/>
      <c r="D3" s="926"/>
      <c r="E3" s="926"/>
      <c r="F3" s="926"/>
      <c r="G3" s="926"/>
      <c r="H3" s="926"/>
      <c r="I3" s="926"/>
      <c r="J3" s="926"/>
    </row>
    <row r="4" spans="1:10" ht="20.25">
      <c r="A4" s="926"/>
      <c r="B4" s="1002"/>
      <c r="C4" s="1002"/>
      <c r="D4" s="1326" t="s">
        <v>1327</v>
      </c>
      <c r="E4" s="1326"/>
      <c r="F4" s="1326"/>
      <c r="G4" s="1326"/>
      <c r="H4" s="1326"/>
      <c r="I4" s="1326"/>
      <c r="J4" s="1326"/>
    </row>
    <row r="5" spans="1:10" ht="15.75">
      <c r="A5" s="926"/>
      <c r="B5" s="926"/>
      <c r="C5" s="922"/>
      <c r="D5" s="1327"/>
      <c r="E5" s="1327"/>
      <c r="F5" s="1327"/>
      <c r="G5" s="1327"/>
      <c r="H5" s="1327"/>
      <c r="I5" s="1327"/>
      <c r="J5" s="926"/>
    </row>
    <row r="6" spans="1:10" ht="15.75">
      <c r="A6" s="926"/>
      <c r="B6" s="926"/>
      <c r="C6" s="922"/>
      <c r="D6" s="1001"/>
      <c r="E6" s="1000"/>
      <c r="F6" s="999"/>
      <c r="G6" s="998"/>
      <c r="H6" s="998"/>
      <c r="I6" s="998"/>
      <c r="J6" s="926"/>
    </row>
    <row r="7" spans="1:10" ht="15.75">
      <c r="A7" s="926"/>
      <c r="B7" s="926"/>
      <c r="C7" s="1328" t="s">
        <v>1326</v>
      </c>
      <c r="D7" s="1328"/>
      <c r="E7" s="1328"/>
      <c r="F7" s="1328"/>
      <c r="G7" s="1328"/>
      <c r="H7" s="1328"/>
      <c r="I7" s="1328"/>
      <c r="J7" s="926"/>
    </row>
    <row r="8" spans="1:10" ht="15.75" thickBot="1">
      <c r="A8" s="926"/>
      <c r="B8" s="926"/>
      <c r="C8" s="1329" t="s">
        <v>1626</v>
      </c>
      <c r="D8" s="1329"/>
      <c r="E8" s="1329"/>
      <c r="F8" s="1329"/>
      <c r="G8" s="1329"/>
      <c r="H8" s="1329"/>
      <c r="I8" s="1329"/>
      <c r="J8" s="926"/>
    </row>
    <row r="9" spans="1:10">
      <c r="A9" s="926"/>
      <c r="B9" s="997"/>
      <c r="C9" s="996"/>
      <c r="D9" s="995"/>
      <c r="E9" s="994"/>
      <c r="F9" s="994"/>
      <c r="G9" s="994"/>
      <c r="H9" s="994"/>
      <c r="I9" s="994"/>
      <c r="J9" s="993"/>
    </row>
    <row r="10" spans="1:10">
      <c r="A10" s="926"/>
      <c r="B10" s="925"/>
      <c r="C10" s="942" t="s">
        <v>1325</v>
      </c>
      <c r="D10" s="990">
        <v>354.8</v>
      </c>
      <c r="E10" s="928"/>
      <c r="F10" s="1330"/>
      <c r="G10" s="1330"/>
      <c r="H10" s="1330"/>
      <c r="I10" s="992"/>
      <c r="J10" s="923"/>
    </row>
    <row r="11" spans="1:10">
      <c r="A11" s="926"/>
      <c r="B11" s="925"/>
      <c r="C11" s="942" t="s">
        <v>1324</v>
      </c>
      <c r="D11" s="991">
        <f>ERR!I2</f>
        <v>0.17044473059346976</v>
      </c>
      <c r="E11" s="928"/>
      <c r="F11" s="928"/>
      <c r="G11" s="928"/>
      <c r="H11" s="928"/>
      <c r="I11" s="928"/>
      <c r="J11" s="923"/>
    </row>
    <row r="12" spans="1:10" ht="24">
      <c r="A12" s="926"/>
      <c r="B12" s="925"/>
      <c r="C12" s="942" t="s">
        <v>1323</v>
      </c>
      <c r="D12" s="990">
        <f>ERR!D7*'BA data'!E13</f>
        <v>292.0847658443559</v>
      </c>
      <c r="E12" s="928"/>
      <c r="F12" s="928"/>
      <c r="G12" s="928"/>
      <c r="H12" s="928"/>
      <c r="I12" s="928"/>
      <c r="J12" s="923"/>
    </row>
    <row r="13" spans="1:10">
      <c r="A13" s="926"/>
      <c r="B13" s="925"/>
      <c r="C13" s="957" t="s">
        <v>1322</v>
      </c>
      <c r="D13" s="989">
        <f>ERR!D9*'BA data'!E13</f>
        <v>194.42516167532435</v>
      </c>
      <c r="E13" s="987"/>
      <c r="F13" s="926"/>
      <c r="G13" s="926"/>
      <c r="H13" s="926"/>
      <c r="I13" s="926"/>
      <c r="J13" s="923"/>
    </row>
    <row r="14" spans="1:10">
      <c r="A14" s="926"/>
      <c r="B14" s="925"/>
      <c r="C14" s="957"/>
      <c r="D14" s="988"/>
      <c r="E14" s="987"/>
      <c r="F14" s="1325" t="s">
        <v>1321</v>
      </c>
      <c r="G14" s="1325"/>
      <c r="H14" s="1325"/>
      <c r="I14" s="1325"/>
      <c r="J14" s="923"/>
    </row>
    <row r="15" spans="1:10">
      <c r="A15" s="926"/>
      <c r="B15" s="925"/>
      <c r="C15" s="961" t="s">
        <v>1066</v>
      </c>
      <c r="D15" s="952" t="s">
        <v>72</v>
      </c>
      <c r="E15" s="972"/>
      <c r="F15" s="952" t="s">
        <v>1065</v>
      </c>
      <c r="G15" s="952" t="s">
        <v>1311</v>
      </c>
      <c r="H15" s="952" t="s">
        <v>1063</v>
      </c>
      <c r="I15" s="952" t="s">
        <v>1062</v>
      </c>
      <c r="J15" s="923"/>
    </row>
    <row r="16" spans="1:10">
      <c r="A16" s="926"/>
      <c r="B16" s="925"/>
      <c r="C16" s="971"/>
      <c r="D16" s="969"/>
      <c r="E16" s="970"/>
      <c r="F16" s="969"/>
      <c r="G16" s="969"/>
      <c r="H16" s="969"/>
      <c r="I16" s="969"/>
      <c r="J16" s="923"/>
    </row>
    <row r="17" spans="1:16">
      <c r="A17" s="926"/>
      <c r="B17" s="925"/>
      <c r="C17" s="928" t="s">
        <v>1320</v>
      </c>
      <c r="D17" s="985">
        <f>D18/Assumptions!L33</f>
        <v>205068.81527826141</v>
      </c>
      <c r="E17" s="981"/>
      <c r="F17" s="986"/>
      <c r="G17" s="986"/>
      <c r="H17" s="986"/>
      <c r="I17" s="986"/>
      <c r="J17" s="923"/>
    </row>
    <row r="18" spans="1:16">
      <c r="A18" s="926"/>
      <c r="B18" s="925"/>
      <c r="C18" s="933" t="s">
        <v>1319</v>
      </c>
      <c r="D18" s="985">
        <f>SUM('BA data'!D178:D179)</f>
        <v>1230412.8916695684</v>
      </c>
      <c r="E18" s="981"/>
      <c r="F18" s="984"/>
      <c r="G18" s="984"/>
      <c r="H18" s="984"/>
      <c r="I18" s="984"/>
      <c r="J18" s="923"/>
      <c r="L18" s="75"/>
    </row>
    <row r="19" spans="1:16">
      <c r="A19" s="926"/>
      <c r="B19" s="925"/>
      <c r="C19" s="933" t="s">
        <v>1318</v>
      </c>
      <c r="D19" s="935">
        <v>18853774</v>
      </c>
      <c r="E19" s="981"/>
      <c r="F19" s="983"/>
      <c r="G19" s="983"/>
      <c r="H19" s="983"/>
      <c r="I19" s="983"/>
      <c r="J19" s="923"/>
      <c r="L19" s="75"/>
    </row>
    <row r="20" spans="1:16">
      <c r="A20" s="926"/>
      <c r="B20" s="925"/>
      <c r="C20" s="933"/>
      <c r="D20" s="935"/>
      <c r="E20" s="981"/>
      <c r="F20" s="983"/>
      <c r="G20" s="983"/>
      <c r="H20" s="983"/>
      <c r="I20" s="983"/>
      <c r="J20" s="923"/>
    </row>
    <row r="21" spans="1:16">
      <c r="A21" s="926"/>
      <c r="B21" s="925"/>
      <c r="C21" s="933" t="s">
        <v>1317</v>
      </c>
      <c r="D21" s="982"/>
      <c r="E21" s="981"/>
      <c r="F21" s="980">
        <f>'BA data'!E95</f>
        <v>0.59017601654926877</v>
      </c>
      <c r="G21" s="980">
        <f>'BA data'!F95+F21</f>
        <v>0.72852432987206095</v>
      </c>
      <c r="H21" s="980">
        <f>'BA data'!G95</f>
        <v>0.14797062325516608</v>
      </c>
      <c r="I21" s="980">
        <f>'BA data'!H95</f>
        <v>0.12350817498799616</v>
      </c>
      <c r="J21" s="923"/>
      <c r="L21" s="4"/>
    </row>
    <row r="22" spans="1:16">
      <c r="A22" s="926"/>
      <c r="B22" s="925"/>
      <c r="C22" s="951" t="s">
        <v>1316</v>
      </c>
      <c r="D22" s="979"/>
      <c r="E22" s="978"/>
      <c r="F22" s="963">
        <v>0.68079999999999996</v>
      </c>
      <c r="G22" s="963">
        <v>0.80559999999999998</v>
      </c>
      <c r="H22" s="963">
        <v>0.1149</v>
      </c>
      <c r="I22" s="963">
        <v>7.9399999999999998E-2</v>
      </c>
      <c r="J22" s="923"/>
    </row>
    <row r="23" spans="1:16">
      <c r="A23" s="926"/>
      <c r="B23" s="977"/>
      <c r="C23" s="976"/>
      <c r="D23" s="945"/>
      <c r="E23" s="975"/>
      <c r="F23" s="974"/>
      <c r="G23" s="973"/>
      <c r="H23" s="973"/>
      <c r="I23" s="973"/>
      <c r="J23" s="923"/>
    </row>
    <row r="24" spans="1:16">
      <c r="A24" s="926"/>
      <c r="B24" s="925"/>
      <c r="C24" s="961" t="s">
        <v>1315</v>
      </c>
      <c r="D24" s="952"/>
      <c r="E24" s="972"/>
      <c r="F24" s="952"/>
      <c r="G24" s="952"/>
      <c r="H24" s="952"/>
      <c r="I24" s="952"/>
      <c r="J24" s="923"/>
    </row>
    <row r="25" spans="1:16">
      <c r="A25" s="926"/>
      <c r="B25" s="925"/>
      <c r="C25" s="971"/>
      <c r="D25" s="969"/>
      <c r="E25" s="970"/>
      <c r="F25" s="969"/>
      <c r="G25" s="969"/>
      <c r="H25" s="969"/>
      <c r="I25" s="969"/>
      <c r="J25" s="923"/>
    </row>
    <row r="26" spans="1:16">
      <c r="A26" s="926"/>
      <c r="B26" s="925"/>
      <c r="C26" s="933" t="s">
        <v>1314</v>
      </c>
      <c r="D26" s="967">
        <f>SUMPRODUCT(G26:I26,G21:I21)</f>
        <v>237.35534981436103</v>
      </c>
      <c r="E26" s="968"/>
      <c r="F26" s="967">
        <f>'BA data'!E184</f>
        <v>210.00078047550093</v>
      </c>
      <c r="G26" s="967">
        <f>'BA data'!F184*(G21-F21)/G21+'BA data'!E184*F21/G21</f>
        <v>217.32761408747953</v>
      </c>
      <c r="H26" s="967">
        <f>'BA data'!G184</f>
        <v>268.70744990511594</v>
      </c>
      <c r="I26" s="967">
        <f>'BA data'!H184</f>
        <v>317.92297608345467</v>
      </c>
      <c r="J26" s="923"/>
    </row>
    <row r="27" spans="1:16">
      <c r="A27" s="926"/>
      <c r="B27" s="925"/>
      <c r="C27" s="966" t="s">
        <v>1313</v>
      </c>
      <c r="D27" s="965">
        <f>SUMPRODUCT(G27:I27,G21:I21)</f>
        <v>0.32215396985097766</v>
      </c>
      <c r="E27" s="964"/>
      <c r="F27" s="963">
        <f>F26/'BA data'!E180</f>
        <v>0.96786793331546794</v>
      </c>
      <c r="G27" s="963">
        <f>G26/'BA data'!F180</f>
        <v>0.37278355471793412</v>
      </c>
      <c r="H27" s="963">
        <f>H26/'BA data'!G180</f>
        <v>0.26517983604721423</v>
      </c>
      <c r="I27" s="963">
        <f>I26/'BA data'!H180</f>
        <v>9.1761171673554118E-2</v>
      </c>
      <c r="J27" s="923"/>
    </row>
    <row r="28" spans="1:16">
      <c r="A28" s="926"/>
      <c r="B28" s="925"/>
      <c r="C28" s="946"/>
      <c r="D28" s="945"/>
      <c r="E28" s="944"/>
      <c r="F28" s="962"/>
      <c r="G28" s="962"/>
      <c r="H28" s="962"/>
      <c r="I28" s="962"/>
      <c r="J28" s="923"/>
    </row>
    <row r="29" spans="1:16">
      <c r="A29" s="926"/>
      <c r="B29" s="925"/>
      <c r="C29" s="961" t="s">
        <v>1312</v>
      </c>
      <c r="D29" s="960"/>
      <c r="E29" s="959"/>
      <c r="F29" s="958"/>
      <c r="G29" s="958"/>
      <c r="H29" s="958"/>
      <c r="I29" s="958"/>
      <c r="J29" s="923"/>
    </row>
    <row r="30" spans="1:16">
      <c r="A30" s="926"/>
      <c r="B30" s="925"/>
      <c r="C30" s="957"/>
      <c r="D30" s="956"/>
      <c r="E30" s="955"/>
      <c r="F30" s="954"/>
      <c r="G30" s="954"/>
      <c r="H30" s="954"/>
      <c r="I30" s="954"/>
      <c r="J30" s="923"/>
      <c r="K30" s="953"/>
      <c r="L30" s="952" t="s">
        <v>1311</v>
      </c>
      <c r="M30" s="952" t="s">
        <v>1063</v>
      </c>
      <c r="N30" s="952" t="s">
        <v>1062</v>
      </c>
    </row>
    <row r="31" spans="1:16">
      <c r="A31" s="926"/>
      <c r="B31" s="925"/>
      <c r="C31" s="951" t="s">
        <v>1310</v>
      </c>
      <c r="D31" s="950">
        <f>D12/D13</f>
        <v>1.5022992051415438</v>
      </c>
      <c r="E31" s="949"/>
      <c r="F31" s="948">
        <f>'BA data'!E183/'BA data'!$D$183*'Poverty Scorecard'!$D$31</f>
        <v>0.78363631022595315</v>
      </c>
      <c r="G31" s="948">
        <f>'BA data'!F183/'BA data'!$D$183*'Poverty Scorecard'!$D$31+F31</f>
        <v>1.001085239021799</v>
      </c>
      <c r="H31" s="948">
        <f>'BA data'!G183/'BA data'!$D$183*'Poverty Scorecard'!$D$31</f>
        <v>0.25276195332441165</v>
      </c>
      <c r="I31" s="948">
        <f>'BA data'!H183/'BA data'!$D$183*'Poverty Scorecard'!$D$31</f>
        <v>0.24845201279533302</v>
      </c>
      <c r="J31" s="923"/>
      <c r="K31" s="176"/>
      <c r="L31" s="107">
        <f>G31/$D$31</f>
        <v>0.66636874704828097</v>
      </c>
      <c r="M31" s="107">
        <f>H31/$D$31</f>
        <v>0.16825007459189656</v>
      </c>
      <c r="N31" s="107">
        <f>I31/$D$31</f>
        <v>0.16538117835982236</v>
      </c>
      <c r="O31" s="947"/>
      <c r="P31" s="947"/>
    </row>
    <row r="32" spans="1:16">
      <c r="A32" s="926"/>
      <c r="B32" s="925"/>
      <c r="C32" s="946"/>
      <c r="D32" s="945"/>
      <c r="E32" s="944"/>
      <c r="F32" s="943"/>
      <c r="G32" s="943"/>
      <c r="H32" s="943"/>
      <c r="I32" s="943"/>
      <c r="J32" s="923"/>
      <c r="N32" s="4"/>
    </row>
    <row r="33" spans="1:10">
      <c r="A33" s="926"/>
      <c r="B33" s="925"/>
      <c r="C33" s="942" t="s">
        <v>1309</v>
      </c>
      <c r="D33" s="941">
        <v>0.49919999999999998</v>
      </c>
      <c r="E33" s="939"/>
      <c r="F33" s="938"/>
      <c r="G33" s="938"/>
      <c r="H33" s="938"/>
      <c r="I33" s="938"/>
      <c r="J33" s="923"/>
    </row>
    <row r="34" spans="1:10">
      <c r="A34" s="926"/>
      <c r="B34" s="925"/>
      <c r="C34" s="933"/>
      <c r="D34" s="940"/>
      <c r="E34" s="939"/>
      <c r="F34" s="938"/>
      <c r="G34" s="938"/>
      <c r="H34" s="938"/>
      <c r="I34" s="938"/>
      <c r="J34" s="923"/>
    </row>
    <row r="35" spans="1:10">
      <c r="A35" s="926"/>
      <c r="B35" s="925"/>
      <c r="C35" s="933" t="s">
        <v>1308</v>
      </c>
      <c r="D35" s="937">
        <v>1280</v>
      </c>
      <c r="E35" s="928"/>
      <c r="F35" s="928"/>
      <c r="G35" s="928"/>
      <c r="H35" s="928"/>
      <c r="I35" s="928"/>
      <c r="J35" s="923"/>
    </row>
    <row r="36" spans="1:10">
      <c r="A36" s="926"/>
      <c r="B36" s="925"/>
      <c r="C36" s="936" t="s">
        <v>1307</v>
      </c>
      <c r="D36" s="935">
        <f>Assumptions!E45</f>
        <v>13881336</v>
      </c>
      <c r="E36" s="934"/>
      <c r="F36" s="934"/>
      <c r="G36" s="934"/>
      <c r="H36" s="934"/>
      <c r="I36" s="934"/>
      <c r="J36" s="923"/>
    </row>
    <row r="37" spans="1:10">
      <c r="A37" s="926"/>
      <c r="B37" s="925"/>
      <c r="C37" s="933"/>
      <c r="D37" s="932"/>
      <c r="E37" s="928"/>
      <c r="F37" s="928"/>
      <c r="G37" s="928"/>
      <c r="H37" s="928"/>
      <c r="I37" s="928"/>
      <c r="J37" s="923"/>
    </row>
    <row r="38" spans="1:10">
      <c r="A38" s="926"/>
      <c r="B38" s="925"/>
      <c r="C38" s="931" t="s">
        <v>1306</v>
      </c>
      <c r="D38" s="929"/>
      <c r="E38" s="928"/>
      <c r="F38" s="927"/>
      <c r="G38" s="927"/>
      <c r="H38" s="927"/>
      <c r="I38" s="927"/>
      <c r="J38" s="923"/>
    </row>
    <row r="39" spans="1:10">
      <c r="A39" s="926"/>
      <c r="B39" s="925"/>
      <c r="C39" s="930" t="s">
        <v>1305</v>
      </c>
      <c r="D39" s="929"/>
      <c r="E39" s="928"/>
      <c r="F39" s="927"/>
      <c r="G39" s="927"/>
      <c r="H39" s="927"/>
      <c r="I39" s="927"/>
      <c r="J39" s="923"/>
    </row>
    <row r="40" spans="1:10">
      <c r="A40" s="926"/>
      <c r="B40" s="925"/>
      <c r="C40" s="930" t="s">
        <v>1304</v>
      </c>
      <c r="D40" s="929"/>
      <c r="E40" s="928"/>
      <c r="F40" s="927"/>
      <c r="G40" s="927"/>
      <c r="H40" s="927"/>
      <c r="I40" s="927"/>
      <c r="J40" s="923"/>
    </row>
    <row r="41" spans="1:10">
      <c r="A41" s="926"/>
      <c r="B41" s="925"/>
      <c r="C41" s="924" t="s">
        <v>1303</v>
      </c>
      <c r="D41" s="922"/>
      <c r="E41" s="922"/>
      <c r="F41" s="922"/>
      <c r="G41" s="922"/>
      <c r="H41" s="922"/>
      <c r="I41" s="922"/>
      <c r="J41" s="923"/>
    </row>
    <row r="42" spans="1:10">
      <c r="A42" s="922"/>
      <c r="B42" s="925"/>
      <c r="C42" s="924" t="s">
        <v>1302</v>
      </c>
      <c r="D42" s="922"/>
      <c r="E42" s="922"/>
      <c r="F42" s="922"/>
      <c r="G42" s="922"/>
      <c r="H42" s="922"/>
      <c r="I42" s="922"/>
      <c r="J42" s="923"/>
    </row>
    <row r="43" spans="1:10" ht="15.75" thickBot="1">
      <c r="A43" s="922"/>
      <c r="B43" s="921"/>
      <c r="C43" s="920"/>
      <c r="D43" s="919"/>
      <c r="E43" s="919"/>
      <c r="F43" s="919"/>
      <c r="G43" s="919"/>
      <c r="H43" s="919"/>
      <c r="I43" s="919"/>
      <c r="J43" s="918"/>
    </row>
  </sheetData>
  <mergeCells count="6">
    <mergeCell ref="F14:I14"/>
    <mergeCell ref="D4:J4"/>
    <mergeCell ref="D5:I5"/>
    <mergeCell ref="C7:I7"/>
    <mergeCell ref="C8:I8"/>
    <mergeCell ref="F10:H10"/>
  </mergeCells>
  <pageMargins left="0.7" right="0.7" top="0.75" bottom="0.75" header="0.3" footer="0.3"/>
  <pageSetup scale="6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heetViews>
  <sheetFormatPr defaultRowHeight="15"/>
  <cols>
    <col min="1" max="1" width="39.42578125" bestFit="1" customWidth="1"/>
    <col min="3" max="3" width="15.28515625" bestFit="1" customWidth="1"/>
    <col min="4" max="4" width="25.5703125" bestFit="1" customWidth="1"/>
    <col min="5" max="6" width="14.5703125" bestFit="1" customWidth="1"/>
  </cols>
  <sheetData>
    <row r="1" spans="1:8">
      <c r="A1" t="s">
        <v>1445</v>
      </c>
      <c r="B1" t="s">
        <v>1399</v>
      </c>
      <c r="C1" s="952" t="s">
        <v>1065</v>
      </c>
      <c r="D1" s="952" t="s">
        <v>1446</v>
      </c>
      <c r="E1" s="952" t="s">
        <v>1063</v>
      </c>
      <c r="F1" s="952" t="s">
        <v>1062</v>
      </c>
      <c r="H1" s="1028" t="s">
        <v>1624</v>
      </c>
    </row>
    <row r="2" spans="1:8">
      <c r="A2" s="390" t="s">
        <v>707</v>
      </c>
      <c r="B2" s="474">
        <f>Cost!C10</f>
        <v>76.708776808025249</v>
      </c>
      <c r="C2" s="832">
        <f>'BA data'!E113</f>
        <v>28657495.070057623</v>
      </c>
      <c r="D2" s="832">
        <f>'BA data'!F113</f>
        <v>7576145.9817020046</v>
      </c>
      <c r="E2" s="832">
        <f>'BA data'!G113</f>
        <v>8483426.4343167096</v>
      </c>
      <c r="F2" s="832">
        <f>'BA data'!H113</f>
        <v>7069756.1711568814</v>
      </c>
    </row>
    <row r="3" spans="1:8">
      <c r="A3" s="390" t="s">
        <v>706</v>
      </c>
      <c r="B3" s="474">
        <f>Cost!C11+0.25*Cost!C$15</f>
        <v>34.716320212416022</v>
      </c>
      <c r="C3" s="474">
        <f>'BA data'!E133</f>
        <v>70926600.850949407</v>
      </c>
      <c r="D3" s="474">
        <f>'BA data'!F133</f>
        <v>15893193.728785848</v>
      </c>
      <c r="E3" s="474">
        <f>'BA data'!G133</f>
        <v>20569852.381663322</v>
      </c>
      <c r="F3" s="474">
        <f>'BA data'!H133</f>
        <v>15665752.075845834</v>
      </c>
    </row>
    <row r="4" spans="1:8">
      <c r="A4" s="390" t="s">
        <v>705</v>
      </c>
      <c r="B4" s="474">
        <f>Cost!C12+0.5*Cost!C$15</f>
        <v>55.170439873221753</v>
      </c>
      <c r="C4" s="750">
        <f>'BA data'!E143</f>
        <v>4206872.1152495109</v>
      </c>
      <c r="D4" s="750">
        <f>'BA data'!F143</f>
        <v>864897.7895762386</v>
      </c>
      <c r="E4" s="750">
        <f>'BA data'!G143</f>
        <v>994319.69312707207</v>
      </c>
      <c r="F4" s="750">
        <f>'BA data'!H143</f>
        <v>923143.87599295739</v>
      </c>
    </row>
    <row r="5" spans="1:8">
      <c r="A5" s="390" t="s">
        <v>703</v>
      </c>
      <c r="B5" s="474">
        <f>Cost!C13+0.25*Cost!C$15</f>
        <v>17.13766055810024</v>
      </c>
      <c r="C5" s="125">
        <f>'BA data'!E173</f>
        <v>35322489.285367556</v>
      </c>
      <c r="D5" s="125">
        <f>'BA data'!F173</f>
        <v>11157073.580185985</v>
      </c>
      <c r="E5" s="125">
        <f>'BA data'!G173</f>
        <v>12982819.028050862</v>
      </c>
      <c r="F5" s="125">
        <f>'BA data'!H173</f>
        <v>11172659.303871356</v>
      </c>
    </row>
    <row r="6" spans="1:8">
      <c r="A6" s="737" t="s">
        <v>14</v>
      </c>
      <c r="B6" s="474">
        <f>Cost!C14</f>
        <v>53.885753312979112</v>
      </c>
      <c r="C6" s="750">
        <f>'BA data'!E123</f>
        <v>15082953.990195716</v>
      </c>
      <c r="D6" s="750">
        <f>'BA data'!F123</f>
        <v>5749250.4320649104</v>
      </c>
      <c r="E6" s="750">
        <f>'BA data'!G123</f>
        <v>7255905.1379449284</v>
      </c>
      <c r="F6" s="750">
        <f>'BA data'!H123</f>
        <v>11530158.918251162</v>
      </c>
    </row>
    <row r="7" spans="1:8">
      <c r="A7" s="1019" t="s">
        <v>72</v>
      </c>
      <c r="B7" s="474">
        <f>Cost!C16</f>
        <v>230.79553457980711</v>
      </c>
      <c r="C7" s="125">
        <f>'BA data'!E183</f>
        <v>152358616.31033555</v>
      </c>
      <c r="D7" s="125">
        <f>'BA data'!F183</f>
        <v>42277543.137258425</v>
      </c>
      <c r="E7" s="125">
        <f>'BA data'!G183</f>
        <v>49143283.640469514</v>
      </c>
      <c r="F7" s="125">
        <f>'BA data'!H183</f>
        <v>48305322.756292373</v>
      </c>
    </row>
    <row r="9" spans="1:8">
      <c r="A9" s="914" t="s">
        <v>1447</v>
      </c>
      <c r="B9" s="914"/>
      <c r="C9" s="952" t="s">
        <v>1065</v>
      </c>
      <c r="D9" s="952" t="s">
        <v>1446</v>
      </c>
      <c r="E9" s="952" t="s">
        <v>1063</v>
      </c>
      <c r="F9" s="952" t="s">
        <v>1062</v>
      </c>
    </row>
    <row r="10" spans="1:8">
      <c r="A10" s="390" t="s">
        <v>707</v>
      </c>
      <c r="B10" s="474"/>
      <c r="C10" s="1020">
        <f>C2/($B2*1000000)</f>
        <v>0.37358821588013486</v>
      </c>
      <c r="D10" s="1020">
        <f t="shared" ref="D10:F10" si="0">D2/($B2*1000000)</f>
        <v>9.8765047455552563E-2</v>
      </c>
      <c r="E10" s="1020">
        <f t="shared" si="0"/>
        <v>0.11059264385805166</v>
      </c>
      <c r="F10" s="1020">
        <f t="shared" si="0"/>
        <v>9.2163588905216975E-2</v>
      </c>
    </row>
    <row r="11" spans="1:8">
      <c r="A11" s="390" t="s">
        <v>706</v>
      </c>
      <c r="B11" s="474"/>
      <c r="C11" s="1020">
        <f t="shared" ref="C11:F11" si="1">C3/($B3*1000000)</f>
        <v>2.0430333749941347</v>
      </c>
      <c r="D11" s="1020">
        <f t="shared" si="1"/>
        <v>0.45780179556881062</v>
      </c>
      <c r="E11" s="1020">
        <f t="shared" si="1"/>
        <v>0.59251246260560397</v>
      </c>
      <c r="F11" s="1020">
        <f t="shared" si="1"/>
        <v>0.45125036236539551</v>
      </c>
    </row>
    <row r="12" spans="1:8">
      <c r="A12" s="390" t="s">
        <v>705</v>
      </c>
      <c r="B12" s="474"/>
      <c r="C12" s="1020">
        <f t="shared" ref="C12:F12" si="2">C4/($B4*1000000)</f>
        <v>7.6252285189616784E-2</v>
      </c>
      <c r="D12" s="1020">
        <f t="shared" si="2"/>
        <v>1.567683331080412E-2</v>
      </c>
      <c r="E12" s="1020">
        <f t="shared" si="2"/>
        <v>1.8022689241049317E-2</v>
      </c>
      <c r="F12" s="1020">
        <f t="shared" si="2"/>
        <v>1.6732581398920955E-2</v>
      </c>
    </row>
    <row r="13" spans="1:8">
      <c r="A13" s="390" t="s">
        <v>703</v>
      </c>
      <c r="B13" s="474"/>
      <c r="C13" s="1020">
        <f t="shared" ref="C13:F13" si="3">C5/($B5*1000000)</f>
        <v>2.0611033323724066</v>
      </c>
      <c r="D13" s="1020">
        <f t="shared" si="3"/>
        <v>0.65102664055932147</v>
      </c>
      <c r="E13" s="1020">
        <f t="shared" si="3"/>
        <v>0.75756075247472676</v>
      </c>
      <c r="F13" s="1020">
        <f t="shared" si="3"/>
        <v>0.65193608345746579</v>
      </c>
    </row>
    <row r="14" spans="1:8">
      <c r="A14" s="737" t="s">
        <v>14</v>
      </c>
      <c r="B14" s="474"/>
      <c r="C14" s="1020">
        <f t="shared" ref="C14:F15" si="4">C6/($B6*1000000)</f>
        <v>0.27990615446333167</v>
      </c>
      <c r="D14" s="1020">
        <f t="shared" si="4"/>
        <v>0.10669332947193161</v>
      </c>
      <c r="E14" s="1020">
        <f t="shared" si="4"/>
        <v>0.13465349729456683</v>
      </c>
      <c r="F14" s="1020">
        <f t="shared" si="4"/>
        <v>0.21397416217384435</v>
      </c>
    </row>
    <row r="15" spans="1:8">
      <c r="A15" s="1019" t="s">
        <v>72</v>
      </c>
      <c r="B15" s="474"/>
      <c r="C15" s="1020">
        <f>C7/($B7*1000000)</f>
        <v>0.66014542520384534</v>
      </c>
      <c r="D15" s="1020">
        <f t="shared" si="4"/>
        <v>0.18318180728336067</v>
      </c>
      <c r="E15" s="1020">
        <f t="shared" si="4"/>
        <v>0.21292995867507217</v>
      </c>
      <c r="F15" s="1020">
        <f t="shared" si="4"/>
        <v>0.20929920868806415</v>
      </c>
    </row>
    <row r="16" spans="1:8">
      <c r="A16" s="1019" t="s">
        <v>1455</v>
      </c>
      <c r="C16" s="474">
        <f>SUM(C3:C5)/(1000000*SUM($B3:$B5))</f>
        <v>1.0320631645300034</v>
      </c>
      <c r="D16" s="474">
        <f t="shared" ref="D16:F16" si="5">SUM(D3:D5)/(1000000*SUM($B3:$B5))</f>
        <v>0.26082986416223486</v>
      </c>
      <c r="E16" s="474">
        <f t="shared" si="5"/>
        <v>0.32279540403064633</v>
      </c>
      <c r="F16" s="474">
        <f t="shared" si="5"/>
        <v>0.25939458572845331</v>
      </c>
    </row>
    <row r="17" spans="1:7">
      <c r="A17" s="1019" t="s">
        <v>1448</v>
      </c>
    </row>
    <row r="19" spans="1:7" ht="51.75">
      <c r="B19" s="390" t="s">
        <v>1463</v>
      </c>
      <c r="C19" s="390" t="s">
        <v>706</v>
      </c>
      <c r="D19" s="390" t="s">
        <v>705</v>
      </c>
      <c r="E19" s="390" t="s">
        <v>703</v>
      </c>
      <c r="F19" s="737" t="s">
        <v>14</v>
      </c>
      <c r="G19" s="1021" t="s">
        <v>1449</v>
      </c>
    </row>
    <row r="20" spans="1:7">
      <c r="A20" s="1022" t="s">
        <v>1450</v>
      </c>
      <c r="B20" s="1020">
        <f>C10</f>
        <v>0.37358821588013486</v>
      </c>
      <c r="C20" s="1020">
        <f>C11</f>
        <v>2.0430333749941347</v>
      </c>
      <c r="D20" s="1020">
        <f>C12</f>
        <v>7.6252285189616784E-2</v>
      </c>
      <c r="E20" s="1020">
        <f>C13</f>
        <v>2.0611033323724066</v>
      </c>
      <c r="F20" s="1020">
        <f>C14</f>
        <v>0.27990615446333167</v>
      </c>
      <c r="G20" s="125">
        <v>4.1135175380242167E-2</v>
      </c>
    </row>
    <row r="21" spans="1:7">
      <c r="A21" s="1022" t="s">
        <v>1451</v>
      </c>
      <c r="B21" s="1020">
        <f>D10</f>
        <v>9.8765047455552563E-2</v>
      </c>
      <c r="C21" s="1020">
        <f>D11</f>
        <v>0.45780179556881062</v>
      </c>
      <c r="D21" s="1020">
        <f>D12</f>
        <v>1.567683331080412E-2</v>
      </c>
      <c r="E21" s="1020">
        <f>D13</f>
        <v>0.65102664055932147</v>
      </c>
      <c r="F21" s="1020">
        <f>D14</f>
        <v>0.10669332947193161</v>
      </c>
      <c r="G21" s="125">
        <v>0.11042876637732524</v>
      </c>
    </row>
    <row r="22" spans="1:7">
      <c r="A22" s="1022" t="s">
        <v>1452</v>
      </c>
      <c r="B22" s="1020">
        <f>E10</f>
        <v>0.11059264385805166</v>
      </c>
      <c r="C22" s="1020">
        <f>E11</f>
        <v>0.59251246260560397</v>
      </c>
      <c r="D22" s="1020">
        <f>E12</f>
        <v>1.8022689241049317E-2</v>
      </c>
      <c r="E22" s="1020">
        <f>E13</f>
        <v>0.75756075247472676</v>
      </c>
      <c r="F22" s="1020">
        <f>E14</f>
        <v>0.13465349729456683</v>
      </c>
      <c r="G22" s="125">
        <v>0.1919816516964187</v>
      </c>
    </row>
    <row r="23" spans="1:7">
      <c r="A23" s="1022" t="s">
        <v>1453</v>
      </c>
      <c r="B23" s="1020">
        <f>F10</f>
        <v>9.2163588905216975E-2</v>
      </c>
      <c r="C23" s="1020">
        <f>F11</f>
        <v>0.45125036236539551</v>
      </c>
      <c r="D23" s="1020">
        <f>F12</f>
        <v>1.6732581398920955E-2</v>
      </c>
      <c r="E23" s="1020">
        <f>F13</f>
        <v>0.65193608345746579</v>
      </c>
      <c r="F23" s="1020">
        <f>F14</f>
        <v>0.21397416217384435</v>
      </c>
      <c r="G23" s="125">
        <v>0.65645440654601395</v>
      </c>
    </row>
    <row r="25" spans="1:7" ht="26.25">
      <c r="B25" t="s">
        <v>1454</v>
      </c>
      <c r="C25" s="1021" t="s">
        <v>1449</v>
      </c>
    </row>
    <row r="26" spans="1:7">
      <c r="A26" s="1022" t="s">
        <v>1450</v>
      </c>
      <c r="B26" s="1020">
        <f>C15</f>
        <v>0.66014542520384534</v>
      </c>
      <c r="C26" s="125">
        <v>4.1135175380242167E-2</v>
      </c>
    </row>
    <row r="27" spans="1:7">
      <c r="A27" s="1022" t="s">
        <v>1451</v>
      </c>
      <c r="B27" s="1020">
        <f>D15</f>
        <v>0.18318180728336067</v>
      </c>
      <c r="C27" s="125">
        <v>0.11042876637732524</v>
      </c>
    </row>
    <row r="28" spans="1:7">
      <c r="A28" s="1022" t="s">
        <v>1452</v>
      </c>
      <c r="B28" s="1020">
        <f>E15</f>
        <v>0.21292995867507217</v>
      </c>
      <c r="C28" s="125">
        <v>0.1919816516964187</v>
      </c>
    </row>
    <row r="29" spans="1:7">
      <c r="A29" s="1022" t="s">
        <v>1453</v>
      </c>
      <c r="B29" s="1020">
        <f>F15</f>
        <v>0.20929920868806415</v>
      </c>
      <c r="C29" s="125">
        <v>0.65645440654601395</v>
      </c>
    </row>
    <row r="31" spans="1:7" ht="26.25">
      <c r="A31" s="914"/>
      <c r="B31" s="390" t="s">
        <v>1464</v>
      </c>
      <c r="C31" t="s">
        <v>1456</v>
      </c>
      <c r="D31" s="737" t="s">
        <v>14</v>
      </c>
      <c r="E31" s="1021" t="s">
        <v>1449</v>
      </c>
    </row>
    <row r="32" spans="1:7">
      <c r="A32" s="1022" t="s">
        <v>1450</v>
      </c>
      <c r="B32" s="1020">
        <f>B20</f>
        <v>0.37358821588013486</v>
      </c>
      <c r="C32" s="474">
        <f>C16</f>
        <v>1.0320631645300034</v>
      </c>
      <c r="D32" s="1020">
        <f t="shared" ref="D32:E35" si="6">F20</f>
        <v>0.27990615446333167</v>
      </c>
      <c r="E32" s="1020">
        <f t="shared" si="6"/>
        <v>4.1135175380242167E-2</v>
      </c>
    </row>
    <row r="33" spans="1:6">
      <c r="A33" s="1022" t="s">
        <v>1451</v>
      </c>
      <c r="B33" s="1020">
        <f t="shared" ref="B33" si="7">B21</f>
        <v>9.8765047455552563E-2</v>
      </c>
      <c r="C33" s="474">
        <f>D16</f>
        <v>0.26082986416223486</v>
      </c>
      <c r="D33" s="1020">
        <f t="shared" si="6"/>
        <v>0.10669332947193161</v>
      </c>
      <c r="E33" s="1020">
        <f t="shared" si="6"/>
        <v>0.11042876637732524</v>
      </c>
    </row>
    <row r="34" spans="1:6">
      <c r="A34" s="1022" t="s">
        <v>1452</v>
      </c>
      <c r="B34" s="1020">
        <f t="shared" ref="B34" si="8">B22</f>
        <v>0.11059264385805166</v>
      </c>
      <c r="C34" s="474">
        <f>E16</f>
        <v>0.32279540403064633</v>
      </c>
      <c r="D34" s="1020">
        <f t="shared" si="6"/>
        <v>0.13465349729456683</v>
      </c>
      <c r="E34" s="1020">
        <f t="shared" si="6"/>
        <v>0.1919816516964187</v>
      </c>
    </row>
    <row r="35" spans="1:6">
      <c r="A35" s="1022" t="s">
        <v>1453</v>
      </c>
      <c r="B35" s="1020">
        <f t="shared" ref="B35" si="9">B23</f>
        <v>9.2163588905216975E-2</v>
      </c>
      <c r="C35" s="474">
        <f>F16</f>
        <v>0.25939458572845331</v>
      </c>
      <c r="D35" s="1020">
        <f t="shared" si="6"/>
        <v>0.21397416217384435</v>
      </c>
      <c r="E35" s="1020">
        <f t="shared" si="6"/>
        <v>0.65645440654601395</v>
      </c>
    </row>
    <row r="40" spans="1:6">
      <c r="C40" s="390" t="s">
        <v>706</v>
      </c>
      <c r="D40" s="390" t="s">
        <v>705</v>
      </c>
      <c r="E40" s="390" t="s">
        <v>703</v>
      </c>
    </row>
    <row r="41" spans="1:6">
      <c r="C41" s="1020">
        <f t="shared" ref="C41:E44" si="10">C20</f>
        <v>2.0430333749941347</v>
      </c>
      <c r="D41" s="1020">
        <f t="shared" si="10"/>
        <v>7.6252285189616784E-2</v>
      </c>
      <c r="E41" s="1020">
        <f t="shared" si="10"/>
        <v>2.0611033323724066</v>
      </c>
    </row>
    <row r="42" spans="1:6">
      <c r="C42" s="1020">
        <f t="shared" si="10"/>
        <v>0.45780179556881062</v>
      </c>
      <c r="D42" s="1020">
        <f t="shared" si="10"/>
        <v>1.567683331080412E-2</v>
      </c>
      <c r="E42" s="1020">
        <f t="shared" si="10"/>
        <v>0.65102664055932147</v>
      </c>
    </row>
    <row r="43" spans="1:6">
      <c r="C43" s="1020">
        <f t="shared" si="10"/>
        <v>0.59251246260560397</v>
      </c>
      <c r="D43" s="1020">
        <f t="shared" si="10"/>
        <v>1.8022689241049317E-2</v>
      </c>
      <c r="E43" s="1020">
        <f t="shared" si="10"/>
        <v>0.75756075247472676</v>
      </c>
    </row>
    <row r="44" spans="1:6">
      <c r="C44" s="1020">
        <f t="shared" si="10"/>
        <v>0.45125036236539551</v>
      </c>
      <c r="D44" s="1020">
        <f t="shared" si="10"/>
        <v>1.6732581398920955E-2</v>
      </c>
      <c r="E44" s="1020">
        <f t="shared" si="10"/>
        <v>0.65193608345746579</v>
      </c>
    </row>
    <row r="46" spans="1:6">
      <c r="A46" s="914"/>
      <c r="B46" s="914" t="s">
        <v>1450</v>
      </c>
      <c r="C46" s="914" t="s">
        <v>1451</v>
      </c>
      <c r="D46" s="914" t="s">
        <v>1452</v>
      </c>
      <c r="E46" s="914" t="s">
        <v>1453</v>
      </c>
    </row>
    <row r="47" spans="1:6">
      <c r="A47" s="914" t="s">
        <v>1464</v>
      </c>
      <c r="B47" s="1025">
        <v>0.37358821588013486</v>
      </c>
      <c r="C47" s="1025">
        <v>9.8765047455552563E-2</v>
      </c>
      <c r="D47" s="1025">
        <v>0.11059264385805166</v>
      </c>
      <c r="E47" s="1025">
        <v>9.2163588905216975E-2</v>
      </c>
      <c r="F47" s="184">
        <f>SUM(B47:E47)</f>
        <v>0.6751094960989561</v>
      </c>
    </row>
    <row r="48" spans="1:6">
      <c r="A48" s="914" t="s">
        <v>1456</v>
      </c>
      <c r="B48" s="1025">
        <v>1.0320626039147853</v>
      </c>
      <c r="C48" s="1025">
        <v>0.26082973008013488</v>
      </c>
      <c r="D48" s="1025">
        <v>0.32279524100958545</v>
      </c>
      <c r="E48" s="1025">
        <v>0.25939444996923411</v>
      </c>
      <c r="F48" s="184">
        <f t="shared" ref="F48:F49" si="11">SUM(B48:E48)</f>
        <v>1.8750820249737399</v>
      </c>
    </row>
    <row r="49" spans="1:6">
      <c r="A49" s="914" t="s">
        <v>14</v>
      </c>
      <c r="B49" s="1025">
        <v>0.27990579100963869</v>
      </c>
      <c r="C49" s="1025">
        <v>0.10669319093233898</v>
      </c>
      <c r="D49" s="1025">
        <v>0.13465332244914066</v>
      </c>
      <c r="E49" s="1025">
        <v>0.21397388433179548</v>
      </c>
      <c r="F49" s="184">
        <f t="shared" si="11"/>
        <v>0.7352261887229139</v>
      </c>
    </row>
    <row r="50" spans="1:6">
      <c r="C50" s="184">
        <f>C47+B47</f>
        <v>0.47235326333568739</v>
      </c>
    </row>
    <row r="51" spans="1:6">
      <c r="C51" s="184">
        <f t="shared" ref="C51:C52" si="12">C48+B48</f>
        <v>1.2928923339949203</v>
      </c>
    </row>
    <row r="52" spans="1:6">
      <c r="C52" s="184">
        <f t="shared" si="12"/>
        <v>0.38659898194197767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15"/>
  <sheetViews>
    <sheetView showGridLines="0" zoomScale="90" zoomScaleNormal="90" workbookViewId="0"/>
  </sheetViews>
  <sheetFormatPr defaultRowHeight="12.75"/>
  <cols>
    <col min="1" max="1" width="5.7109375" style="1033" customWidth="1"/>
    <col min="2" max="2" width="127.5703125" style="1033" customWidth="1"/>
    <col min="3" max="3" width="9.140625" style="1033"/>
    <col min="4" max="4" width="20.85546875" style="1033" customWidth="1"/>
    <col min="5" max="256" width="9.140625" style="1033"/>
    <col min="257" max="257" width="5.7109375" style="1033" customWidth="1"/>
    <col min="258" max="258" width="127.5703125" style="1033" customWidth="1"/>
    <col min="259" max="259" width="9.140625" style="1033"/>
    <col min="260" max="260" width="20.85546875" style="1033" customWidth="1"/>
    <col min="261" max="512" width="9.140625" style="1033"/>
    <col min="513" max="513" width="5.7109375" style="1033" customWidth="1"/>
    <col min="514" max="514" width="127.5703125" style="1033" customWidth="1"/>
    <col min="515" max="515" width="9.140625" style="1033"/>
    <col min="516" max="516" width="20.85546875" style="1033" customWidth="1"/>
    <col min="517" max="768" width="9.140625" style="1033"/>
    <col min="769" max="769" width="5.7109375" style="1033" customWidth="1"/>
    <col min="770" max="770" width="127.5703125" style="1033" customWidth="1"/>
    <col min="771" max="771" width="9.140625" style="1033"/>
    <col min="772" max="772" width="20.85546875" style="1033" customWidth="1"/>
    <col min="773" max="1024" width="9.140625" style="1033"/>
    <col min="1025" max="1025" width="5.7109375" style="1033" customWidth="1"/>
    <col min="1026" max="1026" width="127.5703125" style="1033" customWidth="1"/>
    <col min="1027" max="1027" width="9.140625" style="1033"/>
    <col min="1028" max="1028" width="20.85546875" style="1033" customWidth="1"/>
    <col min="1029" max="1280" width="9.140625" style="1033"/>
    <col min="1281" max="1281" width="5.7109375" style="1033" customWidth="1"/>
    <col min="1282" max="1282" width="127.5703125" style="1033" customWidth="1"/>
    <col min="1283" max="1283" width="9.140625" style="1033"/>
    <col min="1284" max="1284" width="20.85546875" style="1033" customWidth="1"/>
    <col min="1285" max="1536" width="9.140625" style="1033"/>
    <col min="1537" max="1537" width="5.7109375" style="1033" customWidth="1"/>
    <col min="1538" max="1538" width="127.5703125" style="1033" customWidth="1"/>
    <col min="1539" max="1539" width="9.140625" style="1033"/>
    <col min="1540" max="1540" width="20.85546875" style="1033" customWidth="1"/>
    <col min="1541" max="1792" width="9.140625" style="1033"/>
    <col min="1793" max="1793" width="5.7109375" style="1033" customWidth="1"/>
    <col min="1794" max="1794" width="127.5703125" style="1033" customWidth="1"/>
    <col min="1795" max="1795" width="9.140625" style="1033"/>
    <col min="1796" max="1796" width="20.85546875" style="1033" customWidth="1"/>
    <col min="1797" max="2048" width="9.140625" style="1033"/>
    <col min="2049" max="2049" width="5.7109375" style="1033" customWidth="1"/>
    <col min="2050" max="2050" width="127.5703125" style="1033" customWidth="1"/>
    <col min="2051" max="2051" width="9.140625" style="1033"/>
    <col min="2052" max="2052" width="20.85546875" style="1033" customWidth="1"/>
    <col min="2053" max="2304" width="9.140625" style="1033"/>
    <col min="2305" max="2305" width="5.7109375" style="1033" customWidth="1"/>
    <col min="2306" max="2306" width="127.5703125" style="1033" customWidth="1"/>
    <col min="2307" max="2307" width="9.140625" style="1033"/>
    <col min="2308" max="2308" width="20.85546875" style="1033" customWidth="1"/>
    <col min="2309" max="2560" width="9.140625" style="1033"/>
    <col min="2561" max="2561" width="5.7109375" style="1033" customWidth="1"/>
    <col min="2562" max="2562" width="127.5703125" style="1033" customWidth="1"/>
    <col min="2563" max="2563" width="9.140625" style="1033"/>
    <col min="2564" max="2564" width="20.85546875" style="1033" customWidth="1"/>
    <col min="2565" max="2816" width="9.140625" style="1033"/>
    <col min="2817" max="2817" width="5.7109375" style="1033" customWidth="1"/>
    <col min="2818" max="2818" width="127.5703125" style="1033" customWidth="1"/>
    <col min="2819" max="2819" width="9.140625" style="1033"/>
    <col min="2820" max="2820" width="20.85546875" style="1033" customWidth="1"/>
    <col min="2821" max="3072" width="9.140625" style="1033"/>
    <col min="3073" max="3073" width="5.7109375" style="1033" customWidth="1"/>
    <col min="3074" max="3074" width="127.5703125" style="1033" customWidth="1"/>
    <col min="3075" max="3075" width="9.140625" style="1033"/>
    <col min="3076" max="3076" width="20.85546875" style="1033" customWidth="1"/>
    <col min="3077" max="3328" width="9.140625" style="1033"/>
    <col min="3329" max="3329" width="5.7109375" style="1033" customWidth="1"/>
    <col min="3330" max="3330" width="127.5703125" style="1033" customWidth="1"/>
    <col min="3331" max="3331" width="9.140625" style="1033"/>
    <col min="3332" max="3332" width="20.85546875" style="1033" customWidth="1"/>
    <col min="3333" max="3584" width="9.140625" style="1033"/>
    <col min="3585" max="3585" width="5.7109375" style="1033" customWidth="1"/>
    <col min="3586" max="3586" width="127.5703125" style="1033" customWidth="1"/>
    <col min="3587" max="3587" width="9.140625" style="1033"/>
    <col min="3588" max="3588" width="20.85546875" style="1033" customWidth="1"/>
    <col min="3589" max="3840" width="9.140625" style="1033"/>
    <col min="3841" max="3841" width="5.7109375" style="1033" customWidth="1"/>
    <col min="3842" max="3842" width="127.5703125" style="1033" customWidth="1"/>
    <col min="3843" max="3843" width="9.140625" style="1033"/>
    <col min="3844" max="3844" width="20.85546875" style="1033" customWidth="1"/>
    <col min="3845" max="4096" width="9.140625" style="1033"/>
    <col min="4097" max="4097" width="5.7109375" style="1033" customWidth="1"/>
    <col min="4098" max="4098" width="127.5703125" style="1033" customWidth="1"/>
    <col min="4099" max="4099" width="9.140625" style="1033"/>
    <col min="4100" max="4100" width="20.85546875" style="1033" customWidth="1"/>
    <col min="4101" max="4352" width="9.140625" style="1033"/>
    <col min="4353" max="4353" width="5.7109375" style="1033" customWidth="1"/>
    <col min="4354" max="4354" width="127.5703125" style="1033" customWidth="1"/>
    <col min="4355" max="4355" width="9.140625" style="1033"/>
    <col min="4356" max="4356" width="20.85546875" style="1033" customWidth="1"/>
    <col min="4357" max="4608" width="9.140625" style="1033"/>
    <col min="4609" max="4609" width="5.7109375" style="1033" customWidth="1"/>
    <col min="4610" max="4610" width="127.5703125" style="1033" customWidth="1"/>
    <col min="4611" max="4611" width="9.140625" style="1033"/>
    <col min="4612" max="4612" width="20.85546875" style="1033" customWidth="1"/>
    <col min="4613" max="4864" width="9.140625" style="1033"/>
    <col min="4865" max="4865" width="5.7109375" style="1033" customWidth="1"/>
    <col min="4866" max="4866" width="127.5703125" style="1033" customWidth="1"/>
    <col min="4867" max="4867" width="9.140625" style="1033"/>
    <col min="4868" max="4868" width="20.85546875" style="1033" customWidth="1"/>
    <col min="4869" max="5120" width="9.140625" style="1033"/>
    <col min="5121" max="5121" width="5.7109375" style="1033" customWidth="1"/>
    <col min="5122" max="5122" width="127.5703125" style="1033" customWidth="1"/>
    <col min="5123" max="5123" width="9.140625" style="1033"/>
    <col min="5124" max="5124" width="20.85546875" style="1033" customWidth="1"/>
    <col min="5125" max="5376" width="9.140625" style="1033"/>
    <col min="5377" max="5377" width="5.7109375" style="1033" customWidth="1"/>
    <col min="5378" max="5378" width="127.5703125" style="1033" customWidth="1"/>
    <col min="5379" max="5379" width="9.140625" style="1033"/>
    <col min="5380" max="5380" width="20.85546875" style="1033" customWidth="1"/>
    <col min="5381" max="5632" width="9.140625" style="1033"/>
    <col min="5633" max="5633" width="5.7109375" style="1033" customWidth="1"/>
    <col min="5634" max="5634" width="127.5703125" style="1033" customWidth="1"/>
    <col min="5635" max="5635" width="9.140625" style="1033"/>
    <col min="5636" max="5636" width="20.85546875" style="1033" customWidth="1"/>
    <col min="5637" max="5888" width="9.140625" style="1033"/>
    <col min="5889" max="5889" width="5.7109375" style="1033" customWidth="1"/>
    <col min="5890" max="5890" width="127.5703125" style="1033" customWidth="1"/>
    <col min="5891" max="5891" width="9.140625" style="1033"/>
    <col min="5892" max="5892" width="20.85546875" style="1033" customWidth="1"/>
    <col min="5893" max="6144" width="9.140625" style="1033"/>
    <col min="6145" max="6145" width="5.7109375" style="1033" customWidth="1"/>
    <col min="6146" max="6146" width="127.5703125" style="1033" customWidth="1"/>
    <col min="6147" max="6147" width="9.140625" style="1033"/>
    <col min="6148" max="6148" width="20.85546875" style="1033" customWidth="1"/>
    <col min="6149" max="6400" width="9.140625" style="1033"/>
    <col min="6401" max="6401" width="5.7109375" style="1033" customWidth="1"/>
    <col min="6402" max="6402" width="127.5703125" style="1033" customWidth="1"/>
    <col min="6403" max="6403" width="9.140625" style="1033"/>
    <col min="6404" max="6404" width="20.85546875" style="1033" customWidth="1"/>
    <col min="6405" max="6656" width="9.140625" style="1033"/>
    <col min="6657" max="6657" width="5.7109375" style="1033" customWidth="1"/>
    <col min="6658" max="6658" width="127.5703125" style="1033" customWidth="1"/>
    <col min="6659" max="6659" width="9.140625" style="1033"/>
    <col min="6660" max="6660" width="20.85546875" style="1033" customWidth="1"/>
    <col min="6661" max="6912" width="9.140625" style="1033"/>
    <col min="6913" max="6913" width="5.7109375" style="1033" customWidth="1"/>
    <col min="6914" max="6914" width="127.5703125" style="1033" customWidth="1"/>
    <col min="6915" max="6915" width="9.140625" style="1033"/>
    <col min="6916" max="6916" width="20.85546875" style="1033" customWidth="1"/>
    <col min="6917" max="7168" width="9.140625" style="1033"/>
    <col min="7169" max="7169" width="5.7109375" style="1033" customWidth="1"/>
    <col min="7170" max="7170" width="127.5703125" style="1033" customWidth="1"/>
    <col min="7171" max="7171" width="9.140625" style="1033"/>
    <col min="7172" max="7172" width="20.85546875" style="1033" customWidth="1"/>
    <col min="7173" max="7424" width="9.140625" style="1033"/>
    <col min="7425" max="7425" width="5.7109375" style="1033" customWidth="1"/>
    <col min="7426" max="7426" width="127.5703125" style="1033" customWidth="1"/>
    <col min="7427" max="7427" width="9.140625" style="1033"/>
    <col min="7428" max="7428" width="20.85546875" style="1033" customWidth="1"/>
    <col min="7429" max="7680" width="9.140625" style="1033"/>
    <col min="7681" max="7681" width="5.7109375" style="1033" customWidth="1"/>
    <col min="7682" max="7682" width="127.5703125" style="1033" customWidth="1"/>
    <col min="7683" max="7683" width="9.140625" style="1033"/>
    <col min="7684" max="7684" width="20.85546875" style="1033" customWidth="1"/>
    <col min="7685" max="7936" width="9.140625" style="1033"/>
    <col min="7937" max="7937" width="5.7109375" style="1033" customWidth="1"/>
    <col min="7938" max="7938" width="127.5703125" style="1033" customWidth="1"/>
    <col min="7939" max="7939" width="9.140625" style="1033"/>
    <col min="7940" max="7940" width="20.85546875" style="1033" customWidth="1"/>
    <col min="7941" max="8192" width="9.140625" style="1033"/>
    <col min="8193" max="8193" width="5.7109375" style="1033" customWidth="1"/>
    <col min="8194" max="8194" width="127.5703125" style="1033" customWidth="1"/>
    <col min="8195" max="8195" width="9.140625" style="1033"/>
    <col min="8196" max="8196" width="20.85546875" style="1033" customWidth="1"/>
    <col min="8197" max="8448" width="9.140625" style="1033"/>
    <col min="8449" max="8449" width="5.7109375" style="1033" customWidth="1"/>
    <col min="8450" max="8450" width="127.5703125" style="1033" customWidth="1"/>
    <col min="8451" max="8451" width="9.140625" style="1033"/>
    <col min="8452" max="8452" width="20.85546875" style="1033" customWidth="1"/>
    <col min="8453" max="8704" width="9.140625" style="1033"/>
    <col min="8705" max="8705" width="5.7109375" style="1033" customWidth="1"/>
    <col min="8706" max="8706" width="127.5703125" style="1033" customWidth="1"/>
    <col min="8707" max="8707" width="9.140625" style="1033"/>
    <col min="8708" max="8708" width="20.85546875" style="1033" customWidth="1"/>
    <col min="8709" max="8960" width="9.140625" style="1033"/>
    <col min="8961" max="8961" width="5.7109375" style="1033" customWidth="1"/>
    <col min="8962" max="8962" width="127.5703125" style="1033" customWidth="1"/>
    <col min="8963" max="8963" width="9.140625" style="1033"/>
    <col min="8964" max="8964" width="20.85546875" style="1033" customWidth="1"/>
    <col min="8965" max="9216" width="9.140625" style="1033"/>
    <col min="9217" max="9217" width="5.7109375" style="1033" customWidth="1"/>
    <col min="9218" max="9218" width="127.5703125" style="1033" customWidth="1"/>
    <col min="9219" max="9219" width="9.140625" style="1033"/>
    <col min="9220" max="9220" width="20.85546875" style="1033" customWidth="1"/>
    <col min="9221" max="9472" width="9.140625" style="1033"/>
    <col min="9473" max="9473" width="5.7109375" style="1033" customWidth="1"/>
    <col min="9474" max="9474" width="127.5703125" style="1033" customWidth="1"/>
    <col min="9475" max="9475" width="9.140625" style="1033"/>
    <col min="9476" max="9476" width="20.85546875" style="1033" customWidth="1"/>
    <col min="9477" max="9728" width="9.140625" style="1033"/>
    <col min="9729" max="9729" width="5.7109375" style="1033" customWidth="1"/>
    <col min="9730" max="9730" width="127.5703125" style="1033" customWidth="1"/>
    <col min="9731" max="9731" width="9.140625" style="1033"/>
    <col min="9732" max="9732" width="20.85546875" style="1033" customWidth="1"/>
    <col min="9733" max="9984" width="9.140625" style="1033"/>
    <col min="9985" max="9985" width="5.7109375" style="1033" customWidth="1"/>
    <col min="9986" max="9986" width="127.5703125" style="1033" customWidth="1"/>
    <col min="9987" max="9987" width="9.140625" style="1033"/>
    <col min="9988" max="9988" width="20.85546875" style="1033" customWidth="1"/>
    <col min="9989" max="10240" width="9.140625" style="1033"/>
    <col min="10241" max="10241" width="5.7109375" style="1033" customWidth="1"/>
    <col min="10242" max="10242" width="127.5703125" style="1033" customWidth="1"/>
    <col min="10243" max="10243" width="9.140625" style="1033"/>
    <col min="10244" max="10244" width="20.85546875" style="1033" customWidth="1"/>
    <col min="10245" max="10496" width="9.140625" style="1033"/>
    <col min="10497" max="10497" width="5.7109375" style="1033" customWidth="1"/>
    <col min="10498" max="10498" width="127.5703125" style="1033" customWidth="1"/>
    <col min="10499" max="10499" width="9.140625" style="1033"/>
    <col min="10500" max="10500" width="20.85546875" style="1033" customWidth="1"/>
    <col min="10501" max="10752" width="9.140625" style="1033"/>
    <col min="10753" max="10753" width="5.7109375" style="1033" customWidth="1"/>
    <col min="10754" max="10754" width="127.5703125" style="1033" customWidth="1"/>
    <col min="10755" max="10755" width="9.140625" style="1033"/>
    <col min="10756" max="10756" width="20.85546875" style="1033" customWidth="1"/>
    <col min="10757" max="11008" width="9.140625" style="1033"/>
    <col min="11009" max="11009" width="5.7109375" style="1033" customWidth="1"/>
    <col min="11010" max="11010" width="127.5703125" style="1033" customWidth="1"/>
    <col min="11011" max="11011" width="9.140625" style="1033"/>
    <col min="11012" max="11012" width="20.85546875" style="1033" customWidth="1"/>
    <col min="11013" max="11264" width="9.140625" style="1033"/>
    <col min="11265" max="11265" width="5.7109375" style="1033" customWidth="1"/>
    <col min="11266" max="11266" width="127.5703125" style="1033" customWidth="1"/>
    <col min="11267" max="11267" width="9.140625" style="1033"/>
    <col min="11268" max="11268" width="20.85546875" style="1033" customWidth="1"/>
    <col min="11269" max="11520" width="9.140625" style="1033"/>
    <col min="11521" max="11521" width="5.7109375" style="1033" customWidth="1"/>
    <col min="11522" max="11522" width="127.5703125" style="1033" customWidth="1"/>
    <col min="11523" max="11523" width="9.140625" style="1033"/>
    <col min="11524" max="11524" width="20.85546875" style="1033" customWidth="1"/>
    <col min="11525" max="11776" width="9.140625" style="1033"/>
    <col min="11777" max="11777" width="5.7109375" style="1033" customWidth="1"/>
    <col min="11778" max="11778" width="127.5703125" style="1033" customWidth="1"/>
    <col min="11779" max="11779" width="9.140625" style="1033"/>
    <col min="11780" max="11780" width="20.85546875" style="1033" customWidth="1"/>
    <col min="11781" max="12032" width="9.140625" style="1033"/>
    <col min="12033" max="12033" width="5.7109375" style="1033" customWidth="1"/>
    <col min="12034" max="12034" width="127.5703125" style="1033" customWidth="1"/>
    <col min="12035" max="12035" width="9.140625" style="1033"/>
    <col min="12036" max="12036" width="20.85546875" style="1033" customWidth="1"/>
    <col min="12037" max="12288" width="9.140625" style="1033"/>
    <col min="12289" max="12289" width="5.7109375" style="1033" customWidth="1"/>
    <col min="12290" max="12290" width="127.5703125" style="1033" customWidth="1"/>
    <col min="12291" max="12291" width="9.140625" style="1033"/>
    <col min="12292" max="12292" width="20.85546875" style="1033" customWidth="1"/>
    <col min="12293" max="12544" width="9.140625" style="1033"/>
    <col min="12545" max="12545" width="5.7109375" style="1033" customWidth="1"/>
    <col min="12546" max="12546" width="127.5703125" style="1033" customWidth="1"/>
    <col min="12547" max="12547" width="9.140625" style="1033"/>
    <col min="12548" max="12548" width="20.85546875" style="1033" customWidth="1"/>
    <col min="12549" max="12800" width="9.140625" style="1033"/>
    <col min="12801" max="12801" width="5.7109375" style="1033" customWidth="1"/>
    <col min="12802" max="12802" width="127.5703125" style="1033" customWidth="1"/>
    <col min="12803" max="12803" width="9.140625" style="1033"/>
    <col min="12804" max="12804" width="20.85546875" style="1033" customWidth="1"/>
    <col min="12805" max="13056" width="9.140625" style="1033"/>
    <col min="13057" max="13057" width="5.7109375" style="1033" customWidth="1"/>
    <col min="13058" max="13058" width="127.5703125" style="1033" customWidth="1"/>
    <col min="13059" max="13059" width="9.140625" style="1033"/>
    <col min="13060" max="13060" width="20.85546875" style="1033" customWidth="1"/>
    <col min="13061" max="13312" width="9.140625" style="1033"/>
    <col min="13313" max="13313" width="5.7109375" style="1033" customWidth="1"/>
    <col min="13314" max="13314" width="127.5703125" style="1033" customWidth="1"/>
    <col min="13315" max="13315" width="9.140625" style="1033"/>
    <col min="13316" max="13316" width="20.85546875" style="1033" customWidth="1"/>
    <col min="13317" max="13568" width="9.140625" style="1033"/>
    <col min="13569" max="13569" width="5.7109375" style="1033" customWidth="1"/>
    <col min="13570" max="13570" width="127.5703125" style="1033" customWidth="1"/>
    <col min="13571" max="13571" width="9.140625" style="1033"/>
    <col min="13572" max="13572" width="20.85546875" style="1033" customWidth="1"/>
    <col min="13573" max="13824" width="9.140625" style="1033"/>
    <col min="13825" max="13825" width="5.7109375" style="1033" customWidth="1"/>
    <col min="13826" max="13826" width="127.5703125" style="1033" customWidth="1"/>
    <col min="13827" max="13827" width="9.140625" style="1033"/>
    <col min="13828" max="13828" width="20.85546875" style="1033" customWidth="1"/>
    <col min="13829" max="14080" width="9.140625" style="1033"/>
    <col min="14081" max="14081" width="5.7109375" style="1033" customWidth="1"/>
    <col min="14082" max="14082" width="127.5703125" style="1033" customWidth="1"/>
    <col min="14083" max="14083" width="9.140625" style="1033"/>
    <col min="14084" max="14084" width="20.85546875" style="1033" customWidth="1"/>
    <col min="14085" max="14336" width="9.140625" style="1033"/>
    <col min="14337" max="14337" width="5.7109375" style="1033" customWidth="1"/>
    <col min="14338" max="14338" width="127.5703125" style="1033" customWidth="1"/>
    <col min="14339" max="14339" width="9.140625" style="1033"/>
    <col min="14340" max="14340" width="20.85546875" style="1033" customWidth="1"/>
    <col min="14341" max="14592" width="9.140625" style="1033"/>
    <col min="14593" max="14593" width="5.7109375" style="1033" customWidth="1"/>
    <col min="14594" max="14594" width="127.5703125" style="1033" customWidth="1"/>
    <col min="14595" max="14595" width="9.140625" style="1033"/>
    <col min="14596" max="14596" width="20.85546875" style="1033" customWidth="1"/>
    <col min="14597" max="14848" width="9.140625" style="1033"/>
    <col min="14849" max="14849" width="5.7109375" style="1033" customWidth="1"/>
    <col min="14850" max="14850" width="127.5703125" style="1033" customWidth="1"/>
    <col min="14851" max="14851" width="9.140625" style="1033"/>
    <col min="14852" max="14852" width="20.85546875" style="1033" customWidth="1"/>
    <col min="14853" max="15104" width="9.140625" style="1033"/>
    <col min="15105" max="15105" width="5.7109375" style="1033" customWidth="1"/>
    <col min="15106" max="15106" width="127.5703125" style="1033" customWidth="1"/>
    <col min="15107" max="15107" width="9.140625" style="1033"/>
    <col min="15108" max="15108" width="20.85546875" style="1033" customWidth="1"/>
    <col min="15109" max="15360" width="9.140625" style="1033"/>
    <col min="15361" max="15361" width="5.7109375" style="1033" customWidth="1"/>
    <col min="15362" max="15362" width="127.5703125" style="1033" customWidth="1"/>
    <col min="15363" max="15363" width="9.140625" style="1033"/>
    <col min="15364" max="15364" width="20.85546875" style="1033" customWidth="1"/>
    <col min="15365" max="15616" width="9.140625" style="1033"/>
    <col min="15617" max="15617" width="5.7109375" style="1033" customWidth="1"/>
    <col min="15618" max="15618" width="127.5703125" style="1033" customWidth="1"/>
    <col min="15619" max="15619" width="9.140625" style="1033"/>
    <col min="15620" max="15620" width="20.85546875" style="1033" customWidth="1"/>
    <col min="15621" max="15872" width="9.140625" style="1033"/>
    <col min="15873" max="15873" width="5.7109375" style="1033" customWidth="1"/>
    <col min="15874" max="15874" width="127.5703125" style="1033" customWidth="1"/>
    <col min="15875" max="15875" width="9.140625" style="1033"/>
    <col min="15876" max="15876" width="20.85546875" style="1033" customWidth="1"/>
    <col min="15877" max="16128" width="9.140625" style="1033"/>
    <col min="16129" max="16129" width="5.7109375" style="1033" customWidth="1"/>
    <col min="16130" max="16130" width="127.5703125" style="1033" customWidth="1"/>
    <col min="16131" max="16131" width="9.140625" style="1033"/>
    <col min="16132" max="16132" width="20.85546875" style="1033" customWidth="1"/>
    <col min="16133" max="16384" width="9.140625" style="1033"/>
  </cols>
  <sheetData>
    <row r="1" spans="1:3">
      <c r="C1" s="1028" t="s">
        <v>1623</v>
      </c>
    </row>
    <row r="2" spans="1:3" ht="24.75" customHeight="1">
      <c r="B2" s="1034" t="s">
        <v>1621</v>
      </c>
    </row>
    <row r="3" spans="1:3" ht="16.5" customHeight="1">
      <c r="A3" s="1035"/>
      <c r="B3" s="1036" t="s">
        <v>1504</v>
      </c>
    </row>
    <row r="4" spans="1:3" ht="18">
      <c r="A4" s="1035"/>
      <c r="B4" s="1037"/>
    </row>
    <row r="5" spans="1:3" ht="18">
      <c r="A5" s="1035"/>
      <c r="B5" s="1037" t="s">
        <v>1603</v>
      </c>
    </row>
    <row r="6" spans="1:3" ht="38.25">
      <c r="B6" s="1189" t="s">
        <v>1608</v>
      </c>
    </row>
    <row r="7" spans="1:3" s="1038" customFormat="1" ht="24" customHeight="1">
      <c r="B7" s="1039" t="s">
        <v>1529</v>
      </c>
    </row>
    <row r="8" spans="1:3" ht="127.5" customHeight="1">
      <c r="A8" s="1040"/>
      <c r="B8" s="1041" t="s">
        <v>1530</v>
      </c>
    </row>
    <row r="9" spans="1:3" ht="140.25" customHeight="1">
      <c r="A9" s="1040"/>
      <c r="B9" s="1041" t="s">
        <v>1531</v>
      </c>
    </row>
    <row r="10" spans="1:3" ht="86.25" customHeight="1">
      <c r="A10" s="1040"/>
      <c r="B10" s="1041" t="s">
        <v>1532</v>
      </c>
    </row>
    <row r="11" spans="1:3" ht="18.75" customHeight="1">
      <c r="A11" s="1040"/>
      <c r="B11" s="1042" t="s">
        <v>1533</v>
      </c>
    </row>
    <row r="12" spans="1:3" ht="84.75" customHeight="1">
      <c r="A12" s="1040"/>
      <c r="B12" s="1041" t="s">
        <v>1534</v>
      </c>
    </row>
    <row r="13" spans="1:3" ht="21" customHeight="1">
      <c r="A13" s="1040"/>
      <c r="B13" s="1043" t="s">
        <v>1535</v>
      </c>
    </row>
    <row r="14" spans="1:3" ht="117.75" customHeight="1">
      <c r="A14" s="1040"/>
      <c r="B14" s="1044" t="s">
        <v>1536</v>
      </c>
    </row>
    <row r="15" spans="1:3" ht="51" customHeight="1">
      <c r="B15" s="1045"/>
    </row>
  </sheetData>
  <pageMargins left="0.75" right="0.75" top="1" bottom="1" header="0.5" footer="0.5"/>
  <pageSetup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J80"/>
  <sheetViews>
    <sheetView showGridLines="0" zoomScale="90" zoomScaleNormal="90" workbookViewId="0"/>
  </sheetViews>
  <sheetFormatPr defaultRowHeight="12.75"/>
  <cols>
    <col min="1" max="1" width="5.7109375" style="1049" customWidth="1"/>
    <col min="2" max="2" width="16.28515625" style="1049" customWidth="1"/>
    <col min="3" max="3" width="67" style="1049" customWidth="1"/>
    <col min="4" max="4" width="15.140625" style="1049" customWidth="1"/>
    <col min="5" max="5" width="15" style="1049" customWidth="1"/>
    <col min="6" max="6" width="16.5703125" style="1049" customWidth="1"/>
    <col min="7" max="7" width="18.28515625" style="1049" customWidth="1"/>
    <col min="8" max="8" width="5.7109375" style="1049" customWidth="1"/>
    <col min="9" max="9" width="20.7109375" style="1049" customWidth="1"/>
    <col min="10" max="256" width="9.140625" style="1049"/>
    <col min="257" max="257" width="5.7109375" style="1049" customWidth="1"/>
    <col min="258" max="258" width="16.28515625" style="1049" customWidth="1"/>
    <col min="259" max="259" width="67" style="1049" customWidth="1"/>
    <col min="260" max="260" width="15.140625" style="1049" customWidth="1"/>
    <col min="261" max="261" width="15" style="1049" customWidth="1"/>
    <col min="262" max="262" width="15.140625" style="1049" customWidth="1"/>
    <col min="263" max="263" width="18.28515625" style="1049" customWidth="1"/>
    <col min="264" max="264" width="5.7109375" style="1049" customWidth="1"/>
    <col min="265" max="265" width="20.7109375" style="1049" customWidth="1"/>
    <col min="266" max="512" width="9.140625" style="1049"/>
    <col min="513" max="513" width="5.7109375" style="1049" customWidth="1"/>
    <col min="514" max="514" width="16.28515625" style="1049" customWidth="1"/>
    <col min="515" max="515" width="67" style="1049" customWidth="1"/>
    <col min="516" max="516" width="15.140625" style="1049" customWidth="1"/>
    <col min="517" max="517" width="15" style="1049" customWidth="1"/>
    <col min="518" max="518" width="15.140625" style="1049" customWidth="1"/>
    <col min="519" max="519" width="18.28515625" style="1049" customWidth="1"/>
    <col min="520" max="520" width="5.7109375" style="1049" customWidth="1"/>
    <col min="521" max="521" width="20.7109375" style="1049" customWidth="1"/>
    <col min="522" max="768" width="9.140625" style="1049"/>
    <col min="769" max="769" width="5.7109375" style="1049" customWidth="1"/>
    <col min="770" max="770" width="16.28515625" style="1049" customWidth="1"/>
    <col min="771" max="771" width="67" style="1049" customWidth="1"/>
    <col min="772" max="772" width="15.140625" style="1049" customWidth="1"/>
    <col min="773" max="773" width="15" style="1049" customWidth="1"/>
    <col min="774" max="774" width="15.140625" style="1049" customWidth="1"/>
    <col min="775" max="775" width="18.28515625" style="1049" customWidth="1"/>
    <col min="776" max="776" width="5.7109375" style="1049" customWidth="1"/>
    <col min="777" max="777" width="20.7109375" style="1049" customWidth="1"/>
    <col min="778" max="1024" width="9.140625" style="1049"/>
    <col min="1025" max="1025" width="5.7109375" style="1049" customWidth="1"/>
    <col min="1026" max="1026" width="16.28515625" style="1049" customWidth="1"/>
    <col min="1027" max="1027" width="67" style="1049" customWidth="1"/>
    <col min="1028" max="1028" width="15.140625" style="1049" customWidth="1"/>
    <col min="1029" max="1029" width="15" style="1049" customWidth="1"/>
    <col min="1030" max="1030" width="15.140625" style="1049" customWidth="1"/>
    <col min="1031" max="1031" width="18.28515625" style="1049" customWidth="1"/>
    <col min="1032" max="1032" width="5.7109375" style="1049" customWidth="1"/>
    <col min="1033" max="1033" width="20.7109375" style="1049" customWidth="1"/>
    <col min="1034" max="1280" width="9.140625" style="1049"/>
    <col min="1281" max="1281" width="5.7109375" style="1049" customWidth="1"/>
    <col min="1282" max="1282" width="16.28515625" style="1049" customWidth="1"/>
    <col min="1283" max="1283" width="67" style="1049" customWidth="1"/>
    <col min="1284" max="1284" width="15.140625" style="1049" customWidth="1"/>
    <col min="1285" max="1285" width="15" style="1049" customWidth="1"/>
    <col min="1286" max="1286" width="15.140625" style="1049" customWidth="1"/>
    <col min="1287" max="1287" width="18.28515625" style="1049" customWidth="1"/>
    <col min="1288" max="1288" width="5.7109375" style="1049" customWidth="1"/>
    <col min="1289" max="1289" width="20.7109375" style="1049" customWidth="1"/>
    <col min="1290" max="1536" width="9.140625" style="1049"/>
    <col min="1537" max="1537" width="5.7109375" style="1049" customWidth="1"/>
    <col min="1538" max="1538" width="16.28515625" style="1049" customWidth="1"/>
    <col min="1539" max="1539" width="67" style="1049" customWidth="1"/>
    <col min="1540" max="1540" width="15.140625" style="1049" customWidth="1"/>
    <col min="1541" max="1541" width="15" style="1049" customWidth="1"/>
    <col min="1542" max="1542" width="15.140625" style="1049" customWidth="1"/>
    <col min="1543" max="1543" width="18.28515625" style="1049" customWidth="1"/>
    <col min="1544" max="1544" width="5.7109375" style="1049" customWidth="1"/>
    <col min="1545" max="1545" width="20.7109375" style="1049" customWidth="1"/>
    <col min="1546" max="1792" width="9.140625" style="1049"/>
    <col min="1793" max="1793" width="5.7109375" style="1049" customWidth="1"/>
    <col min="1794" max="1794" width="16.28515625" style="1049" customWidth="1"/>
    <col min="1795" max="1795" width="67" style="1049" customWidth="1"/>
    <col min="1796" max="1796" width="15.140625" style="1049" customWidth="1"/>
    <col min="1797" max="1797" width="15" style="1049" customWidth="1"/>
    <col min="1798" max="1798" width="15.140625" style="1049" customWidth="1"/>
    <col min="1799" max="1799" width="18.28515625" style="1049" customWidth="1"/>
    <col min="1800" max="1800" width="5.7109375" style="1049" customWidth="1"/>
    <col min="1801" max="1801" width="20.7109375" style="1049" customWidth="1"/>
    <col min="1802" max="2048" width="9.140625" style="1049"/>
    <col min="2049" max="2049" width="5.7109375" style="1049" customWidth="1"/>
    <col min="2050" max="2050" width="16.28515625" style="1049" customWidth="1"/>
    <col min="2051" max="2051" width="67" style="1049" customWidth="1"/>
    <col min="2052" max="2052" width="15.140625" style="1049" customWidth="1"/>
    <col min="2053" max="2053" width="15" style="1049" customWidth="1"/>
    <col min="2054" max="2054" width="15.140625" style="1049" customWidth="1"/>
    <col min="2055" max="2055" width="18.28515625" style="1049" customWidth="1"/>
    <col min="2056" max="2056" width="5.7109375" style="1049" customWidth="1"/>
    <col min="2057" max="2057" width="20.7109375" style="1049" customWidth="1"/>
    <col min="2058" max="2304" width="9.140625" style="1049"/>
    <col min="2305" max="2305" width="5.7109375" style="1049" customWidth="1"/>
    <col min="2306" max="2306" width="16.28515625" style="1049" customWidth="1"/>
    <col min="2307" max="2307" width="67" style="1049" customWidth="1"/>
    <col min="2308" max="2308" width="15.140625" style="1049" customWidth="1"/>
    <col min="2309" max="2309" width="15" style="1049" customWidth="1"/>
    <col min="2310" max="2310" width="15.140625" style="1049" customWidth="1"/>
    <col min="2311" max="2311" width="18.28515625" style="1049" customWidth="1"/>
    <col min="2312" max="2312" width="5.7109375" style="1049" customWidth="1"/>
    <col min="2313" max="2313" width="20.7109375" style="1049" customWidth="1"/>
    <col min="2314" max="2560" width="9.140625" style="1049"/>
    <col min="2561" max="2561" width="5.7109375" style="1049" customWidth="1"/>
    <col min="2562" max="2562" width="16.28515625" style="1049" customWidth="1"/>
    <col min="2563" max="2563" width="67" style="1049" customWidth="1"/>
    <col min="2564" max="2564" width="15.140625" style="1049" customWidth="1"/>
    <col min="2565" max="2565" width="15" style="1049" customWidth="1"/>
    <col min="2566" max="2566" width="15.140625" style="1049" customWidth="1"/>
    <col min="2567" max="2567" width="18.28515625" style="1049" customWidth="1"/>
    <col min="2568" max="2568" width="5.7109375" style="1049" customWidth="1"/>
    <col min="2569" max="2569" width="20.7109375" style="1049" customWidth="1"/>
    <col min="2570" max="2816" width="9.140625" style="1049"/>
    <col min="2817" max="2817" width="5.7109375" style="1049" customWidth="1"/>
    <col min="2818" max="2818" width="16.28515625" style="1049" customWidth="1"/>
    <col min="2819" max="2819" width="67" style="1049" customWidth="1"/>
    <col min="2820" max="2820" width="15.140625" style="1049" customWidth="1"/>
    <col min="2821" max="2821" width="15" style="1049" customWidth="1"/>
    <col min="2822" max="2822" width="15.140625" style="1049" customWidth="1"/>
    <col min="2823" max="2823" width="18.28515625" style="1049" customWidth="1"/>
    <col min="2824" max="2824" width="5.7109375" style="1049" customWidth="1"/>
    <col min="2825" max="2825" width="20.7109375" style="1049" customWidth="1"/>
    <col min="2826" max="3072" width="9.140625" style="1049"/>
    <col min="3073" max="3073" width="5.7109375" style="1049" customWidth="1"/>
    <col min="3074" max="3074" width="16.28515625" style="1049" customWidth="1"/>
    <col min="3075" max="3075" width="67" style="1049" customWidth="1"/>
    <col min="3076" max="3076" width="15.140625" style="1049" customWidth="1"/>
    <col min="3077" max="3077" width="15" style="1049" customWidth="1"/>
    <col min="3078" max="3078" width="15.140625" style="1049" customWidth="1"/>
    <col min="3079" max="3079" width="18.28515625" style="1049" customWidth="1"/>
    <col min="3080" max="3080" width="5.7109375" style="1049" customWidth="1"/>
    <col min="3081" max="3081" width="20.7109375" style="1049" customWidth="1"/>
    <col min="3082" max="3328" width="9.140625" style="1049"/>
    <col min="3329" max="3329" width="5.7109375" style="1049" customWidth="1"/>
    <col min="3330" max="3330" width="16.28515625" style="1049" customWidth="1"/>
    <col min="3331" max="3331" width="67" style="1049" customWidth="1"/>
    <col min="3332" max="3332" width="15.140625" style="1049" customWidth="1"/>
    <col min="3333" max="3333" width="15" style="1049" customWidth="1"/>
    <col min="3334" max="3334" width="15.140625" style="1049" customWidth="1"/>
    <col min="3335" max="3335" width="18.28515625" style="1049" customWidth="1"/>
    <col min="3336" max="3336" width="5.7109375" style="1049" customWidth="1"/>
    <col min="3337" max="3337" width="20.7109375" style="1049" customWidth="1"/>
    <col min="3338" max="3584" width="9.140625" style="1049"/>
    <col min="3585" max="3585" width="5.7109375" style="1049" customWidth="1"/>
    <col min="3586" max="3586" width="16.28515625" style="1049" customWidth="1"/>
    <col min="3587" max="3587" width="67" style="1049" customWidth="1"/>
    <col min="3588" max="3588" width="15.140625" style="1049" customWidth="1"/>
    <col min="3589" max="3589" width="15" style="1049" customWidth="1"/>
    <col min="3590" max="3590" width="15.140625" style="1049" customWidth="1"/>
    <col min="3591" max="3591" width="18.28515625" style="1049" customWidth="1"/>
    <col min="3592" max="3592" width="5.7109375" style="1049" customWidth="1"/>
    <col min="3593" max="3593" width="20.7109375" style="1049" customWidth="1"/>
    <col min="3594" max="3840" width="9.140625" style="1049"/>
    <col min="3841" max="3841" width="5.7109375" style="1049" customWidth="1"/>
    <col min="3842" max="3842" width="16.28515625" style="1049" customWidth="1"/>
    <col min="3843" max="3843" width="67" style="1049" customWidth="1"/>
    <col min="3844" max="3844" width="15.140625" style="1049" customWidth="1"/>
    <col min="3845" max="3845" width="15" style="1049" customWidth="1"/>
    <col min="3846" max="3846" width="15.140625" style="1049" customWidth="1"/>
    <col min="3847" max="3847" width="18.28515625" style="1049" customWidth="1"/>
    <col min="3848" max="3848" width="5.7109375" style="1049" customWidth="1"/>
    <col min="3849" max="3849" width="20.7109375" style="1049" customWidth="1"/>
    <col min="3850" max="4096" width="9.140625" style="1049"/>
    <col min="4097" max="4097" width="5.7109375" style="1049" customWidth="1"/>
    <col min="4098" max="4098" width="16.28515625" style="1049" customWidth="1"/>
    <col min="4099" max="4099" width="67" style="1049" customWidth="1"/>
    <col min="4100" max="4100" width="15.140625" style="1049" customWidth="1"/>
    <col min="4101" max="4101" width="15" style="1049" customWidth="1"/>
    <col min="4102" max="4102" width="15.140625" style="1049" customWidth="1"/>
    <col min="4103" max="4103" width="18.28515625" style="1049" customWidth="1"/>
    <col min="4104" max="4104" width="5.7109375" style="1049" customWidth="1"/>
    <col min="4105" max="4105" width="20.7109375" style="1049" customWidth="1"/>
    <col min="4106" max="4352" width="9.140625" style="1049"/>
    <col min="4353" max="4353" width="5.7109375" style="1049" customWidth="1"/>
    <col min="4354" max="4354" width="16.28515625" style="1049" customWidth="1"/>
    <col min="4355" max="4355" width="67" style="1049" customWidth="1"/>
    <col min="4356" max="4356" width="15.140625" style="1049" customWidth="1"/>
    <col min="4357" max="4357" width="15" style="1049" customWidth="1"/>
    <col min="4358" max="4358" width="15.140625" style="1049" customWidth="1"/>
    <col min="4359" max="4359" width="18.28515625" style="1049" customWidth="1"/>
    <col min="4360" max="4360" width="5.7109375" style="1049" customWidth="1"/>
    <col min="4361" max="4361" width="20.7109375" style="1049" customWidth="1"/>
    <col min="4362" max="4608" width="9.140625" style="1049"/>
    <col min="4609" max="4609" width="5.7109375" style="1049" customWidth="1"/>
    <col min="4610" max="4610" width="16.28515625" style="1049" customWidth="1"/>
    <col min="4611" max="4611" width="67" style="1049" customWidth="1"/>
    <col min="4612" max="4612" width="15.140625" style="1049" customWidth="1"/>
    <col min="4613" max="4613" width="15" style="1049" customWidth="1"/>
    <col min="4614" max="4614" width="15.140625" style="1049" customWidth="1"/>
    <col min="4615" max="4615" width="18.28515625" style="1049" customWidth="1"/>
    <col min="4616" max="4616" width="5.7109375" style="1049" customWidth="1"/>
    <col min="4617" max="4617" width="20.7109375" style="1049" customWidth="1"/>
    <col min="4618" max="4864" width="9.140625" style="1049"/>
    <col min="4865" max="4865" width="5.7109375" style="1049" customWidth="1"/>
    <col min="4866" max="4866" width="16.28515625" style="1049" customWidth="1"/>
    <col min="4867" max="4867" width="67" style="1049" customWidth="1"/>
    <col min="4868" max="4868" width="15.140625" style="1049" customWidth="1"/>
    <col min="4869" max="4869" width="15" style="1049" customWidth="1"/>
    <col min="4870" max="4870" width="15.140625" style="1049" customWidth="1"/>
    <col min="4871" max="4871" width="18.28515625" style="1049" customWidth="1"/>
    <col min="4872" max="4872" width="5.7109375" style="1049" customWidth="1"/>
    <col min="4873" max="4873" width="20.7109375" style="1049" customWidth="1"/>
    <col min="4874" max="5120" width="9.140625" style="1049"/>
    <col min="5121" max="5121" width="5.7109375" style="1049" customWidth="1"/>
    <col min="5122" max="5122" width="16.28515625" style="1049" customWidth="1"/>
    <col min="5123" max="5123" width="67" style="1049" customWidth="1"/>
    <col min="5124" max="5124" width="15.140625" style="1049" customWidth="1"/>
    <col min="5125" max="5125" width="15" style="1049" customWidth="1"/>
    <col min="5126" max="5126" width="15.140625" style="1049" customWidth="1"/>
    <col min="5127" max="5127" width="18.28515625" style="1049" customWidth="1"/>
    <col min="5128" max="5128" width="5.7109375" style="1049" customWidth="1"/>
    <col min="5129" max="5129" width="20.7109375" style="1049" customWidth="1"/>
    <col min="5130" max="5376" width="9.140625" style="1049"/>
    <col min="5377" max="5377" width="5.7109375" style="1049" customWidth="1"/>
    <col min="5378" max="5378" width="16.28515625" style="1049" customWidth="1"/>
    <col min="5379" max="5379" width="67" style="1049" customWidth="1"/>
    <col min="5380" max="5380" width="15.140625" style="1049" customWidth="1"/>
    <col min="5381" max="5381" width="15" style="1049" customWidth="1"/>
    <col min="5382" max="5382" width="15.140625" style="1049" customWidth="1"/>
    <col min="5383" max="5383" width="18.28515625" style="1049" customWidth="1"/>
    <col min="5384" max="5384" width="5.7109375" style="1049" customWidth="1"/>
    <col min="5385" max="5385" width="20.7109375" style="1049" customWidth="1"/>
    <col min="5386" max="5632" width="9.140625" style="1049"/>
    <col min="5633" max="5633" width="5.7109375" style="1049" customWidth="1"/>
    <col min="5634" max="5634" width="16.28515625" style="1049" customWidth="1"/>
    <col min="5635" max="5635" width="67" style="1049" customWidth="1"/>
    <col min="5636" max="5636" width="15.140625" style="1049" customWidth="1"/>
    <col min="5637" max="5637" width="15" style="1049" customWidth="1"/>
    <col min="5638" max="5638" width="15.140625" style="1049" customWidth="1"/>
    <col min="5639" max="5639" width="18.28515625" style="1049" customWidth="1"/>
    <col min="5640" max="5640" width="5.7109375" style="1049" customWidth="1"/>
    <col min="5641" max="5641" width="20.7109375" style="1049" customWidth="1"/>
    <col min="5642" max="5888" width="9.140625" style="1049"/>
    <col min="5889" max="5889" width="5.7109375" style="1049" customWidth="1"/>
    <col min="5890" max="5890" width="16.28515625" style="1049" customWidth="1"/>
    <col min="5891" max="5891" width="67" style="1049" customWidth="1"/>
    <col min="5892" max="5892" width="15.140625" style="1049" customWidth="1"/>
    <col min="5893" max="5893" width="15" style="1049" customWidth="1"/>
    <col min="5894" max="5894" width="15.140625" style="1049" customWidth="1"/>
    <col min="5895" max="5895" width="18.28515625" style="1049" customWidth="1"/>
    <col min="5896" max="5896" width="5.7109375" style="1049" customWidth="1"/>
    <col min="5897" max="5897" width="20.7109375" style="1049" customWidth="1"/>
    <col min="5898" max="6144" width="9.140625" style="1049"/>
    <col min="6145" max="6145" width="5.7109375" style="1049" customWidth="1"/>
    <col min="6146" max="6146" width="16.28515625" style="1049" customWidth="1"/>
    <col min="6147" max="6147" width="67" style="1049" customWidth="1"/>
    <col min="6148" max="6148" width="15.140625" style="1049" customWidth="1"/>
    <col min="6149" max="6149" width="15" style="1049" customWidth="1"/>
    <col min="6150" max="6150" width="15.140625" style="1049" customWidth="1"/>
    <col min="6151" max="6151" width="18.28515625" style="1049" customWidth="1"/>
    <col min="6152" max="6152" width="5.7109375" style="1049" customWidth="1"/>
    <col min="6153" max="6153" width="20.7109375" style="1049" customWidth="1"/>
    <col min="6154" max="6400" width="9.140625" style="1049"/>
    <col min="6401" max="6401" width="5.7109375" style="1049" customWidth="1"/>
    <col min="6402" max="6402" width="16.28515625" style="1049" customWidth="1"/>
    <col min="6403" max="6403" width="67" style="1049" customWidth="1"/>
    <col min="6404" max="6404" width="15.140625" style="1049" customWidth="1"/>
    <col min="6405" max="6405" width="15" style="1049" customWidth="1"/>
    <col min="6406" max="6406" width="15.140625" style="1049" customWidth="1"/>
    <col min="6407" max="6407" width="18.28515625" style="1049" customWidth="1"/>
    <col min="6408" max="6408" width="5.7109375" style="1049" customWidth="1"/>
    <col min="6409" max="6409" width="20.7109375" style="1049" customWidth="1"/>
    <col min="6410" max="6656" width="9.140625" style="1049"/>
    <col min="6657" max="6657" width="5.7109375" style="1049" customWidth="1"/>
    <col min="6658" max="6658" width="16.28515625" style="1049" customWidth="1"/>
    <col min="6659" max="6659" width="67" style="1049" customWidth="1"/>
    <col min="6660" max="6660" width="15.140625" style="1049" customWidth="1"/>
    <col min="6661" max="6661" width="15" style="1049" customWidth="1"/>
    <col min="6662" max="6662" width="15.140625" style="1049" customWidth="1"/>
    <col min="6663" max="6663" width="18.28515625" style="1049" customWidth="1"/>
    <col min="6664" max="6664" width="5.7109375" style="1049" customWidth="1"/>
    <col min="6665" max="6665" width="20.7109375" style="1049" customWidth="1"/>
    <col min="6666" max="6912" width="9.140625" style="1049"/>
    <col min="6913" max="6913" width="5.7109375" style="1049" customWidth="1"/>
    <col min="6914" max="6914" width="16.28515625" style="1049" customWidth="1"/>
    <col min="6915" max="6915" width="67" style="1049" customWidth="1"/>
    <col min="6916" max="6916" width="15.140625" style="1049" customWidth="1"/>
    <col min="6917" max="6917" width="15" style="1049" customWidth="1"/>
    <col min="6918" max="6918" width="15.140625" style="1049" customWidth="1"/>
    <col min="6919" max="6919" width="18.28515625" style="1049" customWidth="1"/>
    <col min="6920" max="6920" width="5.7109375" style="1049" customWidth="1"/>
    <col min="6921" max="6921" width="20.7109375" style="1049" customWidth="1"/>
    <col min="6922" max="7168" width="9.140625" style="1049"/>
    <col min="7169" max="7169" width="5.7109375" style="1049" customWidth="1"/>
    <col min="7170" max="7170" width="16.28515625" style="1049" customWidth="1"/>
    <col min="7171" max="7171" width="67" style="1049" customWidth="1"/>
    <col min="7172" max="7172" width="15.140625" style="1049" customWidth="1"/>
    <col min="7173" max="7173" width="15" style="1049" customWidth="1"/>
    <col min="7174" max="7174" width="15.140625" style="1049" customWidth="1"/>
    <col min="7175" max="7175" width="18.28515625" style="1049" customWidth="1"/>
    <col min="7176" max="7176" width="5.7109375" style="1049" customWidth="1"/>
    <col min="7177" max="7177" width="20.7109375" style="1049" customWidth="1"/>
    <col min="7178" max="7424" width="9.140625" style="1049"/>
    <col min="7425" max="7425" width="5.7109375" style="1049" customWidth="1"/>
    <col min="7426" max="7426" width="16.28515625" style="1049" customWidth="1"/>
    <col min="7427" max="7427" width="67" style="1049" customWidth="1"/>
    <col min="7428" max="7428" width="15.140625" style="1049" customWidth="1"/>
    <col min="7429" max="7429" width="15" style="1049" customWidth="1"/>
    <col min="7430" max="7430" width="15.140625" style="1049" customWidth="1"/>
    <col min="7431" max="7431" width="18.28515625" style="1049" customWidth="1"/>
    <col min="7432" max="7432" width="5.7109375" style="1049" customWidth="1"/>
    <col min="7433" max="7433" width="20.7109375" style="1049" customWidth="1"/>
    <col min="7434" max="7680" width="9.140625" style="1049"/>
    <col min="7681" max="7681" width="5.7109375" style="1049" customWidth="1"/>
    <col min="7682" max="7682" width="16.28515625" style="1049" customWidth="1"/>
    <col min="7683" max="7683" width="67" style="1049" customWidth="1"/>
    <col min="7684" max="7684" width="15.140625" style="1049" customWidth="1"/>
    <col min="7685" max="7685" width="15" style="1049" customWidth="1"/>
    <col min="7686" max="7686" width="15.140625" style="1049" customWidth="1"/>
    <col min="7687" max="7687" width="18.28515625" style="1049" customWidth="1"/>
    <col min="7688" max="7688" width="5.7109375" style="1049" customWidth="1"/>
    <col min="7689" max="7689" width="20.7109375" style="1049" customWidth="1"/>
    <col min="7690" max="7936" width="9.140625" style="1049"/>
    <col min="7937" max="7937" width="5.7109375" style="1049" customWidth="1"/>
    <col min="7938" max="7938" width="16.28515625" style="1049" customWidth="1"/>
    <col min="7939" max="7939" width="67" style="1049" customWidth="1"/>
    <col min="7940" max="7940" width="15.140625" style="1049" customWidth="1"/>
    <col min="7941" max="7941" width="15" style="1049" customWidth="1"/>
    <col min="7942" max="7942" width="15.140625" style="1049" customWidth="1"/>
    <col min="7943" max="7943" width="18.28515625" style="1049" customWidth="1"/>
    <col min="7944" max="7944" width="5.7109375" style="1049" customWidth="1"/>
    <col min="7945" max="7945" width="20.7109375" style="1049" customWidth="1"/>
    <col min="7946" max="8192" width="9.140625" style="1049"/>
    <col min="8193" max="8193" width="5.7109375" style="1049" customWidth="1"/>
    <col min="8194" max="8194" width="16.28515625" style="1049" customWidth="1"/>
    <col min="8195" max="8195" width="67" style="1049" customWidth="1"/>
    <col min="8196" max="8196" width="15.140625" style="1049" customWidth="1"/>
    <col min="8197" max="8197" width="15" style="1049" customWidth="1"/>
    <col min="8198" max="8198" width="15.140625" style="1049" customWidth="1"/>
    <col min="8199" max="8199" width="18.28515625" style="1049" customWidth="1"/>
    <col min="8200" max="8200" width="5.7109375" style="1049" customWidth="1"/>
    <col min="8201" max="8201" width="20.7109375" style="1049" customWidth="1"/>
    <col min="8202" max="8448" width="9.140625" style="1049"/>
    <col min="8449" max="8449" width="5.7109375" style="1049" customWidth="1"/>
    <col min="8450" max="8450" width="16.28515625" style="1049" customWidth="1"/>
    <col min="8451" max="8451" width="67" style="1049" customWidth="1"/>
    <col min="8452" max="8452" width="15.140625" style="1049" customWidth="1"/>
    <col min="8453" max="8453" width="15" style="1049" customWidth="1"/>
    <col min="8454" max="8454" width="15.140625" style="1049" customWidth="1"/>
    <col min="8455" max="8455" width="18.28515625" style="1049" customWidth="1"/>
    <col min="8456" max="8456" width="5.7109375" style="1049" customWidth="1"/>
    <col min="8457" max="8457" width="20.7109375" style="1049" customWidth="1"/>
    <col min="8458" max="8704" width="9.140625" style="1049"/>
    <col min="8705" max="8705" width="5.7109375" style="1049" customWidth="1"/>
    <col min="8706" max="8706" width="16.28515625" style="1049" customWidth="1"/>
    <col min="8707" max="8707" width="67" style="1049" customWidth="1"/>
    <col min="8708" max="8708" width="15.140625" style="1049" customWidth="1"/>
    <col min="8709" max="8709" width="15" style="1049" customWidth="1"/>
    <col min="8710" max="8710" width="15.140625" style="1049" customWidth="1"/>
    <col min="8711" max="8711" width="18.28515625" style="1049" customWidth="1"/>
    <col min="8712" max="8712" width="5.7109375" style="1049" customWidth="1"/>
    <col min="8713" max="8713" width="20.7109375" style="1049" customWidth="1"/>
    <col min="8714" max="8960" width="9.140625" style="1049"/>
    <col min="8961" max="8961" width="5.7109375" style="1049" customWidth="1"/>
    <col min="8962" max="8962" width="16.28515625" style="1049" customWidth="1"/>
    <col min="8963" max="8963" width="67" style="1049" customWidth="1"/>
    <col min="8964" max="8964" width="15.140625" style="1049" customWidth="1"/>
    <col min="8965" max="8965" width="15" style="1049" customWidth="1"/>
    <col min="8966" max="8966" width="15.140625" style="1049" customWidth="1"/>
    <col min="8967" max="8967" width="18.28515625" style="1049" customWidth="1"/>
    <col min="8968" max="8968" width="5.7109375" style="1049" customWidth="1"/>
    <col min="8969" max="8969" width="20.7109375" style="1049" customWidth="1"/>
    <col min="8970" max="9216" width="9.140625" style="1049"/>
    <col min="9217" max="9217" width="5.7109375" style="1049" customWidth="1"/>
    <col min="9218" max="9218" width="16.28515625" style="1049" customWidth="1"/>
    <col min="9219" max="9219" width="67" style="1049" customWidth="1"/>
    <col min="9220" max="9220" width="15.140625" style="1049" customWidth="1"/>
    <col min="9221" max="9221" width="15" style="1049" customWidth="1"/>
    <col min="9222" max="9222" width="15.140625" style="1049" customWidth="1"/>
    <col min="9223" max="9223" width="18.28515625" style="1049" customWidth="1"/>
    <col min="9224" max="9224" width="5.7109375" style="1049" customWidth="1"/>
    <col min="9225" max="9225" width="20.7109375" style="1049" customWidth="1"/>
    <col min="9226" max="9472" width="9.140625" style="1049"/>
    <col min="9473" max="9473" width="5.7109375" style="1049" customWidth="1"/>
    <col min="9474" max="9474" width="16.28515625" style="1049" customWidth="1"/>
    <col min="9475" max="9475" width="67" style="1049" customWidth="1"/>
    <col min="9476" max="9476" width="15.140625" style="1049" customWidth="1"/>
    <col min="9477" max="9477" width="15" style="1049" customWidth="1"/>
    <col min="9478" max="9478" width="15.140625" style="1049" customWidth="1"/>
    <col min="9479" max="9479" width="18.28515625" style="1049" customWidth="1"/>
    <col min="9480" max="9480" width="5.7109375" style="1049" customWidth="1"/>
    <col min="9481" max="9481" width="20.7109375" style="1049" customWidth="1"/>
    <col min="9482" max="9728" width="9.140625" style="1049"/>
    <col min="9729" max="9729" width="5.7109375" style="1049" customWidth="1"/>
    <col min="9730" max="9730" width="16.28515625" style="1049" customWidth="1"/>
    <col min="9731" max="9731" width="67" style="1049" customWidth="1"/>
    <col min="9732" max="9732" width="15.140625" style="1049" customWidth="1"/>
    <col min="9733" max="9733" width="15" style="1049" customWidth="1"/>
    <col min="9734" max="9734" width="15.140625" style="1049" customWidth="1"/>
    <col min="9735" max="9735" width="18.28515625" style="1049" customWidth="1"/>
    <col min="9736" max="9736" width="5.7109375" style="1049" customWidth="1"/>
    <col min="9737" max="9737" width="20.7109375" style="1049" customWidth="1"/>
    <col min="9738" max="9984" width="9.140625" style="1049"/>
    <col min="9985" max="9985" width="5.7109375" style="1049" customWidth="1"/>
    <col min="9986" max="9986" width="16.28515625" style="1049" customWidth="1"/>
    <col min="9987" max="9987" width="67" style="1049" customWidth="1"/>
    <col min="9988" max="9988" width="15.140625" style="1049" customWidth="1"/>
    <col min="9989" max="9989" width="15" style="1049" customWidth="1"/>
    <col min="9990" max="9990" width="15.140625" style="1049" customWidth="1"/>
    <col min="9991" max="9991" width="18.28515625" style="1049" customWidth="1"/>
    <col min="9992" max="9992" width="5.7109375" style="1049" customWidth="1"/>
    <col min="9993" max="9993" width="20.7109375" style="1049" customWidth="1"/>
    <col min="9994" max="10240" width="9.140625" style="1049"/>
    <col min="10241" max="10241" width="5.7109375" style="1049" customWidth="1"/>
    <col min="10242" max="10242" width="16.28515625" style="1049" customWidth="1"/>
    <col min="10243" max="10243" width="67" style="1049" customWidth="1"/>
    <col min="10244" max="10244" width="15.140625" style="1049" customWidth="1"/>
    <col min="10245" max="10245" width="15" style="1049" customWidth="1"/>
    <col min="10246" max="10246" width="15.140625" style="1049" customWidth="1"/>
    <col min="10247" max="10247" width="18.28515625" style="1049" customWidth="1"/>
    <col min="10248" max="10248" width="5.7109375" style="1049" customWidth="1"/>
    <col min="10249" max="10249" width="20.7109375" style="1049" customWidth="1"/>
    <col min="10250" max="10496" width="9.140625" style="1049"/>
    <col min="10497" max="10497" width="5.7109375" style="1049" customWidth="1"/>
    <col min="10498" max="10498" width="16.28515625" style="1049" customWidth="1"/>
    <col min="10499" max="10499" width="67" style="1049" customWidth="1"/>
    <col min="10500" max="10500" width="15.140625" style="1049" customWidth="1"/>
    <col min="10501" max="10501" width="15" style="1049" customWidth="1"/>
    <col min="10502" max="10502" width="15.140625" style="1049" customWidth="1"/>
    <col min="10503" max="10503" width="18.28515625" style="1049" customWidth="1"/>
    <col min="10504" max="10504" width="5.7109375" style="1049" customWidth="1"/>
    <col min="10505" max="10505" width="20.7109375" style="1049" customWidth="1"/>
    <col min="10506" max="10752" width="9.140625" style="1049"/>
    <col min="10753" max="10753" width="5.7109375" style="1049" customWidth="1"/>
    <col min="10754" max="10754" width="16.28515625" style="1049" customWidth="1"/>
    <col min="10755" max="10755" width="67" style="1049" customWidth="1"/>
    <col min="10756" max="10756" width="15.140625" style="1049" customWidth="1"/>
    <col min="10757" max="10757" width="15" style="1049" customWidth="1"/>
    <col min="10758" max="10758" width="15.140625" style="1049" customWidth="1"/>
    <col min="10759" max="10759" width="18.28515625" style="1049" customWidth="1"/>
    <col min="10760" max="10760" width="5.7109375" style="1049" customWidth="1"/>
    <col min="10761" max="10761" width="20.7109375" style="1049" customWidth="1"/>
    <col min="10762" max="11008" width="9.140625" style="1049"/>
    <col min="11009" max="11009" width="5.7109375" style="1049" customWidth="1"/>
    <col min="11010" max="11010" width="16.28515625" style="1049" customWidth="1"/>
    <col min="11011" max="11011" width="67" style="1049" customWidth="1"/>
    <col min="11012" max="11012" width="15.140625" style="1049" customWidth="1"/>
    <col min="11013" max="11013" width="15" style="1049" customWidth="1"/>
    <col min="11014" max="11014" width="15.140625" style="1049" customWidth="1"/>
    <col min="11015" max="11015" width="18.28515625" style="1049" customWidth="1"/>
    <col min="11016" max="11016" width="5.7109375" style="1049" customWidth="1"/>
    <col min="11017" max="11017" width="20.7109375" style="1049" customWidth="1"/>
    <col min="11018" max="11264" width="9.140625" style="1049"/>
    <col min="11265" max="11265" width="5.7109375" style="1049" customWidth="1"/>
    <col min="11266" max="11266" width="16.28515625" style="1049" customWidth="1"/>
    <col min="11267" max="11267" width="67" style="1049" customWidth="1"/>
    <col min="11268" max="11268" width="15.140625" style="1049" customWidth="1"/>
    <col min="11269" max="11269" width="15" style="1049" customWidth="1"/>
    <col min="11270" max="11270" width="15.140625" style="1049" customWidth="1"/>
    <col min="11271" max="11271" width="18.28515625" style="1049" customWidth="1"/>
    <col min="11272" max="11272" width="5.7109375" style="1049" customWidth="1"/>
    <col min="11273" max="11273" width="20.7109375" style="1049" customWidth="1"/>
    <col min="11274" max="11520" width="9.140625" style="1049"/>
    <col min="11521" max="11521" width="5.7109375" style="1049" customWidth="1"/>
    <col min="11522" max="11522" width="16.28515625" style="1049" customWidth="1"/>
    <col min="11523" max="11523" width="67" style="1049" customWidth="1"/>
    <col min="11524" max="11524" width="15.140625" style="1049" customWidth="1"/>
    <col min="11525" max="11525" width="15" style="1049" customWidth="1"/>
    <col min="11526" max="11526" width="15.140625" style="1049" customWidth="1"/>
    <col min="11527" max="11527" width="18.28515625" style="1049" customWidth="1"/>
    <col min="11528" max="11528" width="5.7109375" style="1049" customWidth="1"/>
    <col min="11529" max="11529" width="20.7109375" style="1049" customWidth="1"/>
    <col min="11530" max="11776" width="9.140625" style="1049"/>
    <col min="11777" max="11777" width="5.7109375" style="1049" customWidth="1"/>
    <col min="11778" max="11778" width="16.28515625" style="1049" customWidth="1"/>
    <col min="11779" max="11779" width="67" style="1049" customWidth="1"/>
    <col min="11780" max="11780" width="15.140625" style="1049" customWidth="1"/>
    <col min="11781" max="11781" width="15" style="1049" customWidth="1"/>
    <col min="11782" max="11782" width="15.140625" style="1049" customWidth="1"/>
    <col min="11783" max="11783" width="18.28515625" style="1049" customWidth="1"/>
    <col min="11784" max="11784" width="5.7109375" style="1049" customWidth="1"/>
    <col min="11785" max="11785" width="20.7109375" style="1049" customWidth="1"/>
    <col min="11786" max="12032" width="9.140625" style="1049"/>
    <col min="12033" max="12033" width="5.7109375" style="1049" customWidth="1"/>
    <col min="12034" max="12034" width="16.28515625" style="1049" customWidth="1"/>
    <col min="12035" max="12035" width="67" style="1049" customWidth="1"/>
    <col min="12036" max="12036" width="15.140625" style="1049" customWidth="1"/>
    <col min="12037" max="12037" width="15" style="1049" customWidth="1"/>
    <col min="12038" max="12038" width="15.140625" style="1049" customWidth="1"/>
    <col min="12039" max="12039" width="18.28515625" style="1049" customWidth="1"/>
    <col min="12040" max="12040" width="5.7109375" style="1049" customWidth="1"/>
    <col min="12041" max="12041" width="20.7109375" style="1049" customWidth="1"/>
    <col min="12042" max="12288" width="9.140625" style="1049"/>
    <col min="12289" max="12289" width="5.7109375" style="1049" customWidth="1"/>
    <col min="12290" max="12290" width="16.28515625" style="1049" customWidth="1"/>
    <col min="12291" max="12291" width="67" style="1049" customWidth="1"/>
    <col min="12292" max="12292" width="15.140625" style="1049" customWidth="1"/>
    <col min="12293" max="12293" width="15" style="1049" customWidth="1"/>
    <col min="12294" max="12294" width="15.140625" style="1049" customWidth="1"/>
    <col min="12295" max="12295" width="18.28515625" style="1049" customWidth="1"/>
    <col min="12296" max="12296" width="5.7109375" style="1049" customWidth="1"/>
    <col min="12297" max="12297" width="20.7109375" style="1049" customWidth="1"/>
    <col min="12298" max="12544" width="9.140625" style="1049"/>
    <col min="12545" max="12545" width="5.7109375" style="1049" customWidth="1"/>
    <col min="12546" max="12546" width="16.28515625" style="1049" customWidth="1"/>
    <col min="12547" max="12547" width="67" style="1049" customWidth="1"/>
    <col min="12548" max="12548" width="15.140625" style="1049" customWidth="1"/>
    <col min="12549" max="12549" width="15" style="1049" customWidth="1"/>
    <col min="12550" max="12550" width="15.140625" style="1049" customWidth="1"/>
    <col min="12551" max="12551" width="18.28515625" style="1049" customWidth="1"/>
    <col min="12552" max="12552" width="5.7109375" style="1049" customWidth="1"/>
    <col min="12553" max="12553" width="20.7109375" style="1049" customWidth="1"/>
    <col min="12554" max="12800" width="9.140625" style="1049"/>
    <col min="12801" max="12801" width="5.7109375" style="1049" customWidth="1"/>
    <col min="12802" max="12802" width="16.28515625" style="1049" customWidth="1"/>
    <col min="12803" max="12803" width="67" style="1049" customWidth="1"/>
    <col min="12804" max="12804" width="15.140625" style="1049" customWidth="1"/>
    <col min="12805" max="12805" width="15" style="1049" customWidth="1"/>
    <col min="12806" max="12806" width="15.140625" style="1049" customWidth="1"/>
    <col min="12807" max="12807" width="18.28515625" style="1049" customWidth="1"/>
    <col min="12808" max="12808" width="5.7109375" style="1049" customWidth="1"/>
    <col min="12809" max="12809" width="20.7109375" style="1049" customWidth="1"/>
    <col min="12810" max="13056" width="9.140625" style="1049"/>
    <col min="13057" max="13057" width="5.7109375" style="1049" customWidth="1"/>
    <col min="13058" max="13058" width="16.28515625" style="1049" customWidth="1"/>
    <col min="13059" max="13059" width="67" style="1049" customWidth="1"/>
    <col min="13060" max="13060" width="15.140625" style="1049" customWidth="1"/>
    <col min="13061" max="13061" width="15" style="1049" customWidth="1"/>
    <col min="13062" max="13062" width="15.140625" style="1049" customWidth="1"/>
    <col min="13063" max="13063" width="18.28515625" style="1049" customWidth="1"/>
    <col min="13064" max="13064" width="5.7109375" style="1049" customWidth="1"/>
    <col min="13065" max="13065" width="20.7109375" style="1049" customWidth="1"/>
    <col min="13066" max="13312" width="9.140625" style="1049"/>
    <col min="13313" max="13313" width="5.7109375" style="1049" customWidth="1"/>
    <col min="13314" max="13314" width="16.28515625" style="1049" customWidth="1"/>
    <col min="13315" max="13315" width="67" style="1049" customWidth="1"/>
    <col min="13316" max="13316" width="15.140625" style="1049" customWidth="1"/>
    <col min="13317" max="13317" width="15" style="1049" customWidth="1"/>
    <col min="13318" max="13318" width="15.140625" style="1049" customWidth="1"/>
    <col min="13319" max="13319" width="18.28515625" style="1049" customWidth="1"/>
    <col min="13320" max="13320" width="5.7109375" style="1049" customWidth="1"/>
    <col min="13321" max="13321" width="20.7109375" style="1049" customWidth="1"/>
    <col min="13322" max="13568" width="9.140625" style="1049"/>
    <col min="13569" max="13569" width="5.7109375" style="1049" customWidth="1"/>
    <col min="13570" max="13570" width="16.28515625" style="1049" customWidth="1"/>
    <col min="13571" max="13571" width="67" style="1049" customWidth="1"/>
    <col min="13572" max="13572" width="15.140625" style="1049" customWidth="1"/>
    <col min="13573" max="13573" width="15" style="1049" customWidth="1"/>
    <col min="13574" max="13574" width="15.140625" style="1049" customWidth="1"/>
    <col min="13575" max="13575" width="18.28515625" style="1049" customWidth="1"/>
    <col min="13576" max="13576" width="5.7109375" style="1049" customWidth="1"/>
    <col min="13577" max="13577" width="20.7109375" style="1049" customWidth="1"/>
    <col min="13578" max="13824" width="9.140625" style="1049"/>
    <col min="13825" max="13825" width="5.7109375" style="1049" customWidth="1"/>
    <col min="13826" max="13826" width="16.28515625" style="1049" customWidth="1"/>
    <col min="13827" max="13827" width="67" style="1049" customWidth="1"/>
    <col min="13828" max="13828" width="15.140625" style="1049" customWidth="1"/>
    <col min="13829" max="13829" width="15" style="1049" customWidth="1"/>
    <col min="13830" max="13830" width="15.140625" style="1049" customWidth="1"/>
    <col min="13831" max="13831" width="18.28515625" style="1049" customWidth="1"/>
    <col min="13832" max="13832" width="5.7109375" style="1049" customWidth="1"/>
    <col min="13833" max="13833" width="20.7109375" style="1049" customWidth="1"/>
    <col min="13834" max="14080" width="9.140625" style="1049"/>
    <col min="14081" max="14081" width="5.7109375" style="1049" customWidth="1"/>
    <col min="14082" max="14082" width="16.28515625" style="1049" customWidth="1"/>
    <col min="14083" max="14083" width="67" style="1049" customWidth="1"/>
    <col min="14084" max="14084" width="15.140625" style="1049" customWidth="1"/>
    <col min="14085" max="14085" width="15" style="1049" customWidth="1"/>
    <col min="14086" max="14086" width="15.140625" style="1049" customWidth="1"/>
    <col min="14087" max="14087" width="18.28515625" style="1049" customWidth="1"/>
    <col min="14088" max="14088" width="5.7109375" style="1049" customWidth="1"/>
    <col min="14089" max="14089" width="20.7109375" style="1049" customWidth="1"/>
    <col min="14090" max="14336" width="9.140625" style="1049"/>
    <col min="14337" max="14337" width="5.7109375" style="1049" customWidth="1"/>
    <col min="14338" max="14338" width="16.28515625" style="1049" customWidth="1"/>
    <col min="14339" max="14339" width="67" style="1049" customWidth="1"/>
    <col min="14340" max="14340" width="15.140625" style="1049" customWidth="1"/>
    <col min="14341" max="14341" width="15" style="1049" customWidth="1"/>
    <col min="14342" max="14342" width="15.140625" style="1049" customWidth="1"/>
    <col min="14343" max="14343" width="18.28515625" style="1049" customWidth="1"/>
    <col min="14344" max="14344" width="5.7109375" style="1049" customWidth="1"/>
    <col min="14345" max="14345" width="20.7109375" style="1049" customWidth="1"/>
    <col min="14346" max="14592" width="9.140625" style="1049"/>
    <col min="14593" max="14593" width="5.7109375" style="1049" customWidth="1"/>
    <col min="14594" max="14594" width="16.28515625" style="1049" customWidth="1"/>
    <col min="14595" max="14595" width="67" style="1049" customWidth="1"/>
    <col min="14596" max="14596" width="15.140625" style="1049" customWidth="1"/>
    <col min="14597" max="14597" width="15" style="1049" customWidth="1"/>
    <col min="14598" max="14598" width="15.140625" style="1049" customWidth="1"/>
    <col min="14599" max="14599" width="18.28515625" style="1049" customWidth="1"/>
    <col min="14600" max="14600" width="5.7109375" style="1049" customWidth="1"/>
    <col min="14601" max="14601" width="20.7109375" style="1049" customWidth="1"/>
    <col min="14602" max="14848" width="9.140625" style="1049"/>
    <col min="14849" max="14849" width="5.7109375" style="1049" customWidth="1"/>
    <col min="14850" max="14850" width="16.28515625" style="1049" customWidth="1"/>
    <col min="14851" max="14851" width="67" style="1049" customWidth="1"/>
    <col min="14852" max="14852" width="15.140625" style="1049" customWidth="1"/>
    <col min="14853" max="14853" width="15" style="1049" customWidth="1"/>
    <col min="14854" max="14854" width="15.140625" style="1049" customWidth="1"/>
    <col min="14855" max="14855" width="18.28515625" style="1049" customWidth="1"/>
    <col min="14856" max="14856" width="5.7109375" style="1049" customWidth="1"/>
    <col min="14857" max="14857" width="20.7109375" style="1049" customWidth="1"/>
    <col min="14858" max="15104" width="9.140625" style="1049"/>
    <col min="15105" max="15105" width="5.7109375" style="1049" customWidth="1"/>
    <col min="15106" max="15106" width="16.28515625" style="1049" customWidth="1"/>
    <col min="15107" max="15107" width="67" style="1049" customWidth="1"/>
    <col min="15108" max="15108" width="15.140625" style="1049" customWidth="1"/>
    <col min="15109" max="15109" width="15" style="1049" customWidth="1"/>
    <col min="15110" max="15110" width="15.140625" style="1049" customWidth="1"/>
    <col min="15111" max="15111" width="18.28515625" style="1049" customWidth="1"/>
    <col min="15112" max="15112" width="5.7109375" style="1049" customWidth="1"/>
    <col min="15113" max="15113" width="20.7109375" style="1049" customWidth="1"/>
    <col min="15114" max="15360" width="9.140625" style="1049"/>
    <col min="15361" max="15361" width="5.7109375" style="1049" customWidth="1"/>
    <col min="15362" max="15362" width="16.28515625" style="1049" customWidth="1"/>
    <col min="15363" max="15363" width="67" style="1049" customWidth="1"/>
    <col min="15364" max="15364" width="15.140625" style="1049" customWidth="1"/>
    <col min="15365" max="15365" width="15" style="1049" customWidth="1"/>
    <col min="15366" max="15366" width="15.140625" style="1049" customWidth="1"/>
    <col min="15367" max="15367" width="18.28515625" style="1049" customWidth="1"/>
    <col min="15368" max="15368" width="5.7109375" style="1049" customWidth="1"/>
    <col min="15369" max="15369" width="20.7109375" style="1049" customWidth="1"/>
    <col min="15370" max="15616" width="9.140625" style="1049"/>
    <col min="15617" max="15617" width="5.7109375" style="1049" customWidth="1"/>
    <col min="15618" max="15618" width="16.28515625" style="1049" customWidth="1"/>
    <col min="15619" max="15619" width="67" style="1049" customWidth="1"/>
    <col min="15620" max="15620" width="15.140625" style="1049" customWidth="1"/>
    <col min="15621" max="15621" width="15" style="1049" customWidth="1"/>
    <col min="15622" max="15622" width="15.140625" style="1049" customWidth="1"/>
    <col min="15623" max="15623" width="18.28515625" style="1049" customWidth="1"/>
    <col min="15624" max="15624" width="5.7109375" style="1049" customWidth="1"/>
    <col min="15625" max="15625" width="20.7109375" style="1049" customWidth="1"/>
    <col min="15626" max="15872" width="9.140625" style="1049"/>
    <col min="15873" max="15873" width="5.7109375" style="1049" customWidth="1"/>
    <col min="15874" max="15874" width="16.28515625" style="1049" customWidth="1"/>
    <col min="15875" max="15875" width="67" style="1049" customWidth="1"/>
    <col min="15876" max="15876" width="15.140625" style="1049" customWidth="1"/>
    <col min="15877" max="15877" width="15" style="1049" customWidth="1"/>
    <col min="15878" max="15878" width="15.140625" style="1049" customWidth="1"/>
    <col min="15879" max="15879" width="18.28515625" style="1049" customWidth="1"/>
    <col min="15880" max="15880" width="5.7109375" style="1049" customWidth="1"/>
    <col min="15881" max="15881" width="20.7109375" style="1049" customWidth="1"/>
    <col min="15882" max="16128" width="9.140625" style="1049"/>
    <col min="16129" max="16129" width="5.7109375" style="1049" customWidth="1"/>
    <col min="16130" max="16130" width="16.28515625" style="1049" customWidth="1"/>
    <col min="16131" max="16131" width="67" style="1049" customWidth="1"/>
    <col min="16132" max="16132" width="15.140625" style="1049" customWidth="1"/>
    <col min="16133" max="16133" width="15" style="1049" customWidth="1"/>
    <col min="16134" max="16134" width="15.140625" style="1049" customWidth="1"/>
    <col min="16135" max="16135" width="18.28515625" style="1049" customWidth="1"/>
    <col min="16136" max="16136" width="5.7109375" style="1049" customWidth="1"/>
    <col min="16137" max="16137" width="20.7109375" style="1049" customWidth="1"/>
    <col min="16138" max="16384" width="9.140625" style="1049"/>
  </cols>
  <sheetData>
    <row r="1" spans="1:10" s="1027" customFormat="1">
      <c r="B1" s="1028"/>
      <c r="C1" s="1029"/>
      <c r="G1" s="1028" t="s">
        <v>1622</v>
      </c>
    </row>
    <row r="2" spans="1:10" ht="20.25">
      <c r="A2" s="1046"/>
      <c r="B2" s="1047" t="s">
        <v>1621</v>
      </c>
      <c r="C2" s="1046"/>
      <c r="D2" s="1046"/>
      <c r="E2" s="1046"/>
      <c r="F2" s="1046"/>
      <c r="G2" s="1048"/>
    </row>
    <row r="3" spans="1:10" ht="27.75" customHeight="1">
      <c r="A3" s="1046"/>
      <c r="B3" s="1050" t="s">
        <v>1537</v>
      </c>
      <c r="C3" s="1046"/>
      <c r="D3" s="1046"/>
      <c r="E3" s="1046"/>
      <c r="F3" s="1046"/>
      <c r="G3" s="1051"/>
    </row>
    <row r="4" spans="1:10" ht="12.75" customHeight="1">
      <c r="C4" s="1052"/>
    </row>
    <row r="5" spans="1:10" ht="39.75" customHeight="1">
      <c r="B5" s="1251" t="s">
        <v>1538</v>
      </c>
      <c r="C5" s="1252"/>
      <c r="D5" s="1252"/>
      <c r="E5" s="1252"/>
      <c r="F5" s="1252"/>
      <c r="G5" s="1252"/>
    </row>
    <row r="7" spans="1:10" s="1052" customFormat="1" ht="15.75">
      <c r="B7" s="1253" t="s">
        <v>1539</v>
      </c>
      <c r="C7" s="1255" t="s">
        <v>1540</v>
      </c>
      <c r="D7" s="1257" t="s">
        <v>1541</v>
      </c>
      <c r="E7" s="1258"/>
      <c r="F7" s="1258"/>
      <c r="G7" s="1259"/>
    </row>
    <row r="8" spans="1:10" s="1052" customFormat="1" ht="39" thickBot="1">
      <c r="B8" s="1254"/>
      <c r="C8" s="1256"/>
      <c r="D8" s="1053" t="s">
        <v>1542</v>
      </c>
      <c r="E8" s="1054" t="s">
        <v>1543</v>
      </c>
      <c r="F8" s="1055" t="s">
        <v>1544</v>
      </c>
      <c r="G8" s="1054" t="s">
        <v>1545</v>
      </c>
      <c r="I8" s="1056" t="s">
        <v>1546</v>
      </c>
      <c r="J8" s="1057"/>
    </row>
    <row r="9" spans="1:10" ht="38.85" customHeight="1">
      <c r="B9" s="1058" t="s">
        <v>1547</v>
      </c>
      <c r="C9" s="1059" t="s">
        <v>1548</v>
      </c>
      <c r="D9" s="1060">
        <f>100%</f>
        <v>1</v>
      </c>
      <c r="E9" s="1061">
        <v>1</v>
      </c>
      <c r="F9" s="1062" t="s">
        <v>1549</v>
      </c>
      <c r="G9" s="1063">
        <f>D9</f>
        <v>1</v>
      </c>
      <c r="I9" s="1064" t="str">
        <f>IF(D9=E9,IF(D10=E10,"Y","N"),"N")</f>
        <v>Y</v>
      </c>
    </row>
    <row r="10" spans="1:10" ht="38.85" customHeight="1">
      <c r="B10" s="1065" t="s">
        <v>1547</v>
      </c>
      <c r="C10" s="1066" t="s">
        <v>1550</v>
      </c>
      <c r="D10" s="1067">
        <f>100%</f>
        <v>1</v>
      </c>
      <c r="E10" s="1068">
        <v>1</v>
      </c>
      <c r="F10" s="1069" t="s">
        <v>1549</v>
      </c>
      <c r="G10" s="1070">
        <f>D10</f>
        <v>1</v>
      </c>
    </row>
    <row r="11" spans="1:10" ht="14.25" customHeight="1">
      <c r="B11" s="1071"/>
      <c r="C11" s="1071"/>
      <c r="D11" s="1071"/>
      <c r="E11" s="1071"/>
      <c r="F11" s="1071"/>
      <c r="G11" s="1071"/>
    </row>
    <row r="12" spans="1:10" ht="35.25" customHeight="1">
      <c r="B12" s="1072" t="s">
        <v>1551</v>
      </c>
      <c r="C12" s="1073" t="s">
        <v>1604</v>
      </c>
      <c r="D12" s="1074">
        <v>1330755</v>
      </c>
      <c r="E12" s="1075">
        <v>1330755</v>
      </c>
      <c r="F12" s="1076" t="s">
        <v>1605</v>
      </c>
      <c r="G12" s="1077">
        <f>IF($I$9="Y",D12,E12)</f>
        <v>1330755</v>
      </c>
      <c r="H12" s="1247"/>
      <c r="I12" s="1056" t="s">
        <v>1552</v>
      </c>
    </row>
    <row r="13" spans="1:10" ht="42" customHeight="1">
      <c r="B13" s="1078" t="s">
        <v>1551</v>
      </c>
      <c r="C13" s="1073" t="s">
        <v>708</v>
      </c>
      <c r="D13" s="1079">
        <f>25%</f>
        <v>0.25</v>
      </c>
      <c r="E13" s="1080">
        <v>0.25</v>
      </c>
      <c r="F13" s="1081" t="s">
        <v>1553</v>
      </c>
      <c r="G13" s="1082">
        <f>IF($I$9="Y",IF(D13&lt;0,0%,IF(D13&gt;100%,100%,D13)),E13)</f>
        <v>0.25</v>
      </c>
      <c r="H13" s="1247"/>
      <c r="I13" s="1064" t="str">
        <f>IF(D12=E12,IF(D13=E13,"Y","N"),"N")</f>
        <v>Y</v>
      </c>
    </row>
    <row r="14" spans="1:10" ht="18" customHeight="1">
      <c r="B14" s="1083"/>
      <c r="C14" s="1084" t="s">
        <v>1554</v>
      </c>
      <c r="D14" s="1085"/>
      <c r="E14" s="1086"/>
      <c r="F14" s="1087"/>
      <c r="G14" s="1087"/>
      <c r="H14" s="1248"/>
    </row>
    <row r="15" spans="1:10" ht="24" customHeight="1">
      <c r="B15" s="1249">
        <f>IF(I9="N",IF(I13="N","Reminder: Please reset all summary parameters to original values before changing specific parameters.  Specific parameters will only be used in ERR computation when all summary parameters are set to initial values",0),0)</f>
        <v>0</v>
      </c>
      <c r="C15" s="1249"/>
      <c r="D15" s="1249"/>
      <c r="E15" s="1249"/>
      <c r="F15" s="1249"/>
      <c r="G15" s="1249"/>
      <c r="H15" s="1248"/>
      <c r="I15" s="1088" t="s">
        <v>1555</v>
      </c>
    </row>
    <row r="16" spans="1:10" ht="17.25" customHeight="1">
      <c r="B16" s="1089"/>
      <c r="C16" s="1089"/>
      <c r="D16" s="1089"/>
      <c r="E16" s="1089"/>
      <c r="F16" s="1089"/>
      <c r="G16" s="1089"/>
      <c r="H16" s="1248"/>
      <c r="I16" s="1090" t="s">
        <v>1556</v>
      </c>
    </row>
    <row r="17" spans="3:9" ht="16.5" customHeight="1">
      <c r="C17" s="1091" t="s">
        <v>1557</v>
      </c>
      <c r="D17" s="1190">
        <f>'Combined Cost-Benefit'!I2</f>
        <v>0.17044473059346976</v>
      </c>
      <c r="E17" s="1092"/>
      <c r="H17" s="1248"/>
      <c r="I17" s="1093" t="s">
        <v>1558</v>
      </c>
    </row>
    <row r="18" spans="3:9">
      <c r="C18" s="1091"/>
      <c r="D18" s="1092"/>
      <c r="E18" s="1092"/>
    </row>
    <row r="19" spans="3:9" ht="31.5" customHeight="1">
      <c r="C19" s="1091"/>
      <c r="D19" s="1094"/>
      <c r="E19" s="1092"/>
    </row>
    <row r="20" spans="3:9" ht="12" customHeight="1">
      <c r="C20" s="1091" t="s">
        <v>1559</v>
      </c>
      <c r="D20" s="1095"/>
      <c r="E20" s="1096" t="s">
        <v>1560</v>
      </c>
    </row>
    <row r="21" spans="3:9">
      <c r="C21" s="1091"/>
      <c r="D21" s="1097" t="s">
        <v>1561</v>
      </c>
      <c r="E21" s="1098">
        <v>0.17</v>
      </c>
    </row>
    <row r="22" spans="3:9">
      <c r="D22" s="1097" t="s">
        <v>1562</v>
      </c>
      <c r="E22" s="1099">
        <v>41284</v>
      </c>
    </row>
    <row r="24" spans="3:9">
      <c r="C24" s="1100" t="s">
        <v>1563</v>
      </c>
      <c r="D24" s="1101">
        <f>'Combined Cost-Benefit'!D7*1000000</f>
        <v>346723948.14946187</v>
      </c>
    </row>
    <row r="25" spans="3:9">
      <c r="C25" s="1100"/>
      <c r="D25" s="1102"/>
    </row>
    <row r="26" spans="3:9">
      <c r="C26" s="1100" t="s">
        <v>1564</v>
      </c>
      <c r="D26" s="1101">
        <f>'Combined Cost-Benefit'!D9*1000000</f>
        <v>230795534.5798071</v>
      </c>
    </row>
    <row r="27" spans="3:9">
      <c r="C27" s="1103"/>
      <c r="D27" s="1103"/>
    </row>
    <row r="28" spans="3:9">
      <c r="C28" s="1104"/>
    </row>
    <row r="75" spans="3:6">
      <c r="C75" s="1250"/>
      <c r="D75" s="1250"/>
      <c r="E75" s="1250"/>
      <c r="F75" s="1250"/>
    </row>
    <row r="76" spans="3:6">
      <c r="C76" s="1250"/>
      <c r="D76" s="1250"/>
      <c r="E76" s="1250"/>
      <c r="F76" s="1250"/>
    </row>
    <row r="77" spans="3:6">
      <c r="C77" s="1104"/>
      <c r="D77" s="1104"/>
      <c r="E77" s="1104"/>
      <c r="F77" s="1104"/>
    </row>
    <row r="79" spans="3:6" ht="22.5" customHeight="1"/>
    <row r="80" spans="3:6" ht="42" customHeight="1"/>
  </sheetData>
  <mergeCells count="8">
    <mergeCell ref="H12:H17"/>
    <mergeCell ref="B15:G15"/>
    <mergeCell ref="C75:F75"/>
    <mergeCell ref="C76:F76"/>
    <mergeCell ref="B5:G5"/>
    <mergeCell ref="B7:B8"/>
    <mergeCell ref="C7:C8"/>
    <mergeCell ref="D7:G7"/>
  </mergeCells>
  <conditionalFormatting sqref="B15:B16 B11">
    <cfRule type="cellIs" dxfId="7" priority="1" stopIfTrue="1" operator="equal">
      <formula>0</formula>
    </cfRule>
    <cfRule type="cellIs" dxfId="6" priority="2" stopIfTrue="1" operator="notEqual">
      <formula>0</formula>
    </cfRule>
  </conditionalFormatting>
  <hyperlinks>
    <hyperlink ref="I16" location="'Project Description'!A1" display="Project Description"/>
    <hyperlink ref="I17" location="'User''s Guide'!A1" display="User's Guide"/>
  </hyperlinks>
  <pageMargins left="1.57" right="0.75" top="0.49" bottom="0.49" header="0.5" footer="0.5"/>
  <pageSetup scale="4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6801" r:id="rId4" name="Button 1">
              <controlPr defaultSize="0" print="0" autoFill="0" autoPict="0" macro="[0]!ResetParam">
                <anchor moveWithCells="1" sizeWithCells="1">
                  <from>
                    <xdr:col>8</xdr:col>
                    <xdr:colOff>0</xdr:colOff>
                    <xdr:row>4</xdr:row>
                    <xdr:rowOff>0</xdr:rowOff>
                  </from>
                  <to>
                    <xdr:col>8</xdr:col>
                    <xdr:colOff>1371600</xdr:colOff>
                    <xdr:row>5</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173"/>
  <sheetViews>
    <sheetView zoomScale="90" zoomScaleNormal="90" workbookViewId="0"/>
  </sheetViews>
  <sheetFormatPr defaultRowHeight="15" outlineLevelRow="1"/>
  <cols>
    <col min="1" max="1" width="2.7109375" style="914" bestFit="1" customWidth="1"/>
    <col min="2" max="2" width="37.7109375" style="914" bestFit="1" customWidth="1"/>
    <col min="3" max="3" width="11.140625" style="914" customWidth="1"/>
    <col min="4" max="4" width="13.5703125" style="914" customWidth="1"/>
    <col min="5" max="5" width="9.140625" style="914" customWidth="1"/>
    <col min="6" max="8" width="9" style="914" customWidth="1"/>
    <col min="9" max="9" width="9.7109375" style="914" customWidth="1"/>
    <col min="10" max="15" width="9" style="914" customWidth="1"/>
    <col min="16" max="16384" width="9.140625" style="914"/>
  </cols>
  <sheetData>
    <row r="1" spans="1:27" ht="13.5" customHeight="1" thickBot="1">
      <c r="C1" s="914" t="s">
        <v>739</v>
      </c>
      <c r="D1" s="539"/>
      <c r="E1" s="539"/>
      <c r="M1" s="1028" t="s">
        <v>1622</v>
      </c>
    </row>
    <row r="2" spans="1:27" ht="21.75" thickBot="1">
      <c r="B2" s="539" t="s">
        <v>1625</v>
      </c>
      <c r="C2" s="539"/>
      <c r="D2" s="539"/>
      <c r="E2" s="539"/>
      <c r="H2" s="538" t="s">
        <v>738</v>
      </c>
      <c r="I2" s="537">
        <f>IRR(E11:Y11,-0.31)</f>
        <v>0.17044473059346976</v>
      </c>
    </row>
    <row r="3" spans="1:27">
      <c r="B3" s="914">
        <f>IF('ERR &amp; Sensitivity Analysis'!$I$9="N","Note: Current calculations are based on user input and are not the original MCC estimates.",IF('ERR &amp; Sensitivity Analysis'!$I$13="N","Note: Current calculations are based on user input and are not the original MCC estimates.",0))</f>
        <v>0</v>
      </c>
    </row>
    <row r="4" spans="1:27" ht="16.5" thickBot="1">
      <c r="B4" s="196" t="s">
        <v>470</v>
      </c>
      <c r="E4" s="72">
        <v>2012</v>
      </c>
      <c r="F4" s="72">
        <f t="shared" ref="F4:Y4" si="0">E4+1</f>
        <v>2013</v>
      </c>
      <c r="G4" s="72">
        <f t="shared" si="0"/>
        <v>2014</v>
      </c>
      <c r="H4" s="72">
        <f t="shared" si="0"/>
        <v>2015</v>
      </c>
      <c r="I4" s="72">
        <f t="shared" si="0"/>
        <v>2016</v>
      </c>
      <c r="J4" s="72">
        <f t="shared" si="0"/>
        <v>2017</v>
      </c>
      <c r="K4" s="72">
        <f t="shared" si="0"/>
        <v>2018</v>
      </c>
      <c r="L4" s="72">
        <f t="shared" si="0"/>
        <v>2019</v>
      </c>
      <c r="M4" s="72">
        <f t="shared" si="0"/>
        <v>2020</v>
      </c>
      <c r="N4" s="72">
        <f t="shared" si="0"/>
        <v>2021</v>
      </c>
      <c r="O4" s="72">
        <f t="shared" si="0"/>
        <v>2022</v>
      </c>
      <c r="P4" s="72">
        <f t="shared" si="0"/>
        <v>2023</v>
      </c>
      <c r="Q4" s="72">
        <f t="shared" si="0"/>
        <v>2024</v>
      </c>
      <c r="R4" s="72">
        <f t="shared" si="0"/>
        <v>2025</v>
      </c>
      <c r="S4" s="72">
        <f t="shared" si="0"/>
        <v>2026</v>
      </c>
      <c r="T4" s="72">
        <f t="shared" si="0"/>
        <v>2027</v>
      </c>
      <c r="U4" s="72">
        <f t="shared" si="0"/>
        <v>2028</v>
      </c>
      <c r="V4" s="72">
        <f t="shared" si="0"/>
        <v>2029</v>
      </c>
      <c r="W4" s="72">
        <f t="shared" si="0"/>
        <v>2030</v>
      </c>
      <c r="X4" s="72">
        <f t="shared" si="0"/>
        <v>2031</v>
      </c>
      <c r="Y4" s="72">
        <f t="shared" si="0"/>
        <v>2032</v>
      </c>
    </row>
    <row r="5" spans="1:27">
      <c r="B5" s="536" t="s">
        <v>736</v>
      </c>
      <c r="C5" s="535"/>
      <c r="D5" s="534" t="s">
        <v>737</v>
      </c>
      <c r="E5" s="459"/>
      <c r="F5" s="1260" t="s">
        <v>420</v>
      </c>
      <c r="G5" s="1260"/>
      <c r="H5" s="1260"/>
      <c r="I5" s="1260"/>
      <c r="J5" s="1260"/>
      <c r="K5" s="458"/>
      <c r="L5" s="458"/>
      <c r="M5" s="458"/>
      <c r="N5" s="458"/>
      <c r="O5" s="458"/>
      <c r="P5" s="458"/>
      <c r="Q5" s="458"/>
      <c r="R5" s="458"/>
      <c r="S5" s="458"/>
      <c r="T5" s="458"/>
      <c r="U5" s="458"/>
      <c r="V5" s="458"/>
      <c r="W5" s="458"/>
      <c r="X5" s="458"/>
      <c r="Y5" s="457"/>
    </row>
    <row r="6" spans="1:27" s="3" customFormat="1">
      <c r="B6" s="449"/>
      <c r="C6" s="450"/>
      <c r="D6" s="533" t="s">
        <v>736</v>
      </c>
      <c r="E6" s="201">
        <v>0</v>
      </c>
      <c r="F6" s="201">
        <f>E6+1</f>
        <v>1</v>
      </c>
      <c r="G6" s="201">
        <f t="shared" ref="G6:X6" si="1">F6+1</f>
        <v>2</v>
      </c>
      <c r="H6" s="201">
        <f t="shared" si="1"/>
        <v>3</v>
      </c>
      <c r="I6" s="201">
        <f t="shared" si="1"/>
        <v>4</v>
      </c>
      <c r="J6" s="201">
        <f t="shared" si="1"/>
        <v>5</v>
      </c>
      <c r="K6" s="201">
        <f t="shared" si="1"/>
        <v>6</v>
      </c>
      <c r="L6" s="201">
        <f t="shared" si="1"/>
        <v>7</v>
      </c>
      <c r="M6" s="201">
        <f t="shared" si="1"/>
        <v>8</v>
      </c>
      <c r="N6" s="201">
        <f t="shared" si="1"/>
        <v>9</v>
      </c>
      <c r="O6" s="201">
        <f t="shared" si="1"/>
        <v>10</v>
      </c>
      <c r="P6" s="201">
        <f t="shared" si="1"/>
        <v>11</v>
      </c>
      <c r="Q6" s="201">
        <f t="shared" si="1"/>
        <v>12</v>
      </c>
      <c r="R6" s="201">
        <f t="shared" si="1"/>
        <v>13</v>
      </c>
      <c r="S6" s="201">
        <f t="shared" si="1"/>
        <v>14</v>
      </c>
      <c r="T6" s="201">
        <f t="shared" si="1"/>
        <v>15</v>
      </c>
      <c r="U6" s="201">
        <f t="shared" si="1"/>
        <v>16</v>
      </c>
      <c r="V6" s="201">
        <f t="shared" si="1"/>
        <v>17</v>
      </c>
      <c r="W6" s="201">
        <f t="shared" si="1"/>
        <v>18</v>
      </c>
      <c r="X6" s="201">
        <f t="shared" si="1"/>
        <v>19</v>
      </c>
      <c r="Y6" s="451">
        <v>20</v>
      </c>
    </row>
    <row r="7" spans="1:27" s="3" customFormat="1">
      <c r="B7" s="449" t="s">
        <v>735</v>
      </c>
      <c r="C7" s="450"/>
      <c r="D7" s="527">
        <f>NPV(0.1,E7:Y7)</f>
        <v>346.72394814946188</v>
      </c>
      <c r="E7" s="470">
        <f>Benefits!D10*'ERR &amp; Sensitivity Analysis'!$G$10</f>
        <v>0</v>
      </c>
      <c r="F7" s="470">
        <f>Benefits!E10*'ERR &amp; Sensitivity Analysis'!$G$10</f>
        <v>0</v>
      </c>
      <c r="G7" s="470">
        <f>Benefits!F10*'ERR &amp; Sensitivity Analysis'!$G$10</f>
        <v>4.0547283357835031</v>
      </c>
      <c r="H7" s="470">
        <f>Benefits!G10*'ERR &amp; Sensitivity Analysis'!$G$10</f>
        <v>14.481006190052797</v>
      </c>
      <c r="I7" s="470">
        <f>Benefits!H10*'ERR &amp; Sensitivity Analysis'!$G$10</f>
        <v>32.653438660027319</v>
      </c>
      <c r="J7" s="470">
        <f>Benefits!I10*'ERR &amp; Sensitivity Analysis'!$G$10</f>
        <v>50.33480269335103</v>
      </c>
      <c r="K7" s="470">
        <f>Benefits!J10*'ERR &amp; Sensitivity Analysis'!$G$10</f>
        <v>53.658323840170304</v>
      </c>
      <c r="L7" s="470">
        <f>Benefits!K10*'ERR &amp; Sensitivity Analysis'!$G$10</f>
        <v>54.971732067133942</v>
      </c>
      <c r="M7" s="470">
        <f>Benefits!L10*'ERR &amp; Sensitivity Analysis'!$G$10</f>
        <v>56.328303429803753</v>
      </c>
      <c r="N7" s="470">
        <f>Benefits!M10*'ERR &amp; Sensitivity Analysis'!$G$10</f>
        <v>57.729598983315221</v>
      </c>
      <c r="O7" s="470">
        <f>Benefits!N10*'ERR &amp; Sensitivity Analysis'!$G$10</f>
        <v>59.177242384826847</v>
      </c>
      <c r="P7" s="470">
        <f>Benefits!O10*'ERR &amp; Sensitivity Analysis'!$G$10</f>
        <v>60.672922645546798</v>
      </c>
      <c r="Q7" s="470">
        <f>Benefits!P10*'ERR &amp; Sensitivity Analysis'!$G$10</f>
        <v>62.21839701232674</v>
      </c>
      <c r="R7" s="470">
        <f>Benefits!Q10*'ERR &amp; Sensitivity Analysis'!$G$10</f>
        <v>63.81549398520216</v>
      </c>
      <c r="S7" s="470">
        <f>Benefits!R10*'ERR &amp; Sensitivity Analysis'!$G$10</f>
        <v>65.466116477581778</v>
      </c>
      <c r="T7" s="470">
        <f>Benefits!S10*'ERR &amp; Sensitivity Analysis'!$G$10</f>
        <v>67.192924547438025</v>
      </c>
      <c r="U7" s="470">
        <f>Benefits!T10*'ERR &amp; Sensitivity Analysis'!$G$10</f>
        <v>69.068178633479036</v>
      </c>
      <c r="V7" s="470">
        <f>Benefits!U10*'ERR &amp; Sensitivity Analysis'!$G$10</f>
        <v>71.185011380568596</v>
      </c>
      <c r="W7" s="470">
        <f>Benefits!V10*'ERR &amp; Sensitivity Analysis'!$G$10</f>
        <v>73.589108448453516</v>
      </c>
      <c r="X7" s="470">
        <f>Benefits!W10*'ERR &amp; Sensitivity Analysis'!$G$10</f>
        <v>76.183445691988112</v>
      </c>
      <c r="Y7" s="472">
        <f>Benefits!X10*'ERR &amp; Sensitivity Analysis'!$G$10</f>
        <v>227.57733859872502</v>
      </c>
    </row>
    <row r="8" spans="1:27">
      <c r="B8" s="120"/>
      <c r="C8" s="205"/>
      <c r="D8" s="205"/>
      <c r="E8" s="531"/>
      <c r="F8" s="531"/>
      <c r="G8" s="531"/>
      <c r="H8" s="531"/>
      <c r="I8" s="531"/>
      <c r="J8" s="531"/>
      <c r="K8" s="531"/>
      <c r="L8" s="531"/>
      <c r="M8" s="531"/>
      <c r="N8" s="531"/>
      <c r="O8" s="531"/>
      <c r="P8" s="531"/>
      <c r="Q8" s="531"/>
      <c r="R8" s="531"/>
      <c r="S8" s="531"/>
      <c r="T8" s="531"/>
      <c r="U8" s="531"/>
      <c r="V8" s="531"/>
      <c r="W8" s="531"/>
      <c r="X8" s="531"/>
      <c r="Y8" s="472"/>
    </row>
    <row r="9" spans="1:27">
      <c r="B9" s="449" t="s">
        <v>734</v>
      </c>
      <c r="C9" s="205"/>
      <c r="D9" s="527">
        <f>NPV(0.1,E9:Y9)</f>
        <v>230.79553457980711</v>
      </c>
      <c r="E9" s="473">
        <f>Cost!D16*'ERR &amp; Sensitivity Analysis'!$G$9</f>
        <v>11.412506655003416</v>
      </c>
      <c r="F9" s="473">
        <f>Cost!E16*'ERR &amp; Sensitivity Analysis'!$G$9</f>
        <v>19.973621044529942</v>
      </c>
      <c r="G9" s="473">
        <f>Cost!F16*'ERR &amp; Sensitivity Analysis'!$G$9</f>
        <v>65.66334655860021</v>
      </c>
      <c r="H9" s="473">
        <f>Cost!G16*'ERR &amp; Sensitivity Analysis'!$G$9</f>
        <v>80.937097108693976</v>
      </c>
      <c r="I9" s="473">
        <f>Cost!H16*'ERR &amp; Sensitivity Analysis'!$G$9</f>
        <v>73.575118391688761</v>
      </c>
      <c r="J9" s="473">
        <f>Cost!I16*'ERR &amp; Sensitivity Analysis'!$G$9</f>
        <v>56.736645586689534</v>
      </c>
      <c r="K9" s="473">
        <f>Cost!J16*'ERR &amp; Sensitivity Analysis'!$G$9</f>
        <v>5.0280773098952469</v>
      </c>
      <c r="L9" s="473">
        <f>Cost!K16*'ERR &amp; Sensitivity Analysis'!$G$9</f>
        <v>5.0280773098952469</v>
      </c>
      <c r="M9" s="473">
        <f>Cost!L16*'ERR &amp; Sensitivity Analysis'!$G$9</f>
        <v>5.0280773098952469</v>
      </c>
      <c r="N9" s="473">
        <f>Cost!M16*'ERR &amp; Sensitivity Analysis'!$G$9</f>
        <v>5.0280773098952469</v>
      </c>
      <c r="O9" s="473">
        <f>Cost!N16*'ERR &amp; Sensitivity Analysis'!$G$9</f>
        <v>5.0280773098952469</v>
      </c>
      <c r="P9" s="473">
        <f>Cost!O16*'ERR &amp; Sensitivity Analysis'!$G$9</f>
        <v>5.0280773098952469</v>
      </c>
      <c r="Q9" s="473">
        <f>Cost!P16*'ERR &amp; Sensitivity Analysis'!$G$9</f>
        <v>5.0280773098952469</v>
      </c>
      <c r="R9" s="473">
        <f>Cost!Q16*'ERR &amp; Sensitivity Analysis'!$G$9</f>
        <v>5.0280773098952469</v>
      </c>
      <c r="S9" s="473">
        <f>Cost!R16*'ERR &amp; Sensitivity Analysis'!$G$9</f>
        <v>5.0280773098952469</v>
      </c>
      <c r="T9" s="473">
        <f>Cost!S16*'ERR &amp; Sensitivity Analysis'!$G$9</f>
        <v>5.0280773098952469</v>
      </c>
      <c r="U9" s="473">
        <f>Cost!T16*'ERR &amp; Sensitivity Analysis'!$G$9</f>
        <v>5.0280773098952469</v>
      </c>
      <c r="V9" s="473">
        <f>Cost!U16*'ERR &amp; Sensitivity Analysis'!$G$9</f>
        <v>5.0280773098952469</v>
      </c>
      <c r="W9" s="473">
        <f>Cost!V16*'ERR &amp; Sensitivity Analysis'!$G$9</f>
        <v>5.0280773098952469</v>
      </c>
      <c r="X9" s="473">
        <f>Cost!W16*'ERR &amp; Sensitivity Analysis'!$G$9</f>
        <v>5.0280773098952469</v>
      </c>
      <c r="Y9" s="472">
        <f>Cost!X16*'ERR &amp; Sensitivity Analysis'!$G$9</f>
        <v>5.0280773098952469</v>
      </c>
    </row>
    <row r="10" spans="1:27" s="512" customFormat="1">
      <c r="A10" s="3"/>
      <c r="B10" s="449"/>
      <c r="C10" s="518"/>
      <c r="D10" s="518"/>
      <c r="E10" s="473"/>
      <c r="F10" s="529"/>
      <c r="G10" s="529"/>
      <c r="H10" s="529"/>
      <c r="I10" s="529"/>
      <c r="J10" s="529"/>
      <c r="K10" s="529"/>
      <c r="L10" s="529"/>
      <c r="M10" s="530"/>
      <c r="N10" s="529"/>
      <c r="O10" s="529"/>
      <c r="P10" s="529"/>
      <c r="Q10" s="529"/>
      <c r="R10" s="529"/>
      <c r="S10" s="529"/>
      <c r="T10" s="529"/>
      <c r="U10" s="529"/>
      <c r="V10" s="529"/>
      <c r="W10" s="529"/>
      <c r="X10" s="529"/>
      <c r="Y10" s="472"/>
      <c r="Z10" s="513"/>
      <c r="AA10" s="513"/>
    </row>
    <row r="11" spans="1:27" s="512" customFormat="1">
      <c r="B11" s="449" t="s">
        <v>733</v>
      </c>
      <c r="C11" s="518"/>
      <c r="D11" s="527">
        <f>NPV(0.1,E11:Y11)</f>
        <v>115.92841356965468</v>
      </c>
      <c r="E11" s="473">
        <f>E7-E9</f>
        <v>-11.412506655003416</v>
      </c>
      <c r="F11" s="473">
        <f t="shared" ref="F11:Y11" si="2">F7-F9</f>
        <v>-19.973621044529942</v>
      </c>
      <c r="G11" s="473">
        <f t="shared" si="2"/>
        <v>-61.608618222816709</v>
      </c>
      <c r="H11" s="473">
        <f t="shared" si="2"/>
        <v>-66.456090918641181</v>
      </c>
      <c r="I11" s="473">
        <f t="shared" si="2"/>
        <v>-40.921679731661442</v>
      </c>
      <c r="J11" s="473">
        <f t="shared" si="2"/>
        <v>-6.4018428933385039</v>
      </c>
      <c r="K11" s="473">
        <f t="shared" si="2"/>
        <v>48.630246530275059</v>
      </c>
      <c r="L11" s="473">
        <f t="shared" si="2"/>
        <v>49.943654757238697</v>
      </c>
      <c r="M11" s="473">
        <f t="shared" si="2"/>
        <v>51.300226119908508</v>
      </c>
      <c r="N11" s="473">
        <f t="shared" si="2"/>
        <v>52.701521673419975</v>
      </c>
      <c r="O11" s="473">
        <f t="shared" si="2"/>
        <v>54.149165074931602</v>
      </c>
      <c r="P11" s="473">
        <f t="shared" si="2"/>
        <v>55.644845335651553</v>
      </c>
      <c r="Q11" s="473">
        <f t="shared" si="2"/>
        <v>57.190319702431495</v>
      </c>
      <c r="R11" s="473">
        <f t="shared" si="2"/>
        <v>58.787416675306915</v>
      </c>
      <c r="S11" s="473">
        <f t="shared" si="2"/>
        <v>60.438039167686533</v>
      </c>
      <c r="T11" s="473">
        <f t="shared" si="2"/>
        <v>62.16484723754278</v>
      </c>
      <c r="U11" s="473">
        <f t="shared" si="2"/>
        <v>64.040101323583784</v>
      </c>
      <c r="V11" s="473">
        <f t="shared" si="2"/>
        <v>66.156934070673344</v>
      </c>
      <c r="W11" s="473">
        <f t="shared" si="2"/>
        <v>68.561031138558263</v>
      </c>
      <c r="X11" s="473">
        <f t="shared" si="2"/>
        <v>71.15536838209286</v>
      </c>
      <c r="Y11" s="472">
        <f t="shared" si="2"/>
        <v>222.54926128882977</v>
      </c>
      <c r="Z11" s="513"/>
      <c r="AA11" s="513"/>
    </row>
    <row r="12" spans="1:27" s="512" customFormat="1" ht="15.75" thickBot="1">
      <c r="B12" s="118"/>
      <c r="C12" s="526"/>
      <c r="D12" s="526"/>
      <c r="E12" s="437"/>
      <c r="F12" s="525"/>
      <c r="G12" s="525"/>
      <c r="H12" s="525"/>
      <c r="I12" s="523"/>
      <c r="J12" s="523"/>
      <c r="K12" s="523"/>
      <c r="L12" s="523"/>
      <c r="M12" s="524"/>
      <c r="N12" s="523"/>
      <c r="O12" s="523"/>
      <c r="P12" s="523"/>
      <c r="Q12" s="523"/>
      <c r="R12" s="523"/>
      <c r="S12" s="523"/>
      <c r="T12" s="523"/>
      <c r="U12" s="523"/>
      <c r="V12" s="523"/>
      <c r="W12" s="523"/>
      <c r="X12" s="523"/>
      <c r="Y12" s="522"/>
      <c r="Z12" s="514"/>
      <c r="AA12" s="513"/>
    </row>
    <row r="13" spans="1:27" s="512" customFormat="1" ht="15.75" outlineLevel="1" thickBot="1">
      <c r="B13" s="393" t="s">
        <v>732</v>
      </c>
      <c r="C13" s="518"/>
      <c r="D13" s="518"/>
      <c r="E13" s="72"/>
      <c r="F13" s="517"/>
      <c r="G13" s="517"/>
      <c r="H13" s="517"/>
      <c r="I13" s="514"/>
      <c r="J13" s="289" t="s">
        <v>731</v>
      </c>
      <c r="K13" s="289" t="s">
        <v>730</v>
      </c>
      <c r="L13" s="514"/>
      <c r="M13" s="521"/>
      <c r="N13" s="514"/>
      <c r="O13" s="514"/>
      <c r="P13" s="514"/>
      <c r="Q13" s="514"/>
      <c r="R13" s="514"/>
      <c r="S13" s="514"/>
      <c r="T13" s="514"/>
      <c r="U13" s="514"/>
      <c r="V13" s="514"/>
      <c r="W13" s="514"/>
      <c r="X13" s="514"/>
      <c r="Y13" s="514"/>
      <c r="Z13" s="514"/>
      <c r="AA13" s="513"/>
    </row>
    <row r="14" spans="1:27" s="512" customFormat="1" outlineLevel="1">
      <c r="A14" s="492">
        <v>1</v>
      </c>
      <c r="B14" s="520" t="s">
        <v>707</v>
      </c>
      <c r="C14" s="519">
        <v>1</v>
      </c>
      <c r="D14" s="518"/>
      <c r="E14" s="72"/>
      <c r="F14" s="517"/>
      <c r="G14" s="517"/>
      <c r="H14" s="517"/>
      <c r="I14" s="514"/>
      <c r="J14" s="482">
        <v>1</v>
      </c>
      <c r="K14" s="511">
        <v>1</v>
      </c>
      <c r="L14" s="514"/>
      <c r="M14" s="516">
        <v>0</v>
      </c>
      <c r="N14" s="515" t="s">
        <v>729</v>
      </c>
      <c r="O14" s="514"/>
      <c r="P14" s="514"/>
      <c r="Q14" s="514"/>
      <c r="R14" s="514"/>
      <c r="S14" s="514"/>
      <c r="T14" s="514"/>
      <c r="U14" s="514"/>
      <c r="V14" s="514"/>
      <c r="W14" s="514"/>
      <c r="X14" s="514"/>
      <c r="Y14" s="514"/>
      <c r="Z14" s="514"/>
      <c r="AA14" s="513"/>
    </row>
    <row r="15" spans="1:27" outlineLevel="1">
      <c r="A15" s="492">
        <v>2</v>
      </c>
      <c r="B15" s="507" t="s">
        <v>706</v>
      </c>
      <c r="C15" s="506">
        <v>1</v>
      </c>
      <c r="D15" s="233"/>
      <c r="E15" s="233"/>
      <c r="F15" s="233"/>
      <c r="I15" s="478"/>
      <c r="J15" s="482">
        <v>1</v>
      </c>
      <c r="K15" s="511">
        <v>1</v>
      </c>
    </row>
    <row r="16" spans="1:27" outlineLevel="1">
      <c r="A16" s="492">
        <v>3</v>
      </c>
      <c r="B16" s="507" t="s">
        <v>705</v>
      </c>
      <c r="C16" s="506">
        <v>1</v>
      </c>
      <c r="D16" s="233"/>
      <c r="E16" s="233"/>
      <c r="F16" s="233"/>
      <c r="I16" s="478"/>
      <c r="J16" s="482">
        <v>1</v>
      </c>
      <c r="K16" s="511">
        <v>1</v>
      </c>
      <c r="N16" s="914">
        <f>-16.2</f>
        <v>-16.2</v>
      </c>
      <c r="O16" s="914">
        <v>24.3</v>
      </c>
      <c r="P16" s="914">
        <v>12.8</v>
      </c>
    </row>
    <row r="17" spans="1:16" outlineLevel="1">
      <c r="A17" s="492">
        <v>4</v>
      </c>
      <c r="B17" s="507" t="s">
        <v>704</v>
      </c>
      <c r="C17" s="510">
        <v>0</v>
      </c>
      <c r="I17" s="478"/>
      <c r="J17" s="482">
        <v>0</v>
      </c>
      <c r="K17" s="482">
        <v>0</v>
      </c>
      <c r="O17" s="914">
        <f>N16+O16</f>
        <v>8.1000000000000014</v>
      </c>
      <c r="P17" s="914">
        <f>O17+P16</f>
        <v>20.900000000000002</v>
      </c>
    </row>
    <row r="18" spans="1:16" ht="15" customHeight="1" outlineLevel="1">
      <c r="A18" s="492">
        <v>5</v>
      </c>
      <c r="B18" s="507" t="s">
        <v>728</v>
      </c>
      <c r="C18" s="510">
        <v>0</v>
      </c>
      <c r="E18" s="233"/>
      <c r="F18" s="509" t="s">
        <v>727</v>
      </c>
      <c r="G18" s="508">
        <v>0</v>
      </c>
      <c r="H18" s="136" t="s">
        <v>726</v>
      </c>
      <c r="I18" s="478"/>
      <c r="J18" s="482">
        <v>1</v>
      </c>
      <c r="K18" s="482">
        <v>0</v>
      </c>
      <c r="L18" s="914" t="s">
        <v>725</v>
      </c>
    </row>
    <row r="19" spans="1:16" outlineLevel="1">
      <c r="A19" s="492">
        <v>6</v>
      </c>
      <c r="B19" s="507" t="s">
        <v>703</v>
      </c>
      <c r="C19" s="506">
        <v>1</v>
      </c>
      <c r="E19" s="233"/>
      <c r="F19" s="233"/>
      <c r="G19" s="478"/>
      <c r="H19" s="477" t="s">
        <v>724</v>
      </c>
      <c r="I19" s="233"/>
      <c r="J19" s="482">
        <v>0</v>
      </c>
      <c r="K19" s="495">
        <v>1</v>
      </c>
    </row>
    <row r="20" spans="1:16" ht="15.75" outlineLevel="1" thickBot="1">
      <c r="A20" s="492">
        <v>7</v>
      </c>
      <c r="B20" s="463" t="s">
        <v>702</v>
      </c>
      <c r="C20" s="505">
        <v>0</v>
      </c>
      <c r="D20" s="233"/>
      <c r="E20" s="233"/>
      <c r="F20" s="233"/>
      <c r="G20" s="478"/>
      <c r="H20" s="497">
        <v>-8.7332950247636418</v>
      </c>
      <c r="I20" s="233"/>
      <c r="J20" s="482">
        <v>0</v>
      </c>
      <c r="K20" s="481">
        <v>0</v>
      </c>
      <c r="M20" s="3" t="s">
        <v>723</v>
      </c>
    </row>
    <row r="21" spans="1:16" outlineLevel="1">
      <c r="B21" s="1261" t="s">
        <v>722</v>
      </c>
      <c r="C21" s="1261"/>
      <c r="D21" s="504">
        <v>0</v>
      </c>
      <c r="E21" s="289" t="s">
        <v>701</v>
      </c>
      <c r="F21" s="233"/>
      <c r="H21" s="497">
        <v>32.40205103976146</v>
      </c>
      <c r="I21" s="501"/>
      <c r="J21" s="500">
        <v>0</v>
      </c>
      <c r="K21" s="499">
        <v>0</v>
      </c>
      <c r="M21" s="489">
        <v>1</v>
      </c>
      <c r="N21" s="914" t="s">
        <v>721</v>
      </c>
    </row>
    <row r="22" spans="1:16" ht="15.75" outlineLevel="1" thickBot="1">
      <c r="B22" s="1261"/>
      <c r="C22" s="1261"/>
      <c r="D22" s="503">
        <v>0</v>
      </c>
      <c r="E22" s="289" t="s">
        <v>160</v>
      </c>
      <c r="F22" s="233"/>
      <c r="G22" s="478"/>
      <c r="H22" s="497">
        <v>23.933313667076838</v>
      </c>
      <c r="I22" s="501"/>
      <c r="J22" s="500">
        <v>0</v>
      </c>
      <c r="K22" s="499">
        <v>0</v>
      </c>
      <c r="M22" s="489">
        <v>1</v>
      </c>
      <c r="N22" s="914" t="s">
        <v>720</v>
      </c>
    </row>
    <row r="23" spans="1:16" ht="15.75" outlineLevel="1" thickBot="1">
      <c r="B23" s="214" t="s">
        <v>699</v>
      </c>
      <c r="D23" s="915"/>
      <c r="E23" s="289"/>
      <c r="G23" s="471" t="s">
        <v>719</v>
      </c>
      <c r="H23" s="502">
        <v>19.936114771034479</v>
      </c>
      <c r="I23" s="501" t="s">
        <v>718</v>
      </c>
      <c r="J23" s="500"/>
      <c r="K23" s="499"/>
      <c r="M23" s="489">
        <v>1</v>
      </c>
      <c r="N23" s="914" t="s">
        <v>717</v>
      </c>
    </row>
    <row r="24" spans="1:16" outlineLevel="1">
      <c r="B24" s="467" t="s">
        <v>51</v>
      </c>
      <c r="C24" s="498">
        <v>0</v>
      </c>
      <c r="D24" s="915"/>
      <c r="E24" s="289"/>
      <c r="G24" s="241">
        <v>63.862358604003738</v>
      </c>
      <c r="H24" s="497">
        <f>SUM(H20:H23)</f>
        <v>67.538184453109139</v>
      </c>
      <c r="I24" s="240">
        <f>G24-H24</f>
        <v>-3.6758258491054008</v>
      </c>
      <c r="J24" s="482">
        <v>0</v>
      </c>
      <c r="K24" s="481">
        <v>0</v>
      </c>
      <c r="M24" s="489">
        <f>'Health--Stunting'!C45</f>
        <v>1</v>
      </c>
      <c r="N24" s="914" t="s">
        <v>716</v>
      </c>
    </row>
    <row r="25" spans="1:16" ht="15.75" outlineLevel="1" thickBot="1">
      <c r="A25" s="492">
        <v>8</v>
      </c>
      <c r="B25" s="463" t="s">
        <v>52</v>
      </c>
      <c r="C25" s="496">
        <v>1</v>
      </c>
      <c r="D25" s="915"/>
      <c r="E25" s="289"/>
      <c r="F25" s="233"/>
      <c r="G25" s="478"/>
      <c r="H25" s="477"/>
      <c r="I25" s="233"/>
      <c r="J25" s="482">
        <v>1</v>
      </c>
      <c r="K25" s="495">
        <v>1</v>
      </c>
      <c r="M25" s="489">
        <f>'Travel time analysis'!E64</f>
        <v>1</v>
      </c>
      <c r="N25" s="914" t="s">
        <v>715</v>
      </c>
    </row>
    <row r="26" spans="1:16" ht="15.75" outlineLevel="1" thickBot="1">
      <c r="A26" s="492"/>
      <c r="B26" s="494" t="s">
        <v>714</v>
      </c>
      <c r="C26" s="493"/>
      <c r="D26" s="915"/>
      <c r="E26" s="289"/>
      <c r="F26" s="233"/>
      <c r="G26" s="478"/>
      <c r="H26" s="477"/>
      <c r="I26" s="233"/>
      <c r="J26" s="482"/>
      <c r="K26" s="316"/>
      <c r="M26" s="489">
        <f>'Time Savings'!H74</f>
        <v>1</v>
      </c>
      <c r="N26" s="914" t="s">
        <v>713</v>
      </c>
    </row>
    <row r="27" spans="1:16" ht="15.75" outlineLevel="1" thickBot="1">
      <c r="A27" s="492"/>
      <c r="B27" s="491" t="s">
        <v>712</v>
      </c>
      <c r="C27" s="490">
        <v>0</v>
      </c>
      <c r="D27" s="245" t="s">
        <v>709</v>
      </c>
      <c r="E27" s="289"/>
      <c r="F27" s="233"/>
      <c r="G27" s="478"/>
      <c r="H27" s="477"/>
      <c r="I27" s="233"/>
      <c r="J27" s="482">
        <v>0</v>
      </c>
      <c r="K27" s="316">
        <v>0</v>
      </c>
      <c r="M27" s="489">
        <f>NRW!F52</f>
        <v>1</v>
      </c>
      <c r="N27" s="914" t="s">
        <v>711</v>
      </c>
    </row>
    <row r="28" spans="1:16" ht="15.75" outlineLevel="1" thickBot="1">
      <c r="B28" s="488" t="s">
        <v>710</v>
      </c>
      <c r="C28" s="487">
        <v>0</v>
      </c>
      <c r="D28" s="245" t="s">
        <v>709</v>
      </c>
      <c r="E28" s="289"/>
      <c r="F28" s="233"/>
      <c r="G28" s="478"/>
      <c r="H28" s="477"/>
      <c r="I28" s="241"/>
      <c r="J28" s="482">
        <v>0</v>
      </c>
      <c r="K28" s="481">
        <v>0</v>
      </c>
      <c r="M28" s="486">
        <f>NRW!K44</f>
        <v>1</v>
      </c>
      <c r="N28" s="914" t="s">
        <v>708</v>
      </c>
    </row>
    <row r="29" spans="1:16" ht="15.75" outlineLevel="1" thickBot="1">
      <c r="B29" s="485"/>
      <c r="C29" s="204"/>
      <c r="D29" s="245"/>
      <c r="E29" s="289"/>
      <c r="F29" s="233"/>
      <c r="G29" s="478"/>
      <c r="H29" s="477"/>
      <c r="I29" s="484"/>
      <c r="J29" s="482"/>
      <c r="K29" s="481"/>
      <c r="M29" s="483">
        <f>PRODUCT(M21:M28)</f>
        <v>1</v>
      </c>
    </row>
    <row r="30" spans="1:16" outlineLevel="1">
      <c r="B30" s="205"/>
      <c r="C30" s="204"/>
      <c r="D30" s="245"/>
      <c r="E30" s="289"/>
      <c r="F30" s="233"/>
      <c r="G30" s="478"/>
      <c r="H30" s="477"/>
      <c r="I30" s="233"/>
      <c r="J30" s="482"/>
      <c r="K30" s="481"/>
      <c r="M30" s="325"/>
    </row>
    <row r="31" spans="1:16" outlineLevel="1">
      <c r="B31" s="205"/>
      <c r="C31" s="204"/>
      <c r="D31" s="245"/>
      <c r="E31" s="289"/>
      <c r="F31" s="233"/>
      <c r="G31" s="478"/>
      <c r="H31" s="477"/>
      <c r="I31" s="233"/>
      <c r="J31" s="482"/>
      <c r="K31" s="481"/>
      <c r="M31" s="325"/>
    </row>
    <row r="32" spans="1:16" outlineLevel="1">
      <c r="B32" s="205"/>
      <c r="C32" s="204"/>
      <c r="D32" s="245"/>
      <c r="E32" s="289"/>
      <c r="F32" s="233"/>
      <c r="G32" s="478"/>
      <c r="H32" s="477"/>
      <c r="I32" s="233"/>
      <c r="J32" s="480"/>
      <c r="K32" s="479"/>
      <c r="M32" s="175"/>
    </row>
    <row r="33" spans="2:56" ht="27" customHeight="1" outlineLevel="1">
      <c r="B33" s="196" t="s">
        <v>1565</v>
      </c>
      <c r="D33" s="915"/>
      <c r="E33" s="289"/>
      <c r="F33" s="233"/>
      <c r="G33" s="478"/>
      <c r="H33" s="477"/>
      <c r="I33" s="233"/>
      <c r="J33" s="233"/>
    </row>
    <row r="34" spans="2:56" outlineLevel="1">
      <c r="B34" s="1262" t="s">
        <v>1566</v>
      </c>
      <c r="C34" s="1105"/>
      <c r="D34" s="471" t="s">
        <v>1567</v>
      </c>
      <c r="E34" s="476">
        <v>2012</v>
      </c>
      <c r="F34" s="214">
        <f t="shared" ref="F34:K35" si="3">E34+1</f>
        <v>2013</v>
      </c>
      <c r="G34" s="214">
        <f t="shared" si="3"/>
        <v>2014</v>
      </c>
      <c r="H34" s="214">
        <f t="shared" si="3"/>
        <v>2015</v>
      </c>
      <c r="I34" s="214">
        <f t="shared" si="3"/>
        <v>2016</v>
      </c>
      <c r="J34" s="214">
        <f t="shared" si="3"/>
        <v>2017</v>
      </c>
      <c r="K34" s="214">
        <f t="shared" si="3"/>
        <v>2018</v>
      </c>
      <c r="L34" s="214">
        <f>K34+1</f>
        <v>2019</v>
      </c>
      <c r="M34" s="214">
        <f t="shared" ref="M34:Y35" si="4">L34+1</f>
        <v>2020</v>
      </c>
      <c r="N34" s="214">
        <f t="shared" si="4"/>
        <v>2021</v>
      </c>
      <c r="O34" s="214">
        <f t="shared" si="4"/>
        <v>2022</v>
      </c>
      <c r="P34" s="214">
        <f t="shared" si="4"/>
        <v>2023</v>
      </c>
      <c r="Q34" s="214">
        <f t="shared" si="4"/>
        <v>2024</v>
      </c>
      <c r="R34" s="214">
        <f t="shared" si="4"/>
        <v>2025</v>
      </c>
      <c r="S34" s="214">
        <f t="shared" si="4"/>
        <v>2026</v>
      </c>
      <c r="T34" s="214">
        <f t="shared" si="4"/>
        <v>2027</v>
      </c>
      <c r="U34" s="214">
        <f t="shared" si="4"/>
        <v>2028</v>
      </c>
      <c r="V34" s="214">
        <f t="shared" si="4"/>
        <v>2029</v>
      </c>
      <c r="W34" s="214">
        <f t="shared" si="4"/>
        <v>2030</v>
      </c>
      <c r="X34" s="214">
        <f t="shared" si="4"/>
        <v>2031</v>
      </c>
      <c r="Y34" s="214">
        <f t="shared" si="4"/>
        <v>2032</v>
      </c>
    </row>
    <row r="35" spans="2:56" outlineLevel="1">
      <c r="B35" s="1262"/>
      <c r="C35" s="1106"/>
      <c r="D35" s="471" t="s">
        <v>1568</v>
      </c>
      <c r="E35" s="476">
        <v>0</v>
      </c>
      <c r="F35" s="214">
        <f>E35+1</f>
        <v>1</v>
      </c>
      <c r="G35" s="214">
        <f t="shared" si="3"/>
        <v>2</v>
      </c>
      <c r="H35" s="214">
        <f t="shared" si="3"/>
        <v>3</v>
      </c>
      <c r="I35" s="214">
        <f t="shared" si="3"/>
        <v>4</v>
      </c>
      <c r="J35" s="214">
        <f t="shared" si="3"/>
        <v>5</v>
      </c>
      <c r="K35" s="214">
        <f t="shared" si="3"/>
        <v>6</v>
      </c>
      <c r="L35" s="214">
        <f>K35+1</f>
        <v>7</v>
      </c>
      <c r="M35" s="214">
        <f t="shared" si="4"/>
        <v>8</v>
      </c>
      <c r="N35" s="214">
        <f t="shared" si="4"/>
        <v>9</v>
      </c>
      <c r="O35" s="214">
        <f t="shared" si="4"/>
        <v>10</v>
      </c>
      <c r="P35" s="214">
        <f t="shared" si="4"/>
        <v>11</v>
      </c>
      <c r="Q35" s="214">
        <f t="shared" si="4"/>
        <v>12</v>
      </c>
      <c r="R35" s="214">
        <f t="shared" si="4"/>
        <v>13</v>
      </c>
      <c r="S35" s="214">
        <f t="shared" si="4"/>
        <v>14</v>
      </c>
      <c r="T35" s="214">
        <f t="shared" si="4"/>
        <v>15</v>
      </c>
      <c r="U35" s="214">
        <f t="shared" si="4"/>
        <v>16</v>
      </c>
      <c r="V35" s="214">
        <f t="shared" si="4"/>
        <v>17</v>
      </c>
      <c r="W35" s="214">
        <f t="shared" si="4"/>
        <v>18</v>
      </c>
      <c r="X35" s="214">
        <f t="shared" si="4"/>
        <v>19</v>
      </c>
      <c r="Y35" s="214">
        <f t="shared" si="4"/>
        <v>20</v>
      </c>
    </row>
    <row r="36" spans="2:56" outlineLevel="1">
      <c r="B36" s="1107" t="s">
        <v>1569</v>
      </c>
      <c r="C36" s="1108" t="s">
        <v>1570</v>
      </c>
      <c r="D36" s="1109" t="s">
        <v>1561</v>
      </c>
      <c r="E36" s="1110"/>
      <c r="F36" s="1111"/>
      <c r="G36" s="1111"/>
      <c r="H36" s="1111"/>
      <c r="I36" s="1111"/>
      <c r="J36" s="1111"/>
      <c r="K36" s="69"/>
      <c r="L36" s="69"/>
      <c r="M36" s="69"/>
      <c r="N36" s="69"/>
      <c r="O36" s="69"/>
      <c r="P36" s="69"/>
      <c r="Q36" s="69"/>
      <c r="R36" s="69"/>
      <c r="S36" s="69"/>
      <c r="T36" s="69"/>
      <c r="U36" s="69"/>
      <c r="V36" s="69"/>
      <c r="W36" s="69"/>
      <c r="X36" s="69"/>
    </row>
    <row r="37" spans="2:56" outlineLevel="1">
      <c r="B37" s="1112" t="s">
        <v>707</v>
      </c>
      <c r="C37" s="1113"/>
      <c r="D37" s="233"/>
      <c r="E37" s="1114"/>
      <c r="F37" s="470"/>
      <c r="G37" s="470"/>
      <c r="H37" s="470"/>
      <c r="I37" s="470"/>
      <c r="J37" s="470"/>
      <c r="K37" s="470"/>
      <c r="L37" s="470"/>
      <c r="M37" s="470"/>
      <c r="N37" s="470"/>
      <c r="O37" s="470"/>
      <c r="P37" s="470"/>
      <c r="Q37" s="470"/>
      <c r="R37" s="470"/>
      <c r="S37" s="470"/>
      <c r="T37" s="470"/>
      <c r="U37" s="470"/>
      <c r="V37" s="470"/>
      <c r="W37" s="470"/>
    </row>
    <row r="38" spans="2:56" outlineLevel="1">
      <c r="B38" s="1115" t="s">
        <v>1571</v>
      </c>
      <c r="C38" s="1113"/>
      <c r="D38" s="233"/>
      <c r="E38" s="473">
        <v>5.2642628901641562</v>
      </c>
      <c r="F38" s="473">
        <v>16.083226121322433</v>
      </c>
      <c r="G38" s="473">
        <v>27.658189555242501</v>
      </c>
      <c r="H38" s="473">
        <v>29.524314170745271</v>
      </c>
      <c r="I38" s="473">
        <v>21.846777644870205</v>
      </c>
      <c r="J38" s="473">
        <v>4.7535351901135554</v>
      </c>
      <c r="K38" s="473">
        <v>2.0630652892123744</v>
      </c>
      <c r="L38" s="473">
        <v>2.0630652892123744</v>
      </c>
      <c r="M38" s="473">
        <v>2.0630652892123744</v>
      </c>
      <c r="N38" s="473">
        <v>2.0630652892123744</v>
      </c>
      <c r="O38" s="473">
        <v>2.0630652892123744</v>
      </c>
      <c r="P38" s="473">
        <v>2.0630652892123744</v>
      </c>
      <c r="Q38" s="473">
        <v>2.0630652892123744</v>
      </c>
      <c r="R38" s="473">
        <v>2.0630652892123744</v>
      </c>
      <c r="S38" s="473">
        <v>2.0630652892123744</v>
      </c>
      <c r="T38" s="473">
        <v>2.0630652892123744</v>
      </c>
      <c r="U38" s="473">
        <v>2.0630652892123744</v>
      </c>
      <c r="V38" s="473">
        <v>2.0630652892123744</v>
      </c>
      <c r="W38" s="473">
        <v>2.0630652892123744</v>
      </c>
      <c r="X38" s="473">
        <v>2.0630652892123744</v>
      </c>
      <c r="Y38" s="473">
        <v>2.0630652892123744</v>
      </c>
    </row>
    <row r="39" spans="2:56" outlineLevel="1">
      <c r="B39" s="1115" t="s">
        <v>1572</v>
      </c>
      <c r="C39" s="1113"/>
      <c r="D39" s="233"/>
      <c r="E39" s="470">
        <v>0</v>
      </c>
      <c r="F39" s="470">
        <v>0</v>
      </c>
      <c r="G39" s="470">
        <v>2.8838479165392266</v>
      </c>
      <c r="H39" s="470">
        <v>5.8851573359314351</v>
      </c>
      <c r="I39" s="470">
        <v>9.8383811483495407</v>
      </c>
      <c r="J39" s="470">
        <v>12.077083995518366</v>
      </c>
      <c r="K39" s="470">
        <v>11.380891719518367</v>
      </c>
      <c r="L39" s="470">
        <v>11.380891719518367</v>
      </c>
      <c r="M39" s="470">
        <v>11.380891719518367</v>
      </c>
      <c r="N39" s="470">
        <v>11.380891719518367</v>
      </c>
      <c r="O39" s="470">
        <v>11.380891719518367</v>
      </c>
      <c r="P39" s="470">
        <v>11.380891719518367</v>
      </c>
      <c r="Q39" s="470">
        <v>11.380891719518367</v>
      </c>
      <c r="R39" s="470">
        <v>11.380891719518367</v>
      </c>
      <c r="S39" s="470">
        <v>11.380891719518367</v>
      </c>
      <c r="T39" s="470">
        <v>11.380891719518367</v>
      </c>
      <c r="U39" s="470">
        <v>11.380891719518367</v>
      </c>
      <c r="V39" s="470">
        <v>11.380891719518367</v>
      </c>
      <c r="W39" s="470">
        <v>11.380891719518367</v>
      </c>
      <c r="X39" s="470">
        <v>11.380891719518367</v>
      </c>
      <c r="Y39" s="470">
        <v>11.380891719518367</v>
      </c>
    </row>
    <row r="40" spans="2:56" outlineLevel="1">
      <c r="B40" s="1115" t="s">
        <v>1573</v>
      </c>
      <c r="C40" s="1113"/>
      <c r="D40" s="233"/>
      <c r="E40" s="470">
        <f>E39-E38</f>
        <v>-5.2642628901641562</v>
      </c>
      <c r="F40" s="470">
        <f t="shared" ref="F40:Y40" si="5">F39-F38</f>
        <v>-16.083226121322433</v>
      </c>
      <c r="G40" s="470">
        <f t="shared" si="5"/>
        <v>-24.774341638703273</v>
      </c>
      <c r="H40" s="470">
        <f t="shared" si="5"/>
        <v>-23.639156834813836</v>
      </c>
      <c r="I40" s="470">
        <f t="shared" si="5"/>
        <v>-12.008396496520664</v>
      </c>
      <c r="J40" s="470">
        <f t="shared" si="5"/>
        <v>7.323548805404811</v>
      </c>
      <c r="K40" s="470">
        <f t="shared" si="5"/>
        <v>9.3178264303059919</v>
      </c>
      <c r="L40" s="470">
        <f t="shared" si="5"/>
        <v>9.3178264303059919</v>
      </c>
      <c r="M40" s="470">
        <f t="shared" si="5"/>
        <v>9.3178264303059919</v>
      </c>
      <c r="N40" s="470">
        <f t="shared" si="5"/>
        <v>9.3178264303059919</v>
      </c>
      <c r="O40" s="470">
        <f t="shared" si="5"/>
        <v>9.3178264303059919</v>
      </c>
      <c r="P40" s="470">
        <f t="shared" si="5"/>
        <v>9.3178264303059919</v>
      </c>
      <c r="Q40" s="470">
        <f t="shared" si="5"/>
        <v>9.3178264303059919</v>
      </c>
      <c r="R40" s="470">
        <f t="shared" si="5"/>
        <v>9.3178264303059919</v>
      </c>
      <c r="S40" s="470">
        <f t="shared" si="5"/>
        <v>9.3178264303059919</v>
      </c>
      <c r="T40" s="470">
        <f t="shared" si="5"/>
        <v>9.3178264303059919</v>
      </c>
      <c r="U40" s="470">
        <f t="shared" si="5"/>
        <v>9.3178264303059919</v>
      </c>
      <c r="V40" s="470">
        <f t="shared" si="5"/>
        <v>9.3178264303059919</v>
      </c>
      <c r="W40" s="470">
        <f t="shared" si="5"/>
        <v>9.3178264303059919</v>
      </c>
      <c r="X40" s="470">
        <f t="shared" si="5"/>
        <v>9.3178264303059919</v>
      </c>
      <c r="Y40" s="470">
        <f t="shared" si="5"/>
        <v>9.3178264303059919</v>
      </c>
    </row>
    <row r="41" spans="2:56" outlineLevel="1">
      <c r="B41" s="1115" t="s">
        <v>1561</v>
      </c>
      <c r="C41" s="1113">
        <v>0</v>
      </c>
      <c r="D41" s="1116">
        <f>IRR(E40:Y40)</f>
        <v>6.1989962824645639E-2</v>
      </c>
      <c r="E41" s="470"/>
      <c r="F41" s="470"/>
      <c r="G41" s="470"/>
      <c r="H41" s="470"/>
      <c r="I41" s="470"/>
      <c r="J41" s="470"/>
      <c r="K41" s="470"/>
      <c r="L41" s="470"/>
      <c r="M41" s="470"/>
      <c r="N41" s="470"/>
      <c r="O41" s="470"/>
      <c r="P41" s="470"/>
      <c r="Q41" s="470"/>
      <c r="R41" s="470"/>
      <c r="S41" s="470"/>
      <c r="T41" s="470"/>
      <c r="U41" s="470"/>
      <c r="V41" s="470"/>
      <c r="W41" s="470"/>
      <c r="X41" s="470"/>
      <c r="Y41" s="470"/>
    </row>
    <row r="42" spans="2:56" outlineLevel="1">
      <c r="B42" s="1115" t="s">
        <v>1570</v>
      </c>
      <c r="C42" s="1113"/>
      <c r="D42" s="1117">
        <f>NPV(0.1,E38:Y38)</f>
        <v>84.129137552712621</v>
      </c>
      <c r="E42" s="470"/>
      <c r="F42" s="470"/>
      <c r="G42" s="470"/>
      <c r="H42" s="470"/>
      <c r="I42" s="470"/>
      <c r="J42" s="470"/>
      <c r="K42" s="470"/>
      <c r="L42" s="470"/>
      <c r="M42" s="470"/>
      <c r="N42" s="470"/>
      <c r="O42" s="470"/>
      <c r="P42" s="470"/>
      <c r="Q42" s="470"/>
      <c r="R42" s="470"/>
      <c r="S42" s="470"/>
      <c r="T42" s="470"/>
      <c r="U42" s="470"/>
      <c r="V42" s="470"/>
      <c r="W42" s="470"/>
      <c r="X42" s="470"/>
      <c r="Y42" s="470"/>
    </row>
    <row r="43" spans="2:56" outlineLevel="1">
      <c r="B43" s="1118" t="s">
        <v>706</v>
      </c>
      <c r="C43" s="1113"/>
      <c r="D43" s="1119"/>
      <c r="E43" s="470"/>
      <c r="F43" s="470"/>
      <c r="G43" s="470"/>
      <c r="H43" s="470"/>
      <c r="I43" s="470"/>
      <c r="J43" s="470"/>
      <c r="K43" s="470"/>
      <c r="L43" s="470"/>
      <c r="M43" s="470"/>
      <c r="N43" s="470"/>
      <c r="O43" s="470"/>
      <c r="P43" s="470"/>
      <c r="Q43" s="470"/>
      <c r="R43" s="470"/>
      <c r="S43" s="470"/>
      <c r="T43" s="470"/>
      <c r="U43" s="470"/>
      <c r="V43" s="470"/>
      <c r="W43" s="470"/>
      <c r="X43" s="470"/>
      <c r="Y43" s="470"/>
    </row>
    <row r="44" spans="2:56" outlineLevel="1">
      <c r="B44" s="1115" t="s">
        <v>1571</v>
      </c>
      <c r="C44" s="1113"/>
      <c r="D44" s="1119"/>
      <c r="E44" s="470">
        <v>1.9678929999378283</v>
      </c>
      <c r="F44" s="470">
        <v>6.6848462610743011</v>
      </c>
      <c r="G44" s="470">
        <v>10.947112917174811</v>
      </c>
      <c r="H44" s="470">
        <v>11.544182883849698</v>
      </c>
      <c r="I44" s="470">
        <v>8.5429409993570573</v>
      </c>
      <c r="J44" s="470">
        <v>1.8588726987035868</v>
      </c>
      <c r="K44" s="470">
        <v>0.81072190579687198</v>
      </c>
      <c r="L44" s="470">
        <v>0.81072190579687198</v>
      </c>
      <c r="M44" s="470">
        <v>0.81072190579687198</v>
      </c>
      <c r="N44" s="470">
        <v>0.81072190579687198</v>
      </c>
      <c r="O44" s="470">
        <v>0.81072190579687198</v>
      </c>
      <c r="P44" s="470">
        <v>0.81072190579687198</v>
      </c>
      <c r="Q44" s="470">
        <v>0.81072190579687198</v>
      </c>
      <c r="R44" s="470">
        <v>0.81072190579687198</v>
      </c>
      <c r="S44" s="470">
        <v>0.81072190579687198</v>
      </c>
      <c r="T44" s="470">
        <v>0.81072190579687198</v>
      </c>
      <c r="U44" s="470">
        <v>0.81072190579687198</v>
      </c>
      <c r="V44" s="470">
        <v>0.81072190579687198</v>
      </c>
      <c r="W44" s="470">
        <v>0.81072190579687198</v>
      </c>
      <c r="X44" s="470">
        <v>0.81072190579687198</v>
      </c>
      <c r="Y44" s="470">
        <v>0.81072190579687198</v>
      </c>
    </row>
    <row r="45" spans="2:56" outlineLevel="1">
      <c r="B45" s="1115" t="s">
        <v>1572</v>
      </c>
      <c r="C45" s="1113"/>
      <c r="D45" s="1119"/>
      <c r="E45" s="470">
        <v>0</v>
      </c>
      <c r="F45" s="470">
        <v>0</v>
      </c>
      <c r="G45" s="470">
        <v>0.79046836220290784</v>
      </c>
      <c r="H45" s="470">
        <v>3.0708666209461399</v>
      </c>
      <c r="I45" s="470">
        <v>6.9728586699452748</v>
      </c>
      <c r="J45" s="470">
        <v>10.949377499310744</v>
      </c>
      <c r="K45" s="470">
        <v>11.545398632329682</v>
      </c>
      <c r="L45" s="470">
        <v>11.859824771396438</v>
      </c>
      <c r="M45" s="470">
        <v>12.182835497749178</v>
      </c>
      <c r="N45" s="470">
        <v>12.514665191198338</v>
      </c>
      <c r="O45" s="470">
        <v>12.855554630684994</v>
      </c>
      <c r="P45" s="470">
        <v>13.205751168992473</v>
      </c>
      <c r="Q45" s="470">
        <v>13.56550891222799</v>
      </c>
      <c r="R45" s="470">
        <v>13.935088904204601</v>
      </c>
      <c r="S45" s="470">
        <v>14.538009488716117</v>
      </c>
      <c r="T45" s="470">
        <v>15.207287102578583</v>
      </c>
      <c r="U45" s="470">
        <v>15.938698129060121</v>
      </c>
      <c r="V45" s="470">
        <v>16.728988258203621</v>
      </c>
      <c r="W45" s="470">
        <v>17.575717549397957</v>
      </c>
      <c r="X45" s="470">
        <v>18.477131949904507</v>
      </c>
      <c r="Y45" s="470">
        <v>117.0325125437808</v>
      </c>
    </row>
    <row r="46" spans="2:56" outlineLevel="1">
      <c r="B46" s="1115" t="s">
        <v>1573</v>
      </c>
      <c r="C46" s="1113"/>
      <c r="D46" s="1119"/>
      <c r="E46" s="470">
        <f>E45-E44</f>
        <v>-1.9678929999378283</v>
      </c>
      <c r="F46" s="470">
        <f t="shared" ref="F46:Y46" si="6">F45-F44</f>
        <v>-6.6848462610743011</v>
      </c>
      <c r="G46" s="470">
        <f t="shared" si="6"/>
        <v>-10.156644554971903</v>
      </c>
      <c r="H46" s="470">
        <f t="shared" si="6"/>
        <v>-8.473316262903559</v>
      </c>
      <c r="I46" s="470">
        <f t="shared" si="6"/>
        <v>-1.5700823294117825</v>
      </c>
      <c r="J46" s="470">
        <f t="shared" si="6"/>
        <v>9.0905048006071567</v>
      </c>
      <c r="K46" s="470">
        <f t="shared" si="6"/>
        <v>10.734676726532811</v>
      </c>
      <c r="L46" s="470">
        <f t="shared" si="6"/>
        <v>11.049102865599567</v>
      </c>
      <c r="M46" s="470">
        <f t="shared" si="6"/>
        <v>11.372113591952306</v>
      </c>
      <c r="N46" s="470">
        <f t="shared" si="6"/>
        <v>11.703943285401467</v>
      </c>
      <c r="O46" s="470">
        <f t="shared" si="6"/>
        <v>12.044832724888122</v>
      </c>
      <c r="P46" s="470">
        <f t="shared" si="6"/>
        <v>12.395029263195601</v>
      </c>
      <c r="Q46" s="470">
        <f t="shared" si="6"/>
        <v>12.754787006431119</v>
      </c>
      <c r="R46" s="470">
        <f t="shared" si="6"/>
        <v>13.12436699840773</v>
      </c>
      <c r="S46" s="470">
        <f t="shared" si="6"/>
        <v>13.727287582919246</v>
      </c>
      <c r="T46" s="470">
        <f t="shared" si="6"/>
        <v>14.396565196781712</v>
      </c>
      <c r="U46" s="470">
        <f t="shared" si="6"/>
        <v>15.12797622326325</v>
      </c>
      <c r="V46" s="470">
        <f t="shared" si="6"/>
        <v>15.91826635240675</v>
      </c>
      <c r="W46" s="470">
        <f t="shared" si="6"/>
        <v>16.764995643601086</v>
      </c>
      <c r="X46" s="470">
        <f t="shared" si="6"/>
        <v>17.666410044107636</v>
      </c>
      <c r="Y46" s="470">
        <f t="shared" si="6"/>
        <v>116.22179063798393</v>
      </c>
      <c r="Z46" s="470"/>
      <c r="AA46" s="915">
        <v>0</v>
      </c>
      <c r="AB46" s="915">
        <v>1</v>
      </c>
      <c r="AC46" s="915">
        <v>2</v>
      </c>
      <c r="AD46" s="915">
        <v>3</v>
      </c>
      <c r="AE46" s="915">
        <v>4</v>
      </c>
      <c r="AF46" s="915">
        <v>5</v>
      </c>
      <c r="AG46" s="915">
        <v>6</v>
      </c>
      <c r="AH46" s="915">
        <v>7</v>
      </c>
      <c r="AI46" s="915">
        <v>8</v>
      </c>
      <c r="AJ46" s="915">
        <v>9</v>
      </c>
      <c r="AK46" s="915">
        <v>10</v>
      </c>
      <c r="AL46" s="915">
        <v>11</v>
      </c>
      <c r="AM46" s="915">
        <v>12</v>
      </c>
      <c r="AN46" s="915">
        <v>13</v>
      </c>
      <c r="AO46" s="915">
        <v>14</v>
      </c>
      <c r="AP46" s="915">
        <v>15</v>
      </c>
      <c r="AQ46" s="915">
        <v>16</v>
      </c>
      <c r="AR46" s="915">
        <v>17</v>
      </c>
      <c r="AS46" s="915">
        <v>18</v>
      </c>
      <c r="AT46" s="915">
        <v>19</v>
      </c>
      <c r="AU46" s="915">
        <v>20</v>
      </c>
      <c r="AV46" s="475"/>
      <c r="AW46" s="475"/>
      <c r="AX46" s="475"/>
      <c r="AY46" s="475"/>
      <c r="AZ46" s="475"/>
      <c r="BA46" s="475"/>
      <c r="BB46" s="475"/>
      <c r="BC46" s="475"/>
      <c r="BD46" s="475"/>
    </row>
    <row r="47" spans="2:56" outlineLevel="1">
      <c r="B47" s="1115" t="s">
        <v>1561</v>
      </c>
      <c r="C47" s="1113"/>
      <c r="D47" s="1116">
        <f>IRR(E46:Y46)</f>
        <v>0.25448683525860849</v>
      </c>
      <c r="E47" s="470"/>
      <c r="F47" s="470"/>
      <c r="G47" s="470"/>
      <c r="H47" s="470"/>
      <c r="I47" s="470"/>
      <c r="J47" s="470"/>
      <c r="K47" s="470"/>
      <c r="L47" s="470"/>
      <c r="M47" s="470"/>
      <c r="N47" s="470"/>
      <c r="O47" s="470"/>
      <c r="P47" s="470"/>
      <c r="Q47" s="470"/>
      <c r="R47" s="470"/>
      <c r="S47" s="470"/>
      <c r="T47" s="470"/>
      <c r="U47" s="470"/>
      <c r="V47" s="470"/>
      <c r="W47" s="470"/>
      <c r="X47" s="470"/>
      <c r="Z47" s="1006" t="s">
        <v>1574</v>
      </c>
    </row>
    <row r="48" spans="2:56" outlineLevel="1">
      <c r="B48" s="1115" t="s">
        <v>1570</v>
      </c>
      <c r="C48" s="1113"/>
      <c r="D48" s="1117">
        <f>NPV(0.1,E44:Y44)</f>
        <v>33.257780239788389</v>
      </c>
      <c r="E48" s="470"/>
      <c r="F48" s="470"/>
      <c r="G48" s="470"/>
      <c r="H48" s="470"/>
      <c r="I48" s="470"/>
      <c r="J48" s="470"/>
      <c r="K48" s="470"/>
      <c r="L48" s="470"/>
      <c r="M48" s="470"/>
      <c r="N48" s="470"/>
      <c r="O48" s="470"/>
      <c r="P48" s="470"/>
      <c r="Q48" s="470"/>
      <c r="R48" s="470"/>
      <c r="S48" s="470"/>
      <c r="T48" s="470"/>
      <c r="U48" s="470"/>
      <c r="V48" s="470"/>
      <c r="W48" s="470"/>
      <c r="X48" s="470"/>
      <c r="AA48" s="475">
        <f t="shared" ref="AA48:AT48" si="7">E46+E52</f>
        <v>-4.5113074269859306</v>
      </c>
      <c r="AB48" s="475">
        <f t="shared" si="7"/>
        <v>-17.201755213747386</v>
      </c>
      <c r="AC48" s="475">
        <f t="shared" si="7"/>
        <v>-23.142835363882945</v>
      </c>
      <c r="AD48" s="475">
        <f t="shared" si="7"/>
        <v>-20.528837681370696</v>
      </c>
      <c r="AE48" s="475">
        <f t="shared" si="7"/>
        <v>-10.144707810922471</v>
      </c>
      <c r="AF48" s="475">
        <f t="shared" si="7"/>
        <v>7.6974880637522309</v>
      </c>
      <c r="AG48" s="475">
        <f t="shared" si="7"/>
        <v>10.143893385568051</v>
      </c>
      <c r="AH48" s="475">
        <f t="shared" si="7"/>
        <v>10.467176705501153</v>
      </c>
      <c r="AI48" s="475">
        <f t="shared" si="7"/>
        <v>10.799286434988833</v>
      </c>
      <c r="AJ48" s="475">
        <f t="shared" si="7"/>
        <v>11.140463556169117</v>
      </c>
      <c r="AK48" s="475">
        <f t="shared" si="7"/>
        <v>11.490955630570038</v>
      </c>
      <c r="AL48" s="475">
        <f t="shared" si="7"/>
        <v>11.851016978742765</v>
      </c>
      <c r="AM48" s="475">
        <f t="shared" si="7"/>
        <v>12.220908864799114</v>
      </c>
      <c r="AN48" s="475">
        <f t="shared" si="7"/>
        <v>12.600899685987427</v>
      </c>
      <c r="AO48" s="475">
        <f t="shared" si="7"/>
        <v>13.361615081232996</v>
      </c>
      <c r="AP48" s="475">
        <f t="shared" si="7"/>
        <v>14.22587210455303</v>
      </c>
      <c r="AQ48" s="475">
        <f t="shared" si="7"/>
        <v>15.186485688309268</v>
      </c>
      <c r="AR48" s="475">
        <f t="shared" si="7"/>
        <v>16.237873875107077</v>
      </c>
      <c r="AS48" s="475">
        <f t="shared" si="7"/>
        <v>17.375800658892508</v>
      </c>
      <c r="AT48" s="475">
        <f t="shared" si="7"/>
        <v>18.597162710224673</v>
      </c>
      <c r="AU48" s="475"/>
    </row>
    <row r="49" spans="2:29" outlineLevel="1">
      <c r="B49" s="1120" t="s">
        <v>705</v>
      </c>
      <c r="C49" s="1113"/>
      <c r="D49" s="1119"/>
      <c r="E49" s="470"/>
      <c r="F49" s="470"/>
      <c r="G49" s="470"/>
      <c r="H49" s="470"/>
      <c r="I49" s="470"/>
      <c r="J49" s="470"/>
      <c r="K49" s="470"/>
      <c r="L49" s="470"/>
      <c r="M49" s="470"/>
      <c r="N49" s="470"/>
      <c r="O49" s="470"/>
      <c r="P49" s="470"/>
      <c r="Q49" s="470"/>
      <c r="R49" s="470"/>
      <c r="S49" s="470"/>
      <c r="T49" s="470"/>
      <c r="U49" s="470"/>
      <c r="V49" s="470"/>
      <c r="W49" s="470"/>
      <c r="X49" s="470"/>
      <c r="Z49" s="1121" t="s">
        <v>1575</v>
      </c>
      <c r="AA49" s="103">
        <f>IRR(AA48:AT48)</f>
        <v>9.9501763716799863E-2</v>
      </c>
      <c r="AB49" s="115" t="s">
        <v>1576</v>
      </c>
      <c r="AC49" s="474">
        <f>NPV(0.1,AA48:AT48)</f>
        <v>-0.23012528344036876</v>
      </c>
    </row>
    <row r="50" spans="2:29" outlineLevel="1">
      <c r="B50" s="1115" t="s">
        <v>1571</v>
      </c>
      <c r="C50" s="1113"/>
      <c r="D50" s="1119"/>
      <c r="E50" s="470">
        <v>2.5434144270481021</v>
      </c>
      <c r="F50" s="470">
        <v>10.516908952673086</v>
      </c>
      <c r="G50" s="470">
        <v>13.316923038962576</v>
      </c>
      <c r="H50" s="470">
        <v>12.596300385451148</v>
      </c>
      <c r="I50" s="470">
        <v>9.2084745009918585</v>
      </c>
      <c r="J50" s="470">
        <v>2.0041840054957714</v>
      </c>
      <c r="K50" s="470">
        <v>0.9362128049907541</v>
      </c>
      <c r="L50" s="470">
        <v>0.9362128049907541</v>
      </c>
      <c r="M50" s="470">
        <v>0.9362128049907541</v>
      </c>
      <c r="N50" s="470">
        <v>0.9362128049907541</v>
      </c>
      <c r="O50" s="470">
        <v>0.9362128049907541</v>
      </c>
      <c r="P50" s="470">
        <v>0.9362128049907541</v>
      </c>
      <c r="Q50" s="470">
        <v>0.9362128049907541</v>
      </c>
      <c r="R50" s="470">
        <v>0.9362128049907541</v>
      </c>
      <c r="S50" s="470">
        <v>0.9362128049907541</v>
      </c>
      <c r="T50" s="470">
        <v>0.9362128049907541</v>
      </c>
      <c r="U50" s="470">
        <v>0.9362128049907541</v>
      </c>
      <c r="V50" s="470">
        <v>0.9362128049907541</v>
      </c>
      <c r="W50" s="470">
        <v>0.9362128049907541</v>
      </c>
      <c r="X50" s="470">
        <v>0.9362128049907541</v>
      </c>
      <c r="Y50" s="470">
        <v>0.9362128049907541</v>
      </c>
    </row>
    <row r="51" spans="2:29" outlineLevel="1">
      <c r="B51" s="1115" t="s">
        <v>1572</v>
      </c>
      <c r="C51" s="1113"/>
      <c r="D51" s="1119"/>
      <c r="E51" s="470">
        <v>0</v>
      </c>
      <c r="F51" s="470">
        <v>0</v>
      </c>
      <c r="G51" s="470">
        <v>0.33073223005153607</v>
      </c>
      <c r="H51" s="470">
        <v>0.54077896698401096</v>
      </c>
      <c r="I51" s="470">
        <v>0.63384901948116978</v>
      </c>
      <c r="J51" s="470">
        <v>0.61116726864084536</v>
      </c>
      <c r="K51" s="470">
        <v>0.34542946402599439</v>
      </c>
      <c r="L51" s="470">
        <v>0.35428664489233935</v>
      </c>
      <c r="M51" s="470">
        <v>0.36338564802727996</v>
      </c>
      <c r="N51" s="470">
        <v>0.37273307575840459</v>
      </c>
      <c r="O51" s="470">
        <v>0.38233571067267053</v>
      </c>
      <c r="P51" s="470">
        <v>0.39220052053791749</v>
      </c>
      <c r="Q51" s="470">
        <v>0.40233466335874885</v>
      </c>
      <c r="R51" s="470">
        <v>0.41274549257045173</v>
      </c>
      <c r="S51" s="470">
        <v>0.57054030330450445</v>
      </c>
      <c r="T51" s="470">
        <v>0.7655197127620732</v>
      </c>
      <c r="U51" s="470">
        <v>0.99472227003677238</v>
      </c>
      <c r="V51" s="470">
        <v>1.25582032769108</v>
      </c>
      <c r="W51" s="470">
        <v>1.5470178202821767</v>
      </c>
      <c r="X51" s="470">
        <v>1.8669654711077919</v>
      </c>
      <c r="Y51" s="470">
        <v>66.523719096545889</v>
      </c>
    </row>
    <row r="52" spans="2:29" outlineLevel="1">
      <c r="B52" s="1115" t="s">
        <v>1573</v>
      </c>
      <c r="C52" s="1113"/>
      <c r="D52" s="1119"/>
      <c r="E52" s="470">
        <f>E51-E50</f>
        <v>-2.5434144270481021</v>
      </c>
      <c r="F52" s="470">
        <f t="shared" ref="F52:Y52" si="8">F51-F50</f>
        <v>-10.516908952673086</v>
      </c>
      <c r="G52" s="470">
        <f t="shared" si="8"/>
        <v>-12.98619080891104</v>
      </c>
      <c r="H52" s="470">
        <f t="shared" si="8"/>
        <v>-12.055521418467137</v>
      </c>
      <c r="I52" s="470">
        <f t="shared" si="8"/>
        <v>-8.5746254815106884</v>
      </c>
      <c r="J52" s="470">
        <f t="shared" si="8"/>
        <v>-1.393016736854926</v>
      </c>
      <c r="K52" s="470">
        <f t="shared" si="8"/>
        <v>-0.59078334096475971</v>
      </c>
      <c r="L52" s="470">
        <f t="shared" si="8"/>
        <v>-0.58192616009841469</v>
      </c>
      <c r="M52" s="470">
        <f t="shared" si="8"/>
        <v>-0.57282715696347419</v>
      </c>
      <c r="N52" s="470">
        <f t="shared" si="8"/>
        <v>-0.56347972923234946</v>
      </c>
      <c r="O52" s="470">
        <f t="shared" si="8"/>
        <v>-0.55387709431808352</v>
      </c>
      <c r="P52" s="470">
        <f t="shared" si="8"/>
        <v>-0.54401228445283656</v>
      </c>
      <c r="Q52" s="470">
        <f t="shared" si="8"/>
        <v>-0.53387814163200531</v>
      </c>
      <c r="R52" s="470">
        <f t="shared" si="8"/>
        <v>-0.52346731242030242</v>
      </c>
      <c r="S52" s="470">
        <f t="shared" si="8"/>
        <v>-0.36567250168624965</v>
      </c>
      <c r="T52" s="470">
        <f t="shared" si="8"/>
        <v>-0.1706930922286809</v>
      </c>
      <c r="U52" s="470">
        <f t="shared" si="8"/>
        <v>5.8509465046018283E-2</v>
      </c>
      <c r="V52" s="470">
        <f t="shared" si="8"/>
        <v>0.31960752270032589</v>
      </c>
      <c r="W52" s="470">
        <f t="shared" si="8"/>
        <v>0.61080501529142261</v>
      </c>
      <c r="X52" s="470">
        <f t="shared" si="8"/>
        <v>0.93075266611703777</v>
      </c>
      <c r="Y52" s="470">
        <f t="shared" si="8"/>
        <v>65.58750629155513</v>
      </c>
    </row>
    <row r="53" spans="2:29" outlineLevel="1">
      <c r="B53" s="1115" t="s">
        <v>1561</v>
      </c>
      <c r="C53" s="1113"/>
      <c r="D53" s="1116">
        <f>IRR(E52:Y52)</f>
        <v>1.4326901016442406E-2</v>
      </c>
      <c r="E53" s="470"/>
      <c r="F53" s="470"/>
      <c r="G53" s="470"/>
      <c r="H53" s="470"/>
      <c r="I53" s="470"/>
      <c r="J53" s="470"/>
      <c r="K53" s="470"/>
      <c r="L53" s="470"/>
      <c r="M53" s="470"/>
      <c r="N53" s="470"/>
      <c r="O53" s="470"/>
      <c r="P53" s="470"/>
      <c r="Q53" s="470"/>
      <c r="R53" s="470"/>
      <c r="S53" s="470"/>
      <c r="T53" s="470"/>
      <c r="U53" s="470"/>
      <c r="V53" s="470"/>
      <c r="W53" s="470"/>
      <c r="X53" s="470"/>
      <c r="Y53" s="470"/>
    </row>
    <row r="54" spans="2:29" outlineLevel="1">
      <c r="B54" s="1115" t="s">
        <v>1570</v>
      </c>
      <c r="C54" s="1113"/>
      <c r="D54" s="1117">
        <f>NPV(0.1,E50:Y50)</f>
        <v>40.481114555998587</v>
      </c>
      <c r="E54" s="470"/>
      <c r="F54" s="470"/>
      <c r="G54" s="470"/>
      <c r="H54" s="470"/>
      <c r="I54" s="470"/>
      <c r="J54" s="470"/>
      <c r="K54" s="470"/>
      <c r="L54" s="470"/>
      <c r="M54" s="470"/>
      <c r="N54" s="470"/>
      <c r="O54" s="470"/>
      <c r="P54" s="470"/>
      <c r="Q54" s="470"/>
      <c r="R54" s="470"/>
      <c r="S54" s="470"/>
      <c r="T54" s="470"/>
      <c r="U54" s="470"/>
      <c r="V54" s="470"/>
      <c r="W54" s="470"/>
      <c r="X54" s="470"/>
      <c r="Y54" s="470"/>
    </row>
    <row r="55" spans="2:29" outlineLevel="1">
      <c r="B55" s="1122" t="s">
        <v>704</v>
      </c>
      <c r="C55" s="1113"/>
      <c r="D55" s="1119"/>
      <c r="E55" s="470"/>
      <c r="F55" s="470"/>
      <c r="G55" s="470"/>
      <c r="H55" s="470"/>
      <c r="I55" s="470"/>
      <c r="J55" s="470"/>
      <c r="K55" s="470"/>
      <c r="L55" s="470"/>
      <c r="M55" s="470"/>
      <c r="N55" s="470"/>
      <c r="O55" s="470"/>
      <c r="P55" s="470"/>
      <c r="Q55" s="470"/>
      <c r="R55" s="470"/>
      <c r="S55" s="470"/>
      <c r="T55" s="470"/>
      <c r="U55" s="470"/>
      <c r="V55" s="470"/>
      <c r="W55" s="470"/>
      <c r="X55" s="470"/>
      <c r="Y55" s="470"/>
    </row>
    <row r="56" spans="2:29" outlineLevel="1">
      <c r="B56" s="1115" t="s">
        <v>1571</v>
      </c>
      <c r="C56" s="1113"/>
      <c r="D56" s="1119"/>
      <c r="E56" s="470">
        <v>0</v>
      </c>
      <c r="F56" s="470">
        <v>1.5194582980319185</v>
      </c>
      <c r="G56" s="470">
        <v>5.7126239925584992</v>
      </c>
      <c r="H56" s="470">
        <v>8.1895016666750955</v>
      </c>
      <c r="I56" s="470">
        <v>8.1895016666750955</v>
      </c>
      <c r="J56" s="470">
        <v>5.415880702026671</v>
      </c>
      <c r="K56" s="470">
        <v>0.81338803216048916</v>
      </c>
      <c r="L56" s="470">
        <v>0.81338803216048916</v>
      </c>
      <c r="M56" s="470">
        <v>0.81338803216048916</v>
      </c>
      <c r="N56" s="470">
        <v>0.81338803216048916</v>
      </c>
      <c r="O56" s="470">
        <v>0.81338803216048916</v>
      </c>
      <c r="P56" s="470">
        <v>0.81338803216048916</v>
      </c>
      <c r="Q56" s="470">
        <v>0.81338803216048916</v>
      </c>
      <c r="R56" s="470">
        <v>0.81338803216048916</v>
      </c>
      <c r="S56" s="470">
        <v>0.81338803216048916</v>
      </c>
      <c r="T56" s="470">
        <v>0.81338803216048916</v>
      </c>
      <c r="U56" s="470">
        <v>0.81338803216048916</v>
      </c>
      <c r="V56" s="470">
        <v>0.81338803216048916</v>
      </c>
      <c r="W56" s="470">
        <v>0.81338803216048916</v>
      </c>
      <c r="X56" s="470">
        <v>0.81338803216048916</v>
      </c>
      <c r="Y56" s="470">
        <v>0.81338803216048916</v>
      </c>
    </row>
    <row r="57" spans="2:29" outlineLevel="1">
      <c r="B57" s="1115" t="s">
        <v>1572</v>
      </c>
      <c r="C57" s="1113"/>
      <c r="D57" s="1119"/>
      <c r="E57" s="470">
        <v>0</v>
      </c>
      <c r="F57" s="470">
        <v>0</v>
      </c>
      <c r="G57" s="470">
        <v>0.72643057702413172</v>
      </c>
      <c r="H57" s="470">
        <v>2.9757195063887907</v>
      </c>
      <c r="I57" s="470">
        <v>6.8794945117585415</v>
      </c>
      <c r="J57" s="470">
        <v>10.889890060560473</v>
      </c>
      <c r="K57" s="470">
        <v>11.550383772749138</v>
      </c>
      <c r="L57" s="470">
        <v>11.864723534228462</v>
      </c>
      <c r="M57" s="470">
        <v>12.187645524678588</v>
      </c>
      <c r="N57" s="470">
        <v>12.519384059522288</v>
      </c>
      <c r="O57" s="470">
        <v>12.860179851555046</v>
      </c>
      <c r="P57" s="470">
        <v>13.210280185608655</v>
      </c>
      <c r="Q57" s="470">
        <v>13.569939097983575</v>
      </c>
      <c r="R57" s="470">
        <v>13.939417560780186</v>
      </c>
      <c r="S57" s="470">
        <v>14.605033710489611</v>
      </c>
      <c r="T57" s="470">
        <v>15.352754240958697</v>
      </c>
      <c r="U57" s="470">
        <v>16.177087750632126</v>
      </c>
      <c r="V57" s="470">
        <v>17.073782633252261</v>
      </c>
      <c r="W57" s="470">
        <v>18.03962849741237</v>
      </c>
      <c r="X57" s="470">
        <v>19.072291482455256</v>
      </c>
      <c r="Y57" s="470">
        <v>145.22546364396254</v>
      </c>
    </row>
    <row r="58" spans="2:29" outlineLevel="1">
      <c r="B58" s="1115" t="s">
        <v>1573</v>
      </c>
      <c r="C58" s="1113"/>
      <c r="D58" s="1119"/>
      <c r="E58" s="470">
        <f>E57-E56</f>
        <v>0</v>
      </c>
      <c r="F58" s="470">
        <f t="shared" ref="F58:Y58" si="9">F57-F56</f>
        <v>-1.5194582980319185</v>
      </c>
      <c r="G58" s="470">
        <f t="shared" si="9"/>
        <v>-4.9861934155343679</v>
      </c>
      <c r="H58" s="470">
        <f t="shared" si="9"/>
        <v>-5.2137821602863053</v>
      </c>
      <c r="I58" s="470">
        <f t="shared" si="9"/>
        <v>-1.310007154916554</v>
      </c>
      <c r="J58" s="470">
        <f t="shared" si="9"/>
        <v>5.4740093585338023</v>
      </c>
      <c r="K58" s="470">
        <f t="shared" si="9"/>
        <v>10.736995740588648</v>
      </c>
      <c r="L58" s="470">
        <f t="shared" si="9"/>
        <v>11.051335502067973</v>
      </c>
      <c r="M58" s="470">
        <f t="shared" si="9"/>
        <v>11.374257492518099</v>
      </c>
      <c r="N58" s="470">
        <f t="shared" si="9"/>
        <v>11.705996027361799</v>
      </c>
      <c r="O58" s="470">
        <f t="shared" si="9"/>
        <v>12.046791819394556</v>
      </c>
      <c r="P58" s="470">
        <f t="shared" si="9"/>
        <v>12.396892153448166</v>
      </c>
      <c r="Q58" s="470">
        <f t="shared" si="9"/>
        <v>12.756551065823086</v>
      </c>
      <c r="R58" s="470">
        <f t="shared" si="9"/>
        <v>13.126029528619696</v>
      </c>
      <c r="S58" s="470">
        <f t="shared" si="9"/>
        <v>13.791645678329122</v>
      </c>
      <c r="T58" s="470">
        <f t="shared" si="9"/>
        <v>14.539366208798208</v>
      </c>
      <c r="U58" s="470">
        <f t="shared" si="9"/>
        <v>15.363699718471636</v>
      </c>
      <c r="V58" s="470">
        <f t="shared" si="9"/>
        <v>16.260394601091772</v>
      </c>
      <c r="W58" s="470">
        <f t="shared" si="9"/>
        <v>17.22624046525188</v>
      </c>
      <c r="X58" s="470">
        <f t="shared" si="9"/>
        <v>18.258903450294767</v>
      </c>
      <c r="Y58" s="470">
        <f t="shared" si="9"/>
        <v>144.41207561180204</v>
      </c>
    </row>
    <row r="59" spans="2:29" outlineLevel="1">
      <c r="B59" s="1115" t="s">
        <v>1561</v>
      </c>
      <c r="C59" s="1113"/>
      <c r="D59" s="1116">
        <f>IRR(E58:Y58)</f>
        <v>0.42494205753520364</v>
      </c>
      <c r="E59" s="470"/>
      <c r="F59" s="470"/>
      <c r="G59" s="470"/>
      <c r="H59" s="470"/>
      <c r="I59" s="470"/>
      <c r="J59" s="470"/>
      <c r="K59" s="470"/>
      <c r="L59" s="470"/>
      <c r="M59" s="470"/>
      <c r="N59" s="470"/>
      <c r="O59" s="470"/>
      <c r="P59" s="470"/>
      <c r="Q59" s="470"/>
      <c r="R59" s="470"/>
      <c r="S59" s="470"/>
      <c r="T59" s="470"/>
      <c r="U59" s="470"/>
      <c r="V59" s="470"/>
      <c r="W59" s="470"/>
      <c r="X59" s="470"/>
      <c r="Y59" s="470"/>
    </row>
    <row r="60" spans="2:29" outlineLevel="1">
      <c r="B60" s="1115" t="s">
        <v>1570</v>
      </c>
      <c r="C60" s="1113"/>
      <c r="D60" s="1117">
        <f>NPV(0.1,E56:Y56)</f>
        <v>22.775656622821565</v>
      </c>
      <c r="E60" s="470"/>
      <c r="F60" s="470"/>
      <c r="G60" s="470"/>
      <c r="H60" s="470"/>
      <c r="I60" s="470"/>
      <c r="J60" s="470"/>
      <c r="K60" s="470"/>
      <c r="L60" s="470"/>
      <c r="M60" s="470"/>
      <c r="N60" s="470"/>
      <c r="O60" s="470"/>
      <c r="P60" s="470"/>
      <c r="Q60" s="470"/>
      <c r="R60" s="470"/>
      <c r="S60" s="470"/>
      <c r="T60" s="470"/>
      <c r="U60" s="470"/>
      <c r="V60" s="470"/>
      <c r="W60" s="470"/>
      <c r="X60" s="470"/>
      <c r="Y60" s="470"/>
    </row>
    <row r="61" spans="2:29" ht="30" outlineLevel="1">
      <c r="B61" s="1123" t="s">
        <v>1577</v>
      </c>
      <c r="C61" s="1105"/>
      <c r="D61" s="233"/>
      <c r="E61" s="470"/>
      <c r="F61" s="470"/>
      <c r="G61" s="470"/>
      <c r="H61" s="470"/>
      <c r="I61" s="470"/>
      <c r="J61" s="470"/>
      <c r="K61" s="470"/>
      <c r="L61" s="470"/>
      <c r="M61" s="470"/>
      <c r="N61" s="470"/>
      <c r="O61" s="470"/>
      <c r="P61" s="470"/>
      <c r="Q61" s="470"/>
      <c r="R61" s="470"/>
      <c r="S61" s="470"/>
      <c r="T61" s="470"/>
      <c r="U61" s="470"/>
      <c r="V61" s="470"/>
      <c r="W61" s="470"/>
      <c r="X61" s="470"/>
      <c r="Y61" s="470"/>
    </row>
    <row r="62" spans="2:29" outlineLevel="1">
      <c r="B62" s="1115" t="s">
        <v>1571</v>
      </c>
      <c r="C62" s="1105"/>
      <c r="D62" s="233"/>
      <c r="E62" s="470">
        <v>0.73752838953455435</v>
      </c>
      <c r="F62" s="470">
        <v>2.6359912935646053</v>
      </c>
      <c r="G62" s="470">
        <v>3.6627523782109117</v>
      </c>
      <c r="H62" s="470">
        <v>3.4084655601581839</v>
      </c>
      <c r="I62" s="470">
        <v>2.4520117954991871</v>
      </c>
      <c r="J62" s="470">
        <v>0.53366995006910023</v>
      </c>
      <c r="K62" s="470">
        <v>0.38087336825660073</v>
      </c>
      <c r="L62" s="470">
        <v>0.38087336825660073</v>
      </c>
      <c r="M62" s="470">
        <v>0.38087336825660073</v>
      </c>
      <c r="N62" s="470">
        <v>0.38087336825660073</v>
      </c>
      <c r="O62" s="470">
        <v>0.38087336825660073</v>
      </c>
      <c r="P62" s="470">
        <v>0.38087336825660073</v>
      </c>
      <c r="Q62" s="470">
        <v>0.38087336825660073</v>
      </c>
      <c r="R62" s="470">
        <v>0.38087336825660073</v>
      </c>
      <c r="S62" s="470">
        <v>0.38087336825660073</v>
      </c>
      <c r="T62" s="470">
        <v>0.38087336825660073</v>
      </c>
      <c r="U62" s="470">
        <v>0.38087336825660073</v>
      </c>
      <c r="V62" s="470">
        <v>0.38087336825660073</v>
      </c>
      <c r="W62" s="470">
        <v>0.38087336825660073</v>
      </c>
      <c r="X62" s="470">
        <v>0.38087336825660073</v>
      </c>
      <c r="Y62" s="470">
        <v>0.38087336825660073</v>
      </c>
    </row>
    <row r="63" spans="2:29" outlineLevel="1">
      <c r="B63" s="1115" t="s">
        <v>1572</v>
      </c>
      <c r="C63" s="1105"/>
      <c r="D63" s="233"/>
      <c r="E63" s="473">
        <v>0</v>
      </c>
      <c r="F63" s="473">
        <v>0</v>
      </c>
      <c r="G63" s="473">
        <v>0.11919045289527193</v>
      </c>
      <c r="H63" s="473">
        <v>0.19364763955539765</v>
      </c>
      <c r="I63" s="473">
        <v>0.22481690080878186</v>
      </c>
      <c r="J63" s="473">
        <v>0.22337916763271695</v>
      </c>
      <c r="K63" s="473">
        <v>0.13461998000023789</v>
      </c>
      <c r="L63" s="473">
        <v>0.13807178025256417</v>
      </c>
      <c r="M63" s="473">
        <v>0.14161782292585401</v>
      </c>
      <c r="N63" s="473">
        <v>0.14526068106410178</v>
      </c>
      <c r="O63" s="473">
        <v>0.14900299796157057</v>
      </c>
      <c r="P63" s="473">
        <v>0.15284748908079299</v>
      </c>
      <c r="Q63" s="473">
        <v>0.1567969440229377</v>
      </c>
      <c r="R63" s="473">
        <v>0.16085422855197223</v>
      </c>
      <c r="S63" s="473">
        <v>0.22234966098433984</v>
      </c>
      <c r="T63" s="473">
        <v>0.29833659011225261</v>
      </c>
      <c r="U63" s="473">
        <v>0.38766088606750876</v>
      </c>
      <c r="V63" s="473">
        <v>0.48941542341895727</v>
      </c>
      <c r="W63" s="473">
        <v>0.60290024365358252</v>
      </c>
      <c r="X63" s="473">
        <v>0.7275895097435946</v>
      </c>
      <c r="Y63" s="472">
        <v>25.925471527363811</v>
      </c>
    </row>
    <row r="64" spans="2:29" outlineLevel="1">
      <c r="B64" s="1115" t="s">
        <v>1573</v>
      </c>
      <c r="C64" s="1105"/>
      <c r="D64" s="233"/>
      <c r="E64" s="470">
        <f>E63-E62</f>
        <v>-0.73752838953455435</v>
      </c>
      <c r="F64" s="470">
        <f t="shared" ref="F64:Y64" si="10">F63-F62</f>
        <v>-2.6359912935646053</v>
      </c>
      <c r="G64" s="470">
        <f t="shared" si="10"/>
        <v>-3.5435619253156396</v>
      </c>
      <c r="H64" s="470">
        <f t="shared" si="10"/>
        <v>-3.214817920602786</v>
      </c>
      <c r="I64" s="470">
        <f t="shared" si="10"/>
        <v>-2.2271948946904052</v>
      </c>
      <c r="J64" s="470">
        <f t="shared" si="10"/>
        <v>-0.31029078243638331</v>
      </c>
      <c r="K64" s="470">
        <f t="shared" si="10"/>
        <v>-0.24625338825636284</v>
      </c>
      <c r="L64" s="470">
        <f t="shared" si="10"/>
        <v>-0.24280158800403656</v>
      </c>
      <c r="M64" s="470">
        <f t="shared" si="10"/>
        <v>-0.23925554533074672</v>
      </c>
      <c r="N64" s="470">
        <f t="shared" si="10"/>
        <v>-0.23561268719249895</v>
      </c>
      <c r="O64" s="470">
        <f t="shared" si="10"/>
        <v>-0.23187037029503016</v>
      </c>
      <c r="P64" s="470">
        <f t="shared" si="10"/>
        <v>-0.22802587917580774</v>
      </c>
      <c r="Q64" s="470">
        <f t="shared" si="10"/>
        <v>-0.22407642423366303</v>
      </c>
      <c r="R64" s="470">
        <f t="shared" si="10"/>
        <v>-0.2200191397046285</v>
      </c>
      <c r="S64" s="470">
        <f t="shared" si="10"/>
        <v>-0.15852370727226089</v>
      </c>
      <c r="T64" s="470">
        <f t="shared" si="10"/>
        <v>-8.2536778144348122E-2</v>
      </c>
      <c r="U64" s="470">
        <f t="shared" si="10"/>
        <v>6.7875178109080281E-3</v>
      </c>
      <c r="V64" s="470">
        <f t="shared" si="10"/>
        <v>0.10854205516235654</v>
      </c>
      <c r="W64" s="470">
        <f t="shared" si="10"/>
        <v>0.22202687539698179</v>
      </c>
      <c r="X64" s="470">
        <f t="shared" si="10"/>
        <v>0.34671614148699387</v>
      </c>
      <c r="Y64" s="470">
        <f t="shared" si="10"/>
        <v>25.54459815910721</v>
      </c>
    </row>
    <row r="65" spans="2:25" outlineLevel="1">
      <c r="B65" s="1115" t="s">
        <v>1561</v>
      </c>
      <c r="C65" s="1105"/>
      <c r="D65" s="1116">
        <f>IRR(E64:Y64)</f>
        <v>3.5026146571138117E-2</v>
      </c>
      <c r="E65" s="470"/>
      <c r="F65" s="470"/>
      <c r="G65" s="470"/>
      <c r="H65" s="470"/>
      <c r="I65" s="470"/>
      <c r="J65" s="470"/>
      <c r="K65" s="470"/>
      <c r="L65" s="470"/>
      <c r="M65" s="470"/>
      <c r="N65" s="470"/>
      <c r="O65" s="470"/>
      <c r="P65" s="470"/>
      <c r="Q65" s="470"/>
      <c r="R65" s="470"/>
      <c r="S65" s="470"/>
      <c r="T65" s="470"/>
      <c r="U65" s="470"/>
      <c r="V65" s="470"/>
      <c r="W65" s="470"/>
      <c r="X65" s="470"/>
      <c r="Y65" s="470"/>
    </row>
    <row r="66" spans="2:25" outlineLevel="1">
      <c r="B66" s="1115" t="s">
        <v>1570</v>
      </c>
      <c r="C66" s="1105"/>
      <c r="D66" s="1117">
        <f>NPV(0.1,E62:Y62)</f>
        <v>11.387897164501098</v>
      </c>
      <c r="E66" s="470"/>
      <c r="F66" s="470"/>
      <c r="G66" s="470"/>
      <c r="H66" s="470"/>
      <c r="I66" s="470"/>
      <c r="J66" s="470"/>
      <c r="K66" s="470"/>
      <c r="L66" s="470"/>
      <c r="M66" s="470"/>
      <c r="N66" s="470"/>
      <c r="O66" s="470"/>
      <c r="P66" s="470"/>
      <c r="Q66" s="470"/>
      <c r="R66" s="470"/>
      <c r="S66" s="470"/>
      <c r="T66" s="470"/>
      <c r="U66" s="470"/>
      <c r="V66" s="470"/>
      <c r="W66" s="470"/>
      <c r="X66" s="470"/>
      <c r="Y66" s="470"/>
    </row>
    <row r="67" spans="2:25" ht="30" outlineLevel="1">
      <c r="B67" s="1123" t="s">
        <v>1578</v>
      </c>
      <c r="C67" s="1105"/>
      <c r="D67" s="233"/>
      <c r="E67" s="470"/>
      <c r="F67" s="470"/>
      <c r="G67" s="470"/>
      <c r="H67" s="470"/>
      <c r="I67" s="470"/>
      <c r="J67" s="470"/>
      <c r="K67" s="470"/>
      <c r="L67" s="470"/>
      <c r="M67" s="470"/>
      <c r="N67" s="470"/>
      <c r="O67" s="470"/>
      <c r="P67" s="470"/>
      <c r="Q67" s="470"/>
      <c r="R67" s="470"/>
      <c r="S67" s="470"/>
      <c r="T67" s="470"/>
      <c r="U67" s="470"/>
      <c r="V67" s="470"/>
      <c r="W67" s="470"/>
      <c r="X67" s="470"/>
      <c r="Y67" s="470"/>
    </row>
    <row r="68" spans="2:25" outlineLevel="1">
      <c r="B68" s="1115" t="s">
        <v>1571</v>
      </c>
      <c r="C68" s="1105"/>
      <c r="D68" s="233"/>
      <c r="E68" s="470">
        <v>0.73752838953455435</v>
      </c>
      <c r="F68" s="470">
        <v>2.6359912935646053</v>
      </c>
      <c r="G68" s="470">
        <v>3.6627523782109117</v>
      </c>
      <c r="H68" s="470">
        <v>3.4084655601581839</v>
      </c>
      <c r="I68" s="470">
        <v>2.4520117954991871</v>
      </c>
      <c r="J68" s="470">
        <v>0.53366995006910023</v>
      </c>
      <c r="K68" s="470">
        <v>0.31661196783951068</v>
      </c>
      <c r="L68" s="470">
        <v>0.31661196783951068</v>
      </c>
      <c r="M68" s="470">
        <v>0.31661196783951068</v>
      </c>
      <c r="N68" s="470">
        <v>0.31661196783951068</v>
      </c>
      <c r="O68" s="470">
        <v>0.31661196783951068</v>
      </c>
      <c r="P68" s="470">
        <v>0.31661196783951068</v>
      </c>
      <c r="Q68" s="470">
        <v>0.31661196783951068</v>
      </c>
      <c r="R68" s="470">
        <v>0.31661196783951068</v>
      </c>
      <c r="S68" s="470">
        <v>0.31661196783951068</v>
      </c>
      <c r="T68" s="470">
        <v>0.31661196783951068</v>
      </c>
      <c r="U68" s="470">
        <v>0.31661196783951068</v>
      </c>
      <c r="V68" s="470">
        <v>0.31661196783951068</v>
      </c>
      <c r="W68" s="470">
        <v>0.31661196783951068</v>
      </c>
      <c r="X68" s="470">
        <v>0.31661196783951068</v>
      </c>
      <c r="Y68" s="470">
        <v>0.31661196783951068</v>
      </c>
    </row>
    <row r="69" spans="2:25" outlineLevel="1">
      <c r="B69" s="1115" t="s">
        <v>1572</v>
      </c>
      <c r="C69" s="1105"/>
      <c r="D69" s="233"/>
      <c r="E69" s="470">
        <v>0</v>
      </c>
      <c r="F69" s="470">
        <v>0</v>
      </c>
      <c r="G69" s="470">
        <v>0.1170681545325111</v>
      </c>
      <c r="H69" s="470">
        <v>0.18276592832301039</v>
      </c>
      <c r="I69" s="470">
        <v>0.19803456091560864</v>
      </c>
      <c r="J69" s="470">
        <v>0.17989012687355127</v>
      </c>
      <c r="K69" s="470">
        <v>8.7670193906301458E-2</v>
      </c>
      <c r="L69" s="470">
        <v>8.9918151434201316E-2</v>
      </c>
      <c r="M69" s="470">
        <v>9.2227483591038578E-2</v>
      </c>
      <c r="N69" s="470">
        <v>9.4599866051300163E-2</v>
      </c>
      <c r="O69" s="470">
        <v>9.7037020239403138E-2</v>
      </c>
      <c r="P69" s="470">
        <v>9.9540714578777473E-2</v>
      </c>
      <c r="Q69" s="470">
        <v>0.10211276577505177</v>
      </c>
      <c r="R69" s="470">
        <v>0.10475504013427289</v>
      </c>
      <c r="S69" s="470">
        <v>0.14480345260386324</v>
      </c>
      <c r="T69" s="470">
        <v>0.19428933732154569</v>
      </c>
      <c r="U69" s="470">
        <v>0.25246107636746828</v>
      </c>
      <c r="V69" s="470">
        <v>0.31872791150168622</v>
      </c>
      <c r="W69" s="470">
        <v>0.39263400029603729</v>
      </c>
      <c r="X69" s="470">
        <v>0.47383689555814068</v>
      </c>
      <c r="Y69" s="470">
        <v>16.883757640673132</v>
      </c>
    </row>
    <row r="70" spans="2:25" outlineLevel="1">
      <c r="B70" s="1115" t="s">
        <v>1573</v>
      </c>
      <c r="C70" s="1105"/>
      <c r="D70" s="233"/>
      <c r="E70" s="470">
        <f>E69-E68</f>
        <v>-0.73752838953455435</v>
      </c>
      <c r="F70" s="470">
        <f t="shared" ref="F70:Y70" si="11">F69-F68</f>
        <v>-2.6359912935646053</v>
      </c>
      <c r="G70" s="470">
        <f t="shared" si="11"/>
        <v>-3.5456842236784007</v>
      </c>
      <c r="H70" s="470">
        <f t="shared" si="11"/>
        <v>-3.2256996318351736</v>
      </c>
      <c r="I70" s="470">
        <f t="shared" si="11"/>
        <v>-2.2539772345835787</v>
      </c>
      <c r="J70" s="470">
        <f t="shared" si="11"/>
        <v>-0.35377982319554896</v>
      </c>
      <c r="K70" s="470">
        <f t="shared" si="11"/>
        <v>-0.22894177393320922</v>
      </c>
      <c r="L70" s="470">
        <f t="shared" si="11"/>
        <v>-0.22669381640530936</v>
      </c>
      <c r="M70" s="470">
        <f t="shared" si="11"/>
        <v>-0.2243844842484721</v>
      </c>
      <c r="N70" s="470">
        <f t="shared" si="11"/>
        <v>-0.22201210178821051</v>
      </c>
      <c r="O70" s="470">
        <f t="shared" si="11"/>
        <v>-0.21957494760010754</v>
      </c>
      <c r="P70" s="470">
        <f t="shared" si="11"/>
        <v>-0.2170712532607332</v>
      </c>
      <c r="Q70" s="470">
        <f t="shared" si="11"/>
        <v>-0.21449920206445891</v>
      </c>
      <c r="R70" s="470">
        <f t="shared" si="11"/>
        <v>-0.21185692770523779</v>
      </c>
      <c r="S70" s="470">
        <f t="shared" si="11"/>
        <v>-0.17180851523564744</v>
      </c>
      <c r="T70" s="470">
        <f t="shared" si="11"/>
        <v>-0.12232263051796499</v>
      </c>
      <c r="U70" s="470">
        <f t="shared" si="11"/>
        <v>-6.4150891472042393E-2</v>
      </c>
      <c r="V70" s="470">
        <f t="shared" si="11"/>
        <v>2.1159436621755456E-3</v>
      </c>
      <c r="W70" s="470">
        <f t="shared" si="11"/>
        <v>7.6022032456526611E-2</v>
      </c>
      <c r="X70" s="470">
        <f t="shared" si="11"/>
        <v>0.15722492771863</v>
      </c>
      <c r="Y70" s="470">
        <f t="shared" si="11"/>
        <v>16.567145672833622</v>
      </c>
    </row>
    <row r="71" spans="2:25" outlineLevel="1">
      <c r="B71" s="1115" t="s">
        <v>1561</v>
      </c>
      <c r="C71" s="1105"/>
      <c r="D71" s="1116">
        <f>IRR(E70:Y70)</f>
        <v>7.4013787250037932E-3</v>
      </c>
      <c r="E71" s="470"/>
      <c r="F71" s="470"/>
      <c r="G71" s="470"/>
      <c r="H71" s="470"/>
      <c r="I71" s="470"/>
      <c r="J71" s="470"/>
      <c r="K71" s="470"/>
      <c r="L71" s="470"/>
      <c r="M71" s="470"/>
      <c r="N71" s="470"/>
      <c r="O71" s="470"/>
      <c r="P71" s="470"/>
      <c r="Q71" s="470"/>
      <c r="R71" s="470"/>
      <c r="S71" s="470"/>
      <c r="T71" s="470"/>
      <c r="U71" s="470"/>
      <c r="V71" s="470"/>
      <c r="W71" s="470"/>
      <c r="X71" s="470"/>
      <c r="Y71" s="470"/>
    </row>
    <row r="72" spans="2:25" outlineLevel="1">
      <c r="B72" s="1115" t="s">
        <v>1570</v>
      </c>
      <c r="C72" s="1105"/>
      <c r="D72" s="1117">
        <f>NPV(0.1,E68:Y68)</f>
        <v>11.111995109331048</v>
      </c>
      <c r="E72" s="470"/>
      <c r="F72" s="470"/>
      <c r="G72" s="470"/>
      <c r="H72" s="470"/>
      <c r="I72" s="470"/>
      <c r="J72" s="470"/>
      <c r="K72" s="470"/>
      <c r="L72" s="470"/>
      <c r="M72" s="470"/>
      <c r="N72" s="470"/>
      <c r="O72" s="470"/>
      <c r="P72" s="470"/>
      <c r="Q72" s="470"/>
      <c r="R72" s="470"/>
      <c r="S72" s="470"/>
      <c r="T72" s="470"/>
      <c r="U72" s="470"/>
      <c r="V72" s="470"/>
      <c r="W72" s="470"/>
      <c r="X72" s="470"/>
      <c r="Y72" s="470"/>
    </row>
    <row r="73" spans="2:25" outlineLevel="1">
      <c r="B73" s="1122" t="s">
        <v>703</v>
      </c>
      <c r="C73" s="1105"/>
      <c r="D73" s="1117"/>
      <c r="E73" s="470"/>
      <c r="F73" s="470"/>
      <c r="G73" s="470"/>
      <c r="H73" s="470"/>
      <c r="I73" s="470"/>
      <c r="J73" s="470"/>
      <c r="K73" s="470"/>
      <c r="L73" s="470"/>
      <c r="M73" s="470"/>
      <c r="N73" s="470"/>
      <c r="O73" s="470"/>
      <c r="P73" s="470"/>
      <c r="Q73" s="470"/>
      <c r="R73" s="470"/>
      <c r="S73" s="470"/>
      <c r="T73" s="470"/>
      <c r="U73" s="470"/>
      <c r="V73" s="470"/>
      <c r="W73" s="470"/>
      <c r="X73" s="470"/>
      <c r="Y73" s="470"/>
    </row>
    <row r="74" spans="2:25" outlineLevel="1">
      <c r="B74" s="1115" t="s">
        <v>1571</v>
      </c>
      <c r="C74" s="1105"/>
      <c r="D74" s="471"/>
      <c r="E74" s="470">
        <v>0</v>
      </c>
      <c r="F74" s="470">
        <v>0.6014714863077042</v>
      </c>
      <c r="G74" s="470">
        <v>2.8225013962943617</v>
      </c>
      <c r="H74" s="470">
        <v>4.0804184397809324</v>
      </c>
      <c r="I74" s="470">
        <v>4.0804184397809324</v>
      </c>
      <c r="J74" s="470">
        <v>2.709863024453389</v>
      </c>
      <c r="K74" s="470">
        <v>0.58879617737160594</v>
      </c>
      <c r="L74" s="470">
        <v>0.58879617737160594</v>
      </c>
      <c r="M74" s="470">
        <v>0.58879617737160594</v>
      </c>
      <c r="N74" s="470">
        <v>0.58879617737160594</v>
      </c>
      <c r="O74" s="470">
        <v>0.58879617737160594</v>
      </c>
      <c r="P74" s="470">
        <v>0.58879617737160594</v>
      </c>
      <c r="Q74" s="470">
        <v>0.58879617737160594</v>
      </c>
      <c r="R74" s="470">
        <v>0.58879617737160594</v>
      </c>
      <c r="S74" s="470">
        <v>0.58879617737160594</v>
      </c>
      <c r="T74" s="470">
        <v>0.58879617737160594</v>
      </c>
      <c r="U74" s="470">
        <v>0.58879617737160594</v>
      </c>
      <c r="V74" s="470">
        <v>0.58879617737160594</v>
      </c>
      <c r="W74" s="470">
        <v>0.58879617737160594</v>
      </c>
      <c r="X74" s="470">
        <v>0.58879617737160594</v>
      </c>
      <c r="Y74" s="470">
        <v>0.58879617737160594</v>
      </c>
    </row>
    <row r="75" spans="2:25" outlineLevel="1">
      <c r="B75" s="1115" t="s">
        <v>1572</v>
      </c>
      <c r="C75" s="1105"/>
      <c r="D75" s="471"/>
      <c r="E75" s="470">
        <v>0</v>
      </c>
      <c r="F75" s="470">
        <v>0</v>
      </c>
      <c r="G75" s="470">
        <v>0.31069575190676368</v>
      </c>
      <c r="H75" s="470">
        <v>1.2173994171081233</v>
      </c>
      <c r="I75" s="470">
        <v>2.7725250041084792</v>
      </c>
      <c r="J75" s="470">
        <v>4.3594370085217902</v>
      </c>
      <c r="K75" s="470">
        <v>4.6011977340348773</v>
      </c>
      <c r="L75" s="470">
        <v>4.7263674663128175</v>
      </c>
      <c r="M75" s="470">
        <v>4.8549546323177761</v>
      </c>
      <c r="N75" s="470">
        <v>4.9870525361822029</v>
      </c>
      <c r="O75" s="470">
        <v>5.1227570294650056</v>
      </c>
      <c r="P75" s="470">
        <v>5.2621665807024156</v>
      </c>
      <c r="Q75" s="470">
        <v>5.4053823468577402</v>
      </c>
      <c r="R75" s="470">
        <v>5.5525082467218541</v>
      </c>
      <c r="S75" s="470">
        <v>5.831798889078434</v>
      </c>
      <c r="T75" s="470">
        <v>6.1473555582482042</v>
      </c>
      <c r="U75" s="470">
        <v>6.4967040675462036</v>
      </c>
      <c r="V75" s="470">
        <v>6.8779252628275724</v>
      </c>
      <c r="W75" s="470">
        <v>7.2895660497264174</v>
      </c>
      <c r="X75" s="470">
        <v>7.7305656058667829</v>
      </c>
      <c r="Y75" s="470">
        <v>64.223841011424327</v>
      </c>
    </row>
    <row r="76" spans="2:25" outlineLevel="1">
      <c r="B76" s="1115" t="s">
        <v>1573</v>
      </c>
      <c r="C76" s="1105"/>
      <c r="D76" s="471"/>
      <c r="E76" s="470">
        <f>E75-E74</f>
        <v>0</v>
      </c>
      <c r="F76" s="470">
        <f t="shared" ref="F76:Y76" si="12">F75-F74</f>
        <v>-0.6014714863077042</v>
      </c>
      <c r="G76" s="470">
        <f t="shared" si="12"/>
        <v>-2.5118056443875982</v>
      </c>
      <c r="H76" s="470">
        <f t="shared" si="12"/>
        <v>-2.8630190226728089</v>
      </c>
      <c r="I76" s="470">
        <f t="shared" si="12"/>
        <v>-1.3078934356724532</v>
      </c>
      <c r="J76" s="470">
        <f t="shared" si="12"/>
        <v>1.6495739840684012</v>
      </c>
      <c r="K76" s="470">
        <f t="shared" si="12"/>
        <v>4.0124015566632716</v>
      </c>
      <c r="L76" s="470">
        <f t="shared" si="12"/>
        <v>4.1375712889412117</v>
      </c>
      <c r="M76" s="470">
        <f t="shared" si="12"/>
        <v>4.2661584549461704</v>
      </c>
      <c r="N76" s="470">
        <f t="shared" si="12"/>
        <v>4.3982563588105972</v>
      </c>
      <c r="O76" s="470">
        <f t="shared" si="12"/>
        <v>4.5339608520933998</v>
      </c>
      <c r="P76" s="470">
        <f t="shared" si="12"/>
        <v>4.6733704033308099</v>
      </c>
      <c r="Q76" s="470">
        <f t="shared" si="12"/>
        <v>4.8165861694861345</v>
      </c>
      <c r="R76" s="470">
        <f t="shared" si="12"/>
        <v>4.9637120693502483</v>
      </c>
      <c r="S76" s="470">
        <f t="shared" si="12"/>
        <v>5.2430027117068283</v>
      </c>
      <c r="T76" s="470">
        <f t="shared" si="12"/>
        <v>5.5585593808765985</v>
      </c>
      <c r="U76" s="470">
        <f t="shared" si="12"/>
        <v>5.9079078901745978</v>
      </c>
      <c r="V76" s="470">
        <f t="shared" si="12"/>
        <v>6.2891290854559667</v>
      </c>
      <c r="W76" s="470">
        <f t="shared" si="12"/>
        <v>6.7007698723548117</v>
      </c>
      <c r="X76" s="470">
        <f t="shared" si="12"/>
        <v>7.1417694284951772</v>
      </c>
      <c r="Y76" s="470">
        <f t="shared" si="12"/>
        <v>63.635044834052721</v>
      </c>
    </row>
    <row r="77" spans="2:25" outlineLevel="1">
      <c r="B77" s="1115" t="s">
        <v>1561</v>
      </c>
      <c r="C77" s="1105"/>
      <c r="D77" s="1116">
        <f>IRR(E76:Y76)</f>
        <v>0.34425754285929289</v>
      </c>
      <c r="E77" s="470"/>
      <c r="F77" s="470"/>
      <c r="G77" s="470"/>
      <c r="H77" s="470"/>
      <c r="I77" s="470"/>
      <c r="J77" s="470"/>
      <c r="K77" s="470"/>
      <c r="L77" s="470"/>
      <c r="M77" s="470"/>
      <c r="N77" s="470"/>
      <c r="O77" s="470"/>
      <c r="P77" s="470"/>
      <c r="Q77" s="470"/>
      <c r="R77" s="470"/>
      <c r="S77" s="470"/>
      <c r="T77" s="470"/>
      <c r="U77" s="470"/>
      <c r="V77" s="470"/>
      <c r="W77" s="470"/>
      <c r="X77" s="470"/>
      <c r="Y77" s="470"/>
    </row>
    <row r="78" spans="2:25" outlineLevel="1">
      <c r="B78" s="1115" t="s">
        <v>1570</v>
      </c>
      <c r="C78" s="1105"/>
      <c r="D78" s="1117">
        <f>NPV(0.1,E74:Y74)</f>
        <v>11.995874779370912</v>
      </c>
      <c r="E78" s="470"/>
      <c r="F78" s="470"/>
      <c r="G78" s="470"/>
      <c r="H78" s="470"/>
      <c r="I78" s="470"/>
      <c r="J78" s="470"/>
      <c r="K78" s="470"/>
      <c r="L78" s="470"/>
      <c r="M78" s="470"/>
      <c r="N78" s="470"/>
      <c r="O78" s="470"/>
      <c r="P78" s="470"/>
      <c r="Q78" s="470"/>
      <c r="R78" s="470"/>
      <c r="S78" s="470"/>
      <c r="T78" s="470"/>
      <c r="U78" s="470"/>
      <c r="V78" s="470"/>
      <c r="W78" s="470"/>
      <c r="X78" s="470"/>
      <c r="Y78" s="470"/>
    </row>
    <row r="79" spans="2:25" outlineLevel="1">
      <c r="B79" s="1122" t="s">
        <v>702</v>
      </c>
      <c r="C79" s="1105"/>
      <c r="D79" s="471"/>
      <c r="E79" s="470"/>
      <c r="F79" s="470"/>
      <c r="G79" s="470"/>
      <c r="H79" s="470"/>
      <c r="I79" s="470"/>
      <c r="J79" s="470"/>
      <c r="K79" s="470"/>
      <c r="L79" s="470"/>
      <c r="M79" s="470"/>
      <c r="N79" s="470"/>
      <c r="O79" s="470"/>
      <c r="P79" s="470"/>
      <c r="Q79" s="470"/>
      <c r="R79" s="470"/>
      <c r="S79" s="470"/>
      <c r="T79" s="470"/>
      <c r="U79" s="470"/>
      <c r="V79" s="470"/>
      <c r="W79" s="470"/>
      <c r="X79" s="470"/>
      <c r="Y79" s="470"/>
    </row>
    <row r="80" spans="2:25" outlineLevel="1">
      <c r="B80" s="1118" t="s">
        <v>1579</v>
      </c>
      <c r="C80" s="1105"/>
      <c r="D80" s="233"/>
      <c r="E80" s="470"/>
      <c r="F80" s="470"/>
      <c r="G80" s="470"/>
      <c r="H80" s="470"/>
      <c r="I80" s="470"/>
      <c r="J80" s="470"/>
      <c r="K80" s="470"/>
      <c r="L80" s="470"/>
      <c r="M80" s="470"/>
      <c r="N80" s="470"/>
      <c r="O80" s="470"/>
      <c r="P80" s="470"/>
      <c r="Q80" s="470"/>
      <c r="R80" s="470"/>
      <c r="S80" s="470"/>
      <c r="T80" s="470"/>
      <c r="U80" s="470"/>
      <c r="V80" s="470"/>
      <c r="W80" s="470"/>
      <c r="X80" s="470"/>
      <c r="Y80" s="470"/>
    </row>
    <row r="81" spans="2:25" outlineLevel="1">
      <c r="B81" s="1115" t="s">
        <v>1571</v>
      </c>
      <c r="C81" s="1105"/>
      <c r="D81" s="233"/>
      <c r="E81" s="470">
        <v>0</v>
      </c>
      <c r="F81" s="470">
        <v>1.1074423212863731</v>
      </c>
      <c r="G81" s="470">
        <v>7.7752586546403251</v>
      </c>
      <c r="H81" s="470">
        <v>8.6116943225546656</v>
      </c>
      <c r="I81" s="470">
        <v>8.6116943225546656</v>
      </c>
      <c r="J81" s="470">
        <v>5.6203296708133879</v>
      </c>
      <c r="K81" s="470">
        <v>1.821203822628394</v>
      </c>
      <c r="L81" s="470">
        <v>1.821203822628394</v>
      </c>
      <c r="M81" s="470">
        <v>1.821203822628394</v>
      </c>
      <c r="N81" s="470">
        <v>1.821203822628394</v>
      </c>
      <c r="O81" s="470">
        <v>1.821203822628394</v>
      </c>
      <c r="P81" s="470">
        <v>1.821203822628394</v>
      </c>
      <c r="Q81" s="470">
        <v>1.821203822628394</v>
      </c>
      <c r="R81" s="470">
        <v>1.821203822628394</v>
      </c>
      <c r="S81" s="470">
        <v>1.821203822628394</v>
      </c>
      <c r="T81" s="470">
        <v>1.821203822628394</v>
      </c>
      <c r="U81" s="470">
        <v>1.821203822628394</v>
      </c>
      <c r="V81" s="470">
        <v>1.821203822628394</v>
      </c>
      <c r="W81" s="470">
        <v>1.821203822628394</v>
      </c>
      <c r="X81" s="470">
        <v>1.821203822628394</v>
      </c>
      <c r="Y81" s="470">
        <v>1.821203822628394</v>
      </c>
    </row>
    <row r="82" spans="2:25" outlineLevel="1">
      <c r="B82" s="1115" t="s">
        <v>1572</v>
      </c>
      <c r="C82" s="1105"/>
      <c r="D82" s="233"/>
      <c r="E82" s="470">
        <v>0</v>
      </c>
      <c r="F82" s="470">
        <v>0</v>
      </c>
      <c r="G82" s="470">
        <v>0.66663843072406215</v>
      </c>
      <c r="H82" s="470">
        <v>0.97760385784648141</v>
      </c>
      <c r="I82" s="470">
        <v>0.93329186617300064</v>
      </c>
      <c r="J82" s="470">
        <v>0.64230651506341097</v>
      </c>
      <c r="K82" s="470">
        <v>3.6835771911055928E-2</v>
      </c>
      <c r="L82" s="470">
        <v>3.7780280495717661E-2</v>
      </c>
      <c r="M82" s="470">
        <v>3.8750576428757795E-2</v>
      </c>
      <c r="N82" s="470">
        <v>3.9747363766600152E-2</v>
      </c>
      <c r="O82" s="470">
        <v>4.0771365788096571E-2</v>
      </c>
      <c r="P82" s="470">
        <v>4.1823325519345277E-2</v>
      </c>
      <c r="Q82" s="470">
        <v>4.2904006272838031E-2</v>
      </c>
      <c r="R82" s="470">
        <v>4.4014192201327296E-2</v>
      </c>
      <c r="S82" s="470">
        <v>6.0841053434306576E-2</v>
      </c>
      <c r="T82" s="470">
        <v>8.1633191344091027E-2</v>
      </c>
      <c r="U82" s="470">
        <v>0.10607480388866025</v>
      </c>
      <c r="V82" s="470">
        <v>0.13391767631210258</v>
      </c>
      <c r="W82" s="470">
        <v>0.16497028049108445</v>
      </c>
      <c r="X82" s="470">
        <v>0.19908873278501982</v>
      </c>
      <c r="Y82" s="470">
        <v>7.0939303056415648</v>
      </c>
    </row>
    <row r="83" spans="2:25" outlineLevel="1">
      <c r="B83" s="1115" t="s">
        <v>1573</v>
      </c>
      <c r="C83" s="1105"/>
      <c r="D83" s="233"/>
      <c r="E83" s="470">
        <f>E82-E81</f>
        <v>0</v>
      </c>
      <c r="F83" s="470">
        <f t="shared" ref="F83:Y83" si="13">F82-F81</f>
        <v>-1.1074423212863731</v>
      </c>
      <c r="G83" s="470">
        <f t="shared" si="13"/>
        <v>-7.1086202239162626</v>
      </c>
      <c r="H83" s="470">
        <f t="shared" si="13"/>
        <v>-7.6340904647081844</v>
      </c>
      <c r="I83" s="470">
        <f t="shared" si="13"/>
        <v>-7.6784024563816651</v>
      </c>
      <c r="J83" s="470">
        <f t="shared" si="13"/>
        <v>-4.9780231557499768</v>
      </c>
      <c r="K83" s="470">
        <f t="shared" si="13"/>
        <v>-1.7843680507173381</v>
      </c>
      <c r="L83" s="470">
        <f t="shared" si="13"/>
        <v>-1.7834235421326763</v>
      </c>
      <c r="M83" s="470">
        <f t="shared" si="13"/>
        <v>-1.7824532461996361</v>
      </c>
      <c r="N83" s="470">
        <f t="shared" si="13"/>
        <v>-1.7814564588617938</v>
      </c>
      <c r="O83" s="470">
        <f t="shared" si="13"/>
        <v>-1.7804324568402974</v>
      </c>
      <c r="P83" s="470">
        <f t="shared" si="13"/>
        <v>-1.7793804971090488</v>
      </c>
      <c r="Q83" s="470">
        <f t="shared" si="13"/>
        <v>-1.7782998163555559</v>
      </c>
      <c r="R83" s="470">
        <f t="shared" si="13"/>
        <v>-1.7771896304270667</v>
      </c>
      <c r="S83" s="470">
        <f t="shared" si="13"/>
        <v>-1.7603627691940873</v>
      </c>
      <c r="T83" s="470">
        <f t="shared" si="13"/>
        <v>-1.7395706312843029</v>
      </c>
      <c r="U83" s="470">
        <f t="shared" si="13"/>
        <v>-1.7151290187397337</v>
      </c>
      <c r="V83" s="470">
        <f t="shared" si="13"/>
        <v>-1.6872861463162914</v>
      </c>
      <c r="W83" s="470">
        <f t="shared" si="13"/>
        <v>-1.6562335421373096</v>
      </c>
      <c r="X83" s="470">
        <f t="shared" si="13"/>
        <v>-1.622115089843374</v>
      </c>
      <c r="Y83" s="470">
        <f t="shared" si="13"/>
        <v>5.2727264830131713</v>
      </c>
    </row>
    <row r="84" spans="2:25" outlineLevel="1">
      <c r="B84" s="1115" t="s">
        <v>1561</v>
      </c>
      <c r="C84" s="1105"/>
      <c r="D84" s="1116">
        <f>IRR(E83:Y83,-0.3)</f>
        <v>-0.24860597428950015</v>
      </c>
      <c r="E84" s="470"/>
      <c r="F84" s="470"/>
      <c r="G84" s="470"/>
      <c r="H84" s="470"/>
      <c r="I84" s="470"/>
      <c r="J84" s="470"/>
      <c r="K84" s="470"/>
      <c r="L84" s="470"/>
      <c r="M84" s="470"/>
      <c r="N84" s="470"/>
      <c r="O84" s="470"/>
      <c r="P84" s="470"/>
      <c r="Q84" s="470"/>
      <c r="R84" s="470"/>
      <c r="S84" s="470"/>
      <c r="T84" s="470"/>
      <c r="U84" s="470"/>
      <c r="V84" s="470"/>
      <c r="W84" s="470"/>
      <c r="X84" s="470"/>
      <c r="Y84" s="470"/>
    </row>
    <row r="85" spans="2:25" outlineLevel="1">
      <c r="B85" s="1115" t="s">
        <v>1570</v>
      </c>
      <c r="C85" s="1105"/>
      <c r="D85" s="1117">
        <f>NPV(0.1,E81:Y81)</f>
        <v>28.977743470273147</v>
      </c>
      <c r="E85" s="470"/>
      <c r="F85" s="470"/>
      <c r="G85" s="470"/>
      <c r="H85" s="470"/>
      <c r="I85" s="470"/>
      <c r="J85" s="470"/>
      <c r="K85" s="470"/>
      <c r="L85" s="470"/>
      <c r="M85" s="470"/>
      <c r="N85" s="470"/>
      <c r="O85" s="470"/>
      <c r="P85" s="470"/>
      <c r="Q85" s="470"/>
      <c r="R85" s="470"/>
      <c r="S85" s="470"/>
      <c r="T85" s="470"/>
      <c r="U85" s="470"/>
      <c r="V85" s="470"/>
      <c r="W85" s="470"/>
      <c r="X85" s="470"/>
      <c r="Y85" s="470"/>
    </row>
    <row r="86" spans="2:25" outlineLevel="1">
      <c r="B86" s="1122" t="s">
        <v>702</v>
      </c>
      <c r="C86" s="1105"/>
      <c r="D86" s="233"/>
      <c r="E86" s="470"/>
      <c r="F86" s="470"/>
      <c r="G86" s="470"/>
      <c r="H86" s="470"/>
      <c r="I86" s="470"/>
      <c r="J86" s="470"/>
      <c r="K86" s="470"/>
      <c r="L86" s="470"/>
      <c r="M86" s="470"/>
      <c r="N86" s="470"/>
      <c r="O86" s="470"/>
      <c r="P86" s="470"/>
      <c r="Q86" s="470"/>
      <c r="R86" s="470"/>
      <c r="S86" s="470"/>
      <c r="T86" s="470"/>
      <c r="U86" s="470"/>
      <c r="V86" s="470"/>
      <c r="W86" s="470"/>
      <c r="X86" s="470"/>
      <c r="Y86" s="470"/>
    </row>
    <row r="87" spans="2:25" outlineLevel="1">
      <c r="B87" s="1118" t="s">
        <v>701</v>
      </c>
      <c r="C87" s="1105"/>
      <c r="D87" s="233"/>
      <c r="E87" s="470"/>
      <c r="F87" s="470"/>
      <c r="G87" s="470"/>
      <c r="H87" s="470"/>
      <c r="I87" s="470"/>
      <c r="J87" s="470"/>
      <c r="K87" s="470"/>
      <c r="L87" s="470"/>
      <c r="M87" s="470"/>
      <c r="N87" s="470"/>
      <c r="O87" s="470"/>
      <c r="P87" s="470"/>
      <c r="Q87" s="470"/>
      <c r="R87" s="470"/>
      <c r="S87" s="470"/>
      <c r="T87" s="470"/>
      <c r="U87" s="470"/>
      <c r="V87" s="470"/>
      <c r="W87" s="470"/>
      <c r="X87" s="470"/>
      <c r="Y87" s="470"/>
    </row>
    <row r="88" spans="2:25" outlineLevel="1">
      <c r="B88" s="1115" t="s">
        <v>1571</v>
      </c>
      <c r="C88" s="1105"/>
      <c r="D88" s="233"/>
      <c r="E88" s="470">
        <v>0</v>
      </c>
      <c r="F88" s="470">
        <v>2.1346522268811494</v>
      </c>
      <c r="G88" s="470">
        <v>12.719792532601101</v>
      </c>
      <c r="H88" s="470">
        <v>17.199136795916296</v>
      </c>
      <c r="I88" s="470">
        <v>15.721729451173456</v>
      </c>
      <c r="J88" s="470">
        <v>10.288138539907179</v>
      </c>
      <c r="K88" s="470">
        <v>1.821203822628394</v>
      </c>
      <c r="L88" s="470">
        <v>1.821203822628394</v>
      </c>
      <c r="M88" s="470">
        <v>1.821203822628394</v>
      </c>
      <c r="N88" s="470">
        <v>1.821203822628394</v>
      </c>
      <c r="O88" s="470">
        <v>1.821203822628394</v>
      </c>
      <c r="P88" s="470">
        <v>1.821203822628394</v>
      </c>
      <c r="Q88" s="470">
        <v>1.821203822628394</v>
      </c>
      <c r="R88" s="470">
        <v>1.821203822628394</v>
      </c>
      <c r="S88" s="470">
        <v>1.821203822628394</v>
      </c>
      <c r="T88" s="470">
        <v>1.821203822628394</v>
      </c>
      <c r="U88" s="470">
        <v>1.821203822628394</v>
      </c>
      <c r="V88" s="470">
        <v>1.821203822628394</v>
      </c>
      <c r="W88" s="470">
        <v>1.821203822628394</v>
      </c>
      <c r="X88" s="470">
        <v>1.821203822628394</v>
      </c>
      <c r="Y88" s="470">
        <v>1.821203822628394</v>
      </c>
    </row>
    <row r="89" spans="2:25" outlineLevel="1">
      <c r="B89" s="1115" t="s">
        <v>1572</v>
      </c>
      <c r="C89" s="1105"/>
      <c r="D89" s="233"/>
      <c r="E89" s="470">
        <v>0</v>
      </c>
      <c r="F89" s="470">
        <v>0</v>
      </c>
      <c r="G89" s="470">
        <v>0.66779100614651732</v>
      </c>
      <c r="H89" s="470">
        <v>0.98351348541853878</v>
      </c>
      <c r="I89" s="470">
        <v>0.94783678938377658</v>
      </c>
      <c r="J89" s="470">
        <v>0.66592449470504811</v>
      </c>
      <c r="K89" s="470">
        <v>6.2333209260535927E-2</v>
      </c>
      <c r="L89" s="470">
        <v>6.3931499406273906E-2</v>
      </c>
      <c r="M89" s="470">
        <v>6.5573426704142873E-2</v>
      </c>
      <c r="N89" s="470">
        <v>6.7260182552995637E-2</v>
      </c>
      <c r="O89" s="470">
        <v>6.8992990879729543E-2</v>
      </c>
      <c r="P89" s="470">
        <v>7.0773109027379974E-2</v>
      </c>
      <c r="Q89" s="470">
        <v>7.2601828667461121E-2</v>
      </c>
      <c r="R89" s="470">
        <v>7.4480476737215653E-2</v>
      </c>
      <c r="S89" s="470">
        <v>0.10295476159721302</v>
      </c>
      <c r="T89" s="470">
        <v>0.13813905708134044</v>
      </c>
      <c r="U89" s="470">
        <v>0.17949896540861243</v>
      </c>
      <c r="V89" s="470">
        <v>0.22661445948256526</v>
      </c>
      <c r="W89" s="470">
        <v>0.27916143688938622</v>
      </c>
      <c r="X89" s="470">
        <v>0.3368964188416762</v>
      </c>
      <c r="Y89" s="470">
        <v>12.004294176023333</v>
      </c>
    </row>
    <row r="90" spans="2:25" outlineLevel="1">
      <c r="B90" s="1115" t="s">
        <v>1573</v>
      </c>
      <c r="C90" s="1105"/>
      <c r="D90" s="233"/>
      <c r="E90" s="470">
        <f>E89-E88</f>
        <v>0</v>
      </c>
      <c r="F90" s="470">
        <f t="shared" ref="F90:Y90" si="14">F89-F88</f>
        <v>-2.1346522268811494</v>
      </c>
      <c r="G90" s="470">
        <f t="shared" si="14"/>
        <v>-12.052001526454584</v>
      </c>
      <c r="H90" s="470">
        <f t="shared" si="14"/>
        <v>-16.215623310497758</v>
      </c>
      <c r="I90" s="470">
        <f t="shared" si="14"/>
        <v>-14.773892661789679</v>
      </c>
      <c r="J90" s="470">
        <f t="shared" si="14"/>
        <v>-9.6222140452021296</v>
      </c>
      <c r="K90" s="470">
        <f t="shared" si="14"/>
        <v>-1.758870613367858</v>
      </c>
      <c r="L90" s="470">
        <f t="shared" si="14"/>
        <v>-1.7572723232221201</v>
      </c>
      <c r="M90" s="470">
        <f t="shared" si="14"/>
        <v>-1.7556303959242512</v>
      </c>
      <c r="N90" s="470">
        <f t="shared" si="14"/>
        <v>-1.7539436400753983</v>
      </c>
      <c r="O90" s="470">
        <f t="shared" si="14"/>
        <v>-1.7522108317486644</v>
      </c>
      <c r="P90" s="470">
        <f t="shared" si="14"/>
        <v>-1.750430713601014</v>
      </c>
      <c r="Q90" s="470">
        <f t="shared" si="14"/>
        <v>-1.748601993960933</v>
      </c>
      <c r="R90" s="470">
        <f t="shared" si="14"/>
        <v>-1.7467233458911784</v>
      </c>
      <c r="S90" s="470">
        <f t="shared" si="14"/>
        <v>-1.7182490610311809</v>
      </c>
      <c r="T90" s="470">
        <f t="shared" si="14"/>
        <v>-1.6830647655470536</v>
      </c>
      <c r="U90" s="470">
        <f t="shared" si="14"/>
        <v>-1.6417048572197817</v>
      </c>
      <c r="V90" s="470">
        <f t="shared" si="14"/>
        <v>-1.5945893631458288</v>
      </c>
      <c r="W90" s="470">
        <f t="shared" si="14"/>
        <v>-1.5420423857390078</v>
      </c>
      <c r="X90" s="470">
        <f t="shared" si="14"/>
        <v>-1.4843074037867177</v>
      </c>
      <c r="Y90" s="470">
        <f t="shared" si="14"/>
        <v>10.183090353394938</v>
      </c>
    </row>
    <row r="91" spans="2:25" outlineLevel="1">
      <c r="B91" s="1115" t="s">
        <v>1561</v>
      </c>
      <c r="C91" s="1105"/>
      <c r="D91" s="1116">
        <f>IRR(E90:Y90,-0.2)</f>
        <v>-0.16682626218409013</v>
      </c>
      <c r="E91" s="470"/>
      <c r="F91" s="470"/>
      <c r="G91" s="470"/>
      <c r="H91" s="470"/>
      <c r="I91" s="470"/>
      <c r="J91" s="470"/>
      <c r="K91" s="470"/>
      <c r="L91" s="470"/>
      <c r="M91" s="470"/>
      <c r="N91" s="470"/>
      <c r="O91" s="470"/>
      <c r="P91" s="470"/>
      <c r="Q91" s="470"/>
      <c r="R91" s="470"/>
      <c r="S91" s="470"/>
      <c r="T91" s="470"/>
      <c r="U91" s="470"/>
      <c r="V91" s="470"/>
      <c r="W91" s="470"/>
      <c r="X91" s="470"/>
      <c r="Y91" s="470"/>
    </row>
    <row r="92" spans="2:25" outlineLevel="1">
      <c r="B92" s="1115" t="s">
        <v>1570</v>
      </c>
      <c r="C92" s="1105" t="s">
        <v>80</v>
      </c>
      <c r="D92" s="1117">
        <f>NPV(0.1,E88:Y88)</f>
        <v>46.456546355236831</v>
      </c>
      <c r="E92" s="470"/>
      <c r="F92" s="470"/>
      <c r="G92" s="470"/>
      <c r="H92" s="470"/>
      <c r="I92" s="470"/>
      <c r="J92" s="470"/>
      <c r="K92" s="470"/>
      <c r="L92" s="470"/>
      <c r="M92" s="470"/>
      <c r="N92" s="470"/>
      <c r="O92" s="470"/>
      <c r="P92" s="470"/>
      <c r="Q92" s="470"/>
      <c r="R92" s="470"/>
      <c r="S92" s="470"/>
      <c r="T92" s="470"/>
      <c r="U92" s="470"/>
      <c r="V92" s="470"/>
      <c r="W92" s="470"/>
      <c r="X92" s="470"/>
      <c r="Y92" s="470"/>
    </row>
    <row r="93" spans="2:25" outlineLevel="1">
      <c r="B93" s="1118" t="s">
        <v>1580</v>
      </c>
      <c r="C93" s="1105"/>
      <c r="D93" s="233"/>
      <c r="E93" s="470"/>
      <c r="F93" s="470"/>
      <c r="G93" s="470"/>
      <c r="H93" s="470"/>
      <c r="I93" s="470"/>
      <c r="J93" s="470"/>
      <c r="K93" s="470"/>
      <c r="L93" s="470"/>
      <c r="M93" s="470"/>
      <c r="N93" s="470"/>
      <c r="O93" s="470"/>
      <c r="P93" s="470"/>
      <c r="Q93" s="470"/>
      <c r="R93" s="470"/>
      <c r="S93" s="470"/>
      <c r="T93" s="470"/>
      <c r="U93" s="470"/>
      <c r="V93" s="470"/>
      <c r="W93" s="470"/>
      <c r="X93" s="470"/>
      <c r="Y93" s="470"/>
    </row>
    <row r="94" spans="2:25" outlineLevel="1">
      <c r="B94" s="1115" t="s">
        <v>1571</v>
      </c>
      <c r="C94" s="1105"/>
      <c r="D94" s="233"/>
      <c r="E94" s="470">
        <v>0</v>
      </c>
      <c r="F94" s="470">
        <v>1.5032345692940257</v>
      </c>
      <c r="G94" s="470">
        <v>6.7167884492190844</v>
      </c>
      <c r="H94" s="470">
        <v>4.4197906121486028</v>
      </c>
      <c r="I94" s="470">
        <v>4.4197906121486028</v>
      </c>
      <c r="J94" s="470">
        <v>2.9465270747657351</v>
      </c>
      <c r="K94" s="470">
        <v>0.17</v>
      </c>
      <c r="L94" s="470">
        <v>0.17</v>
      </c>
      <c r="M94" s="470">
        <v>0.17</v>
      </c>
      <c r="N94" s="470">
        <v>0.17</v>
      </c>
      <c r="O94" s="470">
        <v>0.17</v>
      </c>
      <c r="P94" s="470">
        <v>0.17</v>
      </c>
      <c r="Q94" s="470">
        <v>0.17</v>
      </c>
      <c r="R94" s="470">
        <v>0.17</v>
      </c>
      <c r="S94" s="470">
        <v>0.17</v>
      </c>
      <c r="T94" s="470">
        <v>0.17</v>
      </c>
      <c r="U94" s="470">
        <v>0.17</v>
      </c>
      <c r="V94" s="470">
        <v>0.17</v>
      </c>
      <c r="W94" s="470">
        <v>0.17</v>
      </c>
      <c r="X94" s="470">
        <v>0.17</v>
      </c>
      <c r="Y94" s="470">
        <v>0.17</v>
      </c>
    </row>
    <row r="95" spans="2:25" outlineLevel="1">
      <c r="B95" s="1115" t="s">
        <v>1572</v>
      </c>
      <c r="C95" s="1105"/>
      <c r="D95" s="233"/>
      <c r="E95" s="470">
        <v>0</v>
      </c>
      <c r="F95" s="470">
        <v>0</v>
      </c>
      <c r="G95" s="470">
        <v>0.39916900447602288</v>
      </c>
      <c r="H95" s="470">
        <v>1.3500739772789552</v>
      </c>
      <c r="I95" s="470">
        <v>3.2523919943491562</v>
      </c>
      <c r="J95" s="470">
        <v>5.5770957780016781</v>
      </c>
      <c r="K95" s="470">
        <v>6.6770377031183266</v>
      </c>
      <c r="L95" s="470">
        <v>6.9447580964371545</v>
      </c>
      <c r="M95" s="470">
        <v>7.2247866707315591</v>
      </c>
      <c r="N95" s="470">
        <v>7.5177200520406107</v>
      </c>
      <c r="O95" s="470">
        <v>7.8241843207690209</v>
      </c>
      <c r="P95" s="470">
        <v>8.1448364750030695</v>
      </c>
      <c r="Q95" s="470">
        <v>8.4803659667028306</v>
      </c>
      <c r="R95" s="470">
        <v>8.8314963144045624</v>
      </c>
      <c r="S95" s="470">
        <v>9.5774555083356567</v>
      </c>
      <c r="T95" s="470">
        <v>10.453862153969142</v>
      </c>
      <c r="U95" s="470">
        <v>11.460380864762762</v>
      </c>
      <c r="V95" s="470">
        <v>12.598053499474185</v>
      </c>
      <c r="W95" s="470">
        <v>13.869175213336927</v>
      </c>
      <c r="X95" s="470">
        <v>15.277194284781663</v>
      </c>
      <c r="Y95" s="470">
        <v>288.5799764785105</v>
      </c>
    </row>
    <row r="96" spans="2:25" outlineLevel="1">
      <c r="B96" s="1115" t="s">
        <v>1573</v>
      </c>
      <c r="C96" s="1105"/>
      <c r="D96" s="233"/>
      <c r="E96" s="470">
        <f>E95-E94</f>
        <v>0</v>
      </c>
      <c r="F96" s="470">
        <f t="shared" ref="F96:Y96" si="15">F95-F94</f>
        <v>-1.5032345692940257</v>
      </c>
      <c r="G96" s="470">
        <f t="shared" si="15"/>
        <v>-6.3176194447430616</v>
      </c>
      <c r="H96" s="470">
        <f t="shared" si="15"/>
        <v>-3.0697166348696476</v>
      </c>
      <c r="I96" s="470">
        <f t="shared" si="15"/>
        <v>-1.1673986177994466</v>
      </c>
      <c r="J96" s="470">
        <f t="shared" si="15"/>
        <v>2.6305687032359431</v>
      </c>
      <c r="K96" s="470">
        <f t="shared" si="15"/>
        <v>6.5070377031183266</v>
      </c>
      <c r="L96" s="470">
        <f t="shared" si="15"/>
        <v>6.7747580964371545</v>
      </c>
      <c r="M96" s="470">
        <f t="shared" si="15"/>
        <v>7.0547866707315592</v>
      </c>
      <c r="N96" s="470">
        <f t="shared" si="15"/>
        <v>7.3477200520406107</v>
      </c>
      <c r="O96" s="470">
        <f t="shared" si="15"/>
        <v>7.654184320769021</v>
      </c>
      <c r="P96" s="470">
        <f t="shared" si="15"/>
        <v>7.9748364750030696</v>
      </c>
      <c r="Q96" s="470">
        <f t="shared" si="15"/>
        <v>8.3103659667028307</v>
      </c>
      <c r="R96" s="470">
        <f t="shared" si="15"/>
        <v>8.6614963144045625</v>
      </c>
      <c r="S96" s="470">
        <f t="shared" si="15"/>
        <v>9.4074555083356568</v>
      </c>
      <c r="T96" s="470">
        <f t="shared" si="15"/>
        <v>10.283862153969142</v>
      </c>
      <c r="U96" s="470">
        <f t="shared" si="15"/>
        <v>11.290380864762762</v>
      </c>
      <c r="V96" s="470">
        <f t="shared" si="15"/>
        <v>12.428053499474185</v>
      </c>
      <c r="W96" s="470">
        <f t="shared" si="15"/>
        <v>13.699175213336927</v>
      </c>
      <c r="X96" s="470">
        <f t="shared" si="15"/>
        <v>15.107194284781663</v>
      </c>
      <c r="Y96" s="470">
        <f t="shared" si="15"/>
        <v>288.40997647851049</v>
      </c>
    </row>
    <row r="97" spans="2:25" outlineLevel="1">
      <c r="B97" s="1115" t="s">
        <v>1561</v>
      </c>
      <c r="C97" s="1105"/>
      <c r="D97" s="1116">
        <f>IRR(E96:Y96)</f>
        <v>0.34354790440534977</v>
      </c>
      <c r="E97" s="470"/>
      <c r="F97" s="470"/>
      <c r="G97" s="470"/>
      <c r="H97" s="470"/>
      <c r="I97" s="470"/>
      <c r="J97" s="470"/>
      <c r="K97" s="470"/>
      <c r="L97" s="470"/>
      <c r="M97" s="470"/>
      <c r="N97" s="470"/>
      <c r="O97" s="470"/>
      <c r="P97" s="470"/>
      <c r="Q97" s="470"/>
      <c r="R97" s="470"/>
      <c r="S97" s="470"/>
      <c r="T97" s="470"/>
      <c r="U97" s="470"/>
      <c r="V97" s="470"/>
      <c r="W97" s="470"/>
      <c r="X97" s="470"/>
      <c r="Y97" s="470"/>
    </row>
    <row r="98" spans="2:25" outlineLevel="1">
      <c r="B98" s="1115" t="s">
        <v>1570</v>
      </c>
      <c r="C98" s="1105"/>
      <c r="D98" s="1117">
        <f>NPV(0.1,E94:Y94)</f>
        <v>14.4450053166193</v>
      </c>
      <c r="E98" s="1006" t="s">
        <v>80</v>
      </c>
      <c r="F98" s="470"/>
      <c r="G98" s="470"/>
      <c r="H98" s="470"/>
      <c r="I98" s="470"/>
      <c r="J98" s="470"/>
      <c r="K98" s="470"/>
      <c r="L98" s="470"/>
      <c r="M98" s="470"/>
      <c r="N98" s="470"/>
      <c r="O98" s="470"/>
      <c r="P98" s="470"/>
      <c r="Q98" s="470"/>
      <c r="R98" s="470"/>
      <c r="S98" s="470"/>
      <c r="T98" s="470"/>
      <c r="U98" s="470"/>
      <c r="V98" s="470"/>
      <c r="W98" s="470"/>
      <c r="X98" s="470"/>
      <c r="Y98" s="470"/>
    </row>
    <row r="99" spans="2:25" outlineLevel="1">
      <c r="B99" s="1118" t="s">
        <v>1581</v>
      </c>
      <c r="C99" s="1105"/>
      <c r="D99" s="233"/>
      <c r="E99" s="470"/>
      <c r="F99" s="470"/>
      <c r="G99" s="470"/>
      <c r="H99" s="470"/>
      <c r="I99" s="470"/>
      <c r="J99" s="470"/>
      <c r="K99" s="470"/>
      <c r="L99" s="470"/>
      <c r="M99" s="470"/>
      <c r="N99" s="470"/>
      <c r="O99" s="470"/>
      <c r="P99" s="470"/>
      <c r="Q99" s="470"/>
      <c r="R99" s="470"/>
      <c r="S99" s="470"/>
      <c r="T99" s="470"/>
      <c r="U99" s="470"/>
      <c r="V99" s="470"/>
      <c r="W99" s="470"/>
      <c r="X99" s="470"/>
      <c r="Y99" s="470"/>
    </row>
    <row r="100" spans="2:25" outlineLevel="1">
      <c r="B100" s="1115" t="s">
        <v>1571</v>
      </c>
      <c r="C100" s="1105"/>
      <c r="D100" s="471"/>
      <c r="E100" s="470">
        <v>4.0873075709208253</v>
      </c>
      <c r="F100" s="470">
        <v>13.858905666878711</v>
      </c>
      <c r="G100" s="470">
        <v>21.185017842882488</v>
      </c>
      <c r="H100" s="470">
        <v>22.075404954725666</v>
      </c>
      <c r="I100" s="470">
        <v>16.366062569637254</v>
      </c>
      <c r="J100" s="470">
        <v>3.5391777299265583</v>
      </c>
      <c r="K100" s="470">
        <v>0.62928113252364037</v>
      </c>
      <c r="L100" s="470">
        <v>0.62928113252364037</v>
      </c>
      <c r="M100" s="470">
        <v>0.62928113252364037</v>
      </c>
      <c r="N100" s="470">
        <v>0.62928113252364037</v>
      </c>
      <c r="O100" s="470">
        <v>0.62928113252364037</v>
      </c>
      <c r="P100" s="470">
        <v>0.62928113252364037</v>
      </c>
      <c r="Q100" s="470">
        <v>0.62928113252364037</v>
      </c>
      <c r="R100" s="470">
        <v>0.62928113252364037</v>
      </c>
      <c r="S100" s="470">
        <v>0.62928113252364037</v>
      </c>
      <c r="T100" s="470">
        <v>0.62928113252364037</v>
      </c>
      <c r="U100" s="470">
        <v>0.62928113252364037</v>
      </c>
      <c r="V100" s="470">
        <v>0.62928113252364037</v>
      </c>
      <c r="W100" s="470">
        <v>0.62928113252364037</v>
      </c>
      <c r="X100" s="470">
        <v>0.62928113252364037</v>
      </c>
      <c r="Y100" s="470">
        <v>0.62928113252364037</v>
      </c>
    </row>
    <row r="101" spans="2:25" outlineLevel="1">
      <c r="B101" s="1115" t="s">
        <v>1572</v>
      </c>
      <c r="C101" s="1105"/>
      <c r="D101" s="471"/>
      <c r="E101" s="470">
        <v>0</v>
      </c>
      <c r="F101" s="470">
        <v>3.8611430144946432E-2</v>
      </c>
      <c r="G101" s="470">
        <v>0.46739000430569166</v>
      </c>
      <c r="H101" s="470">
        <v>1.1116653724809111</v>
      </c>
      <c r="I101" s="470">
        <v>2.8320950897535577</v>
      </c>
      <c r="J101" s="470">
        <v>5.2351738444274405</v>
      </c>
      <c r="K101" s="470">
        <v>6.9187989689585851</v>
      </c>
      <c r="L101" s="470">
        <v>7.2669833218242816</v>
      </c>
      <c r="M101" s="470">
        <v>7.6330904141635978</v>
      </c>
      <c r="N101" s="470">
        <v>8.0180496953525981</v>
      </c>
      <c r="O101" s="470">
        <v>8.4228389410806823</v>
      </c>
      <c r="P101" s="470">
        <v>8.8484867687452411</v>
      </c>
      <c r="Q101" s="470">
        <v>9.2960752838496159</v>
      </c>
      <c r="R101" s="470">
        <v>9.7667428642304479</v>
      </c>
      <c r="S101" s="470">
        <v>10.522358106901352</v>
      </c>
      <c r="T101" s="470">
        <v>11.382865170862592</v>
      </c>
      <c r="U101" s="470">
        <v>12.34930188196255</v>
      </c>
      <c r="V101" s="470">
        <v>13.423696351354156</v>
      </c>
      <c r="W101" s="470">
        <v>14.608993223650984</v>
      </c>
      <c r="X101" s="470">
        <v>15.90899550352021</v>
      </c>
      <c r="Y101" s="470">
        <v>215.0024442696708</v>
      </c>
    </row>
    <row r="102" spans="2:25" outlineLevel="1">
      <c r="B102" s="1115" t="s">
        <v>1573</v>
      </c>
      <c r="C102" s="1124"/>
      <c r="D102" s="244"/>
      <c r="E102" s="470">
        <f>E101-E100</f>
        <v>-4.0873075709208253</v>
      </c>
      <c r="F102" s="470">
        <f t="shared" ref="F102:Y102" si="16">F101-F100</f>
        <v>-13.820294236733764</v>
      </c>
      <c r="G102" s="470">
        <f t="shared" si="16"/>
        <v>-20.717627838576796</v>
      </c>
      <c r="H102" s="470">
        <f t="shared" si="16"/>
        <v>-20.963739582244756</v>
      </c>
      <c r="I102" s="470">
        <f t="shared" si="16"/>
        <v>-13.533967479883696</v>
      </c>
      <c r="J102" s="470">
        <f t="shared" si="16"/>
        <v>1.6959961145008822</v>
      </c>
      <c r="K102" s="470">
        <f t="shared" si="16"/>
        <v>6.2895178364349444</v>
      </c>
      <c r="L102" s="470">
        <f t="shared" si="16"/>
        <v>6.6377021893006409</v>
      </c>
      <c r="M102" s="470">
        <f t="shared" si="16"/>
        <v>7.0038092816399571</v>
      </c>
      <c r="N102" s="470">
        <f t="shared" si="16"/>
        <v>7.3887685628289574</v>
      </c>
      <c r="O102" s="470">
        <f t="shared" si="16"/>
        <v>7.7935578085570416</v>
      </c>
      <c r="P102" s="470">
        <f t="shared" si="16"/>
        <v>8.2192056362216004</v>
      </c>
      <c r="Q102" s="470">
        <f t="shared" si="16"/>
        <v>8.6667941513259752</v>
      </c>
      <c r="R102" s="470">
        <f t="shared" si="16"/>
        <v>9.1374617317068072</v>
      </c>
      <c r="S102" s="470">
        <f t="shared" si="16"/>
        <v>9.8930769743777116</v>
      </c>
      <c r="T102" s="470">
        <f t="shared" si="16"/>
        <v>10.753584038338952</v>
      </c>
      <c r="U102" s="470">
        <f t="shared" si="16"/>
        <v>11.720020749438909</v>
      </c>
      <c r="V102" s="470">
        <f t="shared" si="16"/>
        <v>12.794415218830515</v>
      </c>
      <c r="W102" s="470">
        <f t="shared" si="16"/>
        <v>13.979712091127343</v>
      </c>
      <c r="X102" s="470">
        <f t="shared" si="16"/>
        <v>15.279714370996569</v>
      </c>
      <c r="Y102" s="470">
        <f t="shared" si="16"/>
        <v>214.37316313714717</v>
      </c>
    </row>
    <row r="103" spans="2:25" outlineLevel="1">
      <c r="B103" s="1115" t="s">
        <v>1561</v>
      </c>
      <c r="C103" s="1105"/>
      <c r="D103" s="1116">
        <f>IRR(E102:Y102)</f>
        <v>0.11835101783366619</v>
      </c>
      <c r="E103" s="470"/>
      <c r="F103" s="470"/>
      <c r="G103" s="470"/>
      <c r="H103" s="470"/>
      <c r="I103" s="470"/>
      <c r="J103" s="470"/>
      <c r="K103" s="470"/>
      <c r="L103" s="470"/>
      <c r="M103" s="470"/>
      <c r="N103" s="470"/>
      <c r="O103" s="470"/>
      <c r="P103" s="470"/>
      <c r="Q103" s="470"/>
      <c r="R103" s="470"/>
      <c r="S103" s="470"/>
      <c r="T103" s="470"/>
      <c r="U103" s="470"/>
      <c r="V103" s="470"/>
      <c r="W103" s="470"/>
      <c r="X103" s="470"/>
      <c r="Y103" s="470"/>
    </row>
    <row r="104" spans="2:25" outlineLevel="1">
      <c r="B104" s="1115" t="s">
        <v>1570</v>
      </c>
      <c r="C104" s="1125"/>
      <c r="D104" s="1117">
        <f>NPV(0.1,E100:Y100)</f>
        <v>61.025378820902894</v>
      </c>
      <c r="E104" s="470"/>
      <c r="F104" s="470"/>
      <c r="G104" s="470"/>
      <c r="H104" s="470"/>
      <c r="I104" s="470"/>
      <c r="J104" s="470"/>
      <c r="K104" s="470"/>
      <c r="L104" s="470"/>
      <c r="M104" s="470"/>
      <c r="N104" s="470"/>
      <c r="O104" s="470"/>
      <c r="P104" s="470"/>
      <c r="Q104" s="470"/>
      <c r="R104" s="470"/>
      <c r="S104" s="470"/>
      <c r="T104" s="470"/>
      <c r="U104" s="470"/>
      <c r="V104" s="470"/>
      <c r="W104" s="470"/>
      <c r="X104" s="470"/>
      <c r="Y104" s="470"/>
    </row>
    <row r="105" spans="2:25" outlineLevel="1">
      <c r="B105" s="1118" t="s">
        <v>1582</v>
      </c>
      <c r="C105" s="1105"/>
      <c r="D105" s="233"/>
      <c r="Y105" s="470"/>
    </row>
    <row r="106" spans="2:25" outlineLevel="1">
      <c r="B106" s="1115" t="s">
        <v>1571</v>
      </c>
      <c r="C106" s="1105"/>
      <c r="D106" s="233"/>
      <c r="E106" s="470">
        <f t="shared" ref="E106:Y107" si="17">E50+E44</f>
        <v>4.5113074269859306</v>
      </c>
      <c r="F106" s="470">
        <f t="shared" si="17"/>
        <v>17.201755213747386</v>
      </c>
      <c r="G106" s="470">
        <f t="shared" si="17"/>
        <v>24.264035956137388</v>
      </c>
      <c r="H106" s="470">
        <f t="shared" si="17"/>
        <v>24.140483269300844</v>
      </c>
      <c r="I106" s="470">
        <f t="shared" si="17"/>
        <v>17.751415500348916</v>
      </c>
      <c r="J106" s="470">
        <f t="shared" si="17"/>
        <v>3.8630567041993582</v>
      </c>
      <c r="K106" s="470">
        <f t="shared" si="17"/>
        <v>1.7469347107876261</v>
      </c>
      <c r="L106" s="470">
        <f t="shared" si="17"/>
        <v>1.7469347107876261</v>
      </c>
      <c r="M106" s="470">
        <f t="shared" si="17"/>
        <v>1.7469347107876261</v>
      </c>
      <c r="N106" s="470">
        <f t="shared" si="17"/>
        <v>1.7469347107876261</v>
      </c>
      <c r="O106" s="470">
        <f t="shared" si="17"/>
        <v>1.7469347107876261</v>
      </c>
      <c r="P106" s="470">
        <f t="shared" si="17"/>
        <v>1.7469347107876261</v>
      </c>
      <c r="Q106" s="470">
        <f t="shared" si="17"/>
        <v>1.7469347107876261</v>
      </c>
      <c r="R106" s="470">
        <f t="shared" si="17"/>
        <v>1.7469347107876261</v>
      </c>
      <c r="S106" s="470">
        <f t="shared" si="17"/>
        <v>1.7469347107876261</v>
      </c>
      <c r="T106" s="470">
        <f t="shared" si="17"/>
        <v>1.7469347107876261</v>
      </c>
      <c r="U106" s="470">
        <f t="shared" si="17"/>
        <v>1.7469347107876261</v>
      </c>
      <c r="V106" s="470">
        <f t="shared" si="17"/>
        <v>1.7469347107876261</v>
      </c>
      <c r="W106" s="470">
        <f t="shared" si="17"/>
        <v>1.7469347107876261</v>
      </c>
      <c r="X106" s="470">
        <f t="shared" si="17"/>
        <v>1.7469347107876261</v>
      </c>
      <c r="Y106" s="470">
        <f t="shared" si="17"/>
        <v>1.7469347107876261</v>
      </c>
    </row>
    <row r="107" spans="2:25" outlineLevel="1">
      <c r="B107" s="1115" t="s">
        <v>1572</v>
      </c>
      <c r="C107" s="1105"/>
      <c r="D107" s="233"/>
      <c r="E107" s="470">
        <f t="shared" si="17"/>
        <v>0</v>
      </c>
      <c r="F107" s="470">
        <f t="shared" si="17"/>
        <v>0</v>
      </c>
      <c r="G107" s="470">
        <f t="shared" si="17"/>
        <v>1.1212005922544439</v>
      </c>
      <c r="H107" s="470">
        <f t="shared" si="17"/>
        <v>3.611645587930151</v>
      </c>
      <c r="I107" s="470">
        <f t="shared" si="17"/>
        <v>7.6067076894264449</v>
      </c>
      <c r="J107" s="470">
        <f t="shared" si="17"/>
        <v>11.560544767951589</v>
      </c>
      <c r="K107" s="470">
        <f t="shared" si="17"/>
        <v>11.890828096355676</v>
      </c>
      <c r="L107" s="470">
        <f t="shared" si="17"/>
        <v>12.214111416288777</v>
      </c>
      <c r="M107" s="470">
        <f t="shared" si="17"/>
        <v>12.546221145776459</v>
      </c>
      <c r="N107" s="470">
        <f t="shared" si="17"/>
        <v>12.887398266956742</v>
      </c>
      <c r="O107" s="470">
        <f t="shared" si="17"/>
        <v>13.237890341357664</v>
      </c>
      <c r="P107" s="470">
        <f t="shared" si="17"/>
        <v>13.59795168953039</v>
      </c>
      <c r="Q107" s="470">
        <f t="shared" si="17"/>
        <v>13.967843575586739</v>
      </c>
      <c r="R107" s="470">
        <f t="shared" si="17"/>
        <v>14.347834396775053</v>
      </c>
      <c r="S107" s="470">
        <f t="shared" si="17"/>
        <v>15.108549792020622</v>
      </c>
      <c r="T107" s="470">
        <f t="shared" si="17"/>
        <v>15.972806815340656</v>
      </c>
      <c r="U107" s="470">
        <f t="shared" si="17"/>
        <v>16.933420399096892</v>
      </c>
      <c r="V107" s="470">
        <f t="shared" si="17"/>
        <v>17.984808585894701</v>
      </c>
      <c r="W107" s="470">
        <f t="shared" si="17"/>
        <v>19.122735369680136</v>
      </c>
      <c r="X107" s="470">
        <f t="shared" si="17"/>
        <v>20.3440974210123</v>
      </c>
      <c r="Y107" s="470">
        <f t="shared" si="17"/>
        <v>183.5562316403267</v>
      </c>
    </row>
    <row r="108" spans="2:25" outlineLevel="1">
      <c r="B108" s="1115" t="s">
        <v>1573</v>
      </c>
      <c r="C108" s="1126"/>
      <c r="D108" s="233"/>
      <c r="E108" s="470">
        <f>E107-E106</f>
        <v>-4.5113074269859306</v>
      </c>
      <c r="F108" s="470">
        <f t="shared" ref="F108:Y108" si="18">F107-F106</f>
        <v>-17.201755213747386</v>
      </c>
      <c r="G108" s="470">
        <f t="shared" si="18"/>
        <v>-23.142835363882945</v>
      </c>
      <c r="H108" s="470">
        <f t="shared" si="18"/>
        <v>-20.528837681370693</v>
      </c>
      <c r="I108" s="470">
        <f t="shared" si="18"/>
        <v>-10.144707810922471</v>
      </c>
      <c r="J108" s="470">
        <f t="shared" si="18"/>
        <v>7.69748806375223</v>
      </c>
      <c r="K108" s="470">
        <f t="shared" si="18"/>
        <v>10.143893385568051</v>
      </c>
      <c r="L108" s="470">
        <f t="shared" si="18"/>
        <v>10.467176705501151</v>
      </c>
      <c r="M108" s="470">
        <f t="shared" si="18"/>
        <v>10.799286434988833</v>
      </c>
      <c r="N108" s="470">
        <f t="shared" si="18"/>
        <v>11.140463556169117</v>
      </c>
      <c r="O108" s="470">
        <f t="shared" si="18"/>
        <v>11.490955630570038</v>
      </c>
      <c r="P108" s="470">
        <f t="shared" si="18"/>
        <v>11.851016978742765</v>
      </c>
      <c r="Q108" s="470">
        <f t="shared" si="18"/>
        <v>12.220908864799114</v>
      </c>
      <c r="R108" s="470">
        <f t="shared" si="18"/>
        <v>12.600899685987427</v>
      </c>
      <c r="S108" s="470">
        <f t="shared" si="18"/>
        <v>13.361615081232996</v>
      </c>
      <c r="T108" s="470">
        <f t="shared" si="18"/>
        <v>14.22587210455303</v>
      </c>
      <c r="U108" s="470">
        <f t="shared" si="18"/>
        <v>15.186485688309267</v>
      </c>
      <c r="V108" s="470">
        <f t="shared" si="18"/>
        <v>16.237873875107073</v>
      </c>
      <c r="W108" s="470">
        <f t="shared" si="18"/>
        <v>17.375800658892508</v>
      </c>
      <c r="X108" s="470">
        <f t="shared" si="18"/>
        <v>18.597162710224673</v>
      </c>
      <c r="Y108" s="470">
        <f t="shared" si="18"/>
        <v>181.80929692953907</v>
      </c>
    </row>
    <row r="109" spans="2:25" outlineLevel="1">
      <c r="B109" s="1115" t="s">
        <v>1561</v>
      </c>
      <c r="C109" s="1105"/>
      <c r="D109" s="1127">
        <f>IRR(E108:Y108)</f>
        <v>0.13557022397075191</v>
      </c>
      <c r="E109" s="470"/>
      <c r="F109" s="470"/>
      <c r="G109" s="470"/>
      <c r="H109" s="470"/>
      <c r="I109" s="470"/>
      <c r="J109" s="470"/>
      <c r="K109" s="470"/>
      <c r="L109" s="470"/>
      <c r="M109" s="470"/>
      <c r="N109" s="470"/>
      <c r="O109" s="470"/>
      <c r="P109" s="470"/>
      <c r="Q109" s="470"/>
      <c r="R109" s="470"/>
      <c r="S109" s="470"/>
      <c r="T109" s="470"/>
      <c r="U109" s="470"/>
      <c r="V109" s="470"/>
      <c r="W109" s="470"/>
      <c r="X109" s="470"/>
      <c r="Y109" s="470"/>
    </row>
    <row r="110" spans="2:25" outlineLevel="1">
      <c r="B110" s="1115" t="s">
        <v>1570</v>
      </c>
      <c r="C110" s="1105"/>
      <c r="D110" s="1128">
        <f>NPV(0.1,E106:Y106)</f>
        <v>73.738894795786976</v>
      </c>
      <c r="E110" s="470"/>
      <c r="F110" s="470"/>
      <c r="G110" s="470"/>
      <c r="H110" s="470"/>
      <c r="I110" s="470"/>
      <c r="J110" s="470"/>
      <c r="K110" s="470"/>
      <c r="L110" s="470"/>
      <c r="M110" s="470"/>
      <c r="N110" s="470"/>
      <c r="O110" s="470"/>
      <c r="P110" s="470"/>
      <c r="Q110" s="470"/>
      <c r="R110" s="470"/>
      <c r="S110" s="470"/>
      <c r="T110" s="470"/>
      <c r="U110" s="470"/>
      <c r="V110" s="470"/>
      <c r="W110" s="470"/>
      <c r="X110" s="470"/>
      <c r="Y110" s="470"/>
    </row>
    <row r="111" spans="2:25">
      <c r="B111" s="233"/>
      <c r="E111" s="470"/>
      <c r="F111" s="470"/>
      <c r="G111" s="470"/>
      <c r="H111" s="470"/>
      <c r="I111" s="470"/>
      <c r="J111" s="470"/>
      <c r="K111" s="470"/>
      <c r="L111" s="470"/>
      <c r="M111" s="470"/>
      <c r="N111" s="470"/>
      <c r="O111" s="470"/>
      <c r="P111" s="470"/>
      <c r="Q111" s="470"/>
      <c r="R111" s="470"/>
      <c r="S111" s="470"/>
      <c r="T111" s="470"/>
      <c r="U111" s="470"/>
      <c r="V111" s="470"/>
      <c r="W111" s="470"/>
      <c r="X111" s="470"/>
      <c r="Y111" s="470"/>
    </row>
    <row r="112" spans="2:25">
      <c r="B112" s="1028" t="s">
        <v>1624</v>
      </c>
      <c r="E112" s="470"/>
      <c r="F112" s="470"/>
      <c r="G112" s="470"/>
      <c r="H112" s="470"/>
      <c r="I112" s="470"/>
      <c r="J112" s="470"/>
      <c r="K112" s="470"/>
      <c r="L112" s="470"/>
      <c r="M112" s="470"/>
      <c r="N112" s="470"/>
      <c r="O112" s="470"/>
      <c r="P112" s="470"/>
      <c r="Q112" s="470"/>
      <c r="R112" s="470"/>
      <c r="S112" s="470"/>
      <c r="T112" s="470"/>
      <c r="U112" s="470"/>
      <c r="V112" s="470"/>
      <c r="W112" s="470"/>
      <c r="X112" s="470"/>
      <c r="Y112" s="470"/>
    </row>
    <row r="113" spans="2:25">
      <c r="B113" s="233"/>
      <c r="E113" s="470"/>
      <c r="F113" s="470"/>
      <c r="G113" s="470"/>
      <c r="H113" s="470"/>
      <c r="I113" s="470"/>
      <c r="J113" s="470"/>
      <c r="K113" s="470"/>
      <c r="L113" s="470"/>
      <c r="M113" s="470"/>
      <c r="N113" s="470"/>
      <c r="O113" s="470"/>
      <c r="P113" s="470"/>
      <c r="Q113" s="470"/>
      <c r="R113" s="470"/>
      <c r="S113" s="470"/>
      <c r="T113" s="470"/>
      <c r="U113" s="470"/>
      <c r="V113" s="470"/>
      <c r="W113" s="470"/>
      <c r="X113" s="470"/>
      <c r="Y113" s="470"/>
    </row>
    <row r="114" spans="2:25">
      <c r="B114" s="233"/>
      <c r="E114" s="470"/>
      <c r="F114" s="470"/>
      <c r="G114" s="470"/>
      <c r="H114" s="470"/>
      <c r="I114" s="470"/>
      <c r="J114" s="470"/>
      <c r="K114" s="470"/>
      <c r="L114" s="470"/>
      <c r="M114" s="470"/>
      <c r="N114" s="470"/>
      <c r="O114" s="470"/>
      <c r="P114" s="470"/>
      <c r="Q114" s="470"/>
      <c r="R114" s="470"/>
      <c r="S114" s="470"/>
      <c r="T114" s="470"/>
      <c r="U114" s="470"/>
      <c r="V114" s="470"/>
      <c r="W114" s="470"/>
      <c r="X114" s="470"/>
      <c r="Y114" s="470"/>
    </row>
    <row r="115" spans="2:25">
      <c r="B115" s="233"/>
      <c r="E115" s="470"/>
      <c r="F115" s="470"/>
      <c r="G115" s="470"/>
      <c r="H115" s="470"/>
      <c r="I115" s="470"/>
      <c r="J115" s="470"/>
      <c r="K115" s="470"/>
      <c r="L115" s="470"/>
      <c r="M115" s="470"/>
      <c r="N115" s="470"/>
      <c r="O115" s="470"/>
      <c r="P115" s="470"/>
      <c r="Q115" s="470"/>
      <c r="R115" s="470"/>
      <c r="S115" s="470"/>
      <c r="T115" s="470"/>
      <c r="U115" s="470"/>
      <c r="V115" s="470"/>
      <c r="W115" s="470"/>
      <c r="X115" s="470"/>
      <c r="Y115" s="470"/>
    </row>
    <row r="116" spans="2:25">
      <c r="B116" s="233"/>
      <c r="E116" s="470"/>
      <c r="F116" s="470"/>
      <c r="G116" s="470"/>
      <c r="H116" s="470"/>
      <c r="I116" s="470"/>
      <c r="J116" s="470"/>
      <c r="K116" s="470"/>
      <c r="L116" s="470"/>
      <c r="M116" s="470"/>
      <c r="N116" s="470"/>
      <c r="O116" s="470"/>
      <c r="P116" s="470"/>
      <c r="Q116" s="470"/>
      <c r="R116" s="470"/>
      <c r="S116" s="470"/>
      <c r="T116" s="470"/>
      <c r="U116" s="470"/>
      <c r="V116" s="470"/>
      <c r="W116" s="470"/>
      <c r="X116" s="470"/>
      <c r="Y116" s="470"/>
    </row>
    <row r="117" spans="2:25">
      <c r="B117" s="233"/>
      <c r="E117" s="470"/>
      <c r="F117" s="470"/>
      <c r="G117" s="470"/>
      <c r="H117" s="470"/>
      <c r="I117" s="470"/>
      <c r="J117" s="470"/>
      <c r="K117" s="470"/>
      <c r="L117" s="470"/>
      <c r="M117" s="470"/>
      <c r="N117" s="470"/>
      <c r="O117" s="470"/>
      <c r="P117" s="470"/>
      <c r="Q117" s="470"/>
      <c r="R117" s="470"/>
      <c r="S117" s="470"/>
      <c r="T117" s="470"/>
      <c r="U117" s="470"/>
      <c r="V117" s="470"/>
      <c r="W117" s="470"/>
      <c r="X117" s="470"/>
      <c r="Y117" s="470"/>
    </row>
    <row r="118" spans="2:25">
      <c r="B118" s="233"/>
      <c r="E118" s="470"/>
      <c r="F118" s="470"/>
      <c r="G118" s="470"/>
      <c r="H118" s="470"/>
      <c r="I118" s="470"/>
      <c r="J118" s="470"/>
      <c r="K118" s="470"/>
      <c r="L118" s="470"/>
      <c r="M118" s="470"/>
      <c r="N118" s="470"/>
      <c r="O118" s="470"/>
      <c r="P118" s="470"/>
      <c r="Q118" s="470"/>
      <c r="R118" s="470"/>
      <c r="S118" s="470"/>
      <c r="T118" s="470"/>
      <c r="U118" s="470"/>
      <c r="V118" s="470"/>
      <c r="W118" s="470"/>
      <c r="X118" s="470"/>
      <c r="Y118" s="470"/>
    </row>
    <row r="119" spans="2:25">
      <c r="B119" s="233"/>
      <c r="E119" s="470"/>
      <c r="F119" s="470"/>
      <c r="G119" s="470"/>
      <c r="H119" s="470"/>
      <c r="I119" s="470"/>
      <c r="J119" s="470"/>
      <c r="K119" s="470"/>
      <c r="L119" s="470"/>
      <c r="M119" s="470"/>
      <c r="N119" s="470"/>
      <c r="O119" s="470"/>
      <c r="P119" s="470"/>
      <c r="Q119" s="470"/>
      <c r="R119" s="470"/>
      <c r="S119" s="470"/>
      <c r="T119" s="470"/>
      <c r="U119" s="470"/>
      <c r="V119" s="470"/>
      <c r="W119" s="470"/>
      <c r="X119" s="470"/>
      <c r="Y119" s="470"/>
    </row>
    <row r="120" spans="2:25">
      <c r="B120" s="233"/>
      <c r="E120" s="470"/>
      <c r="F120" s="470"/>
      <c r="G120" s="470"/>
      <c r="H120" s="470"/>
      <c r="I120" s="470"/>
      <c r="J120" s="470"/>
      <c r="K120" s="470"/>
      <c r="L120" s="470"/>
      <c r="M120" s="470"/>
      <c r="N120" s="470"/>
      <c r="O120" s="470"/>
      <c r="P120" s="470"/>
      <c r="Q120" s="470"/>
      <c r="R120" s="470"/>
      <c r="S120" s="470"/>
      <c r="T120" s="470"/>
      <c r="U120" s="470"/>
      <c r="V120" s="470"/>
      <c r="W120" s="470"/>
      <c r="X120" s="470"/>
      <c r="Y120" s="470"/>
    </row>
    <row r="121" spans="2:25">
      <c r="B121" s="233"/>
      <c r="E121" s="470"/>
      <c r="F121" s="470"/>
      <c r="G121" s="470"/>
      <c r="H121" s="470"/>
      <c r="I121" s="470"/>
      <c r="J121" s="470"/>
      <c r="K121" s="470"/>
      <c r="L121" s="470"/>
      <c r="M121" s="470"/>
      <c r="N121" s="470"/>
      <c r="O121" s="470"/>
      <c r="P121" s="470"/>
      <c r="Q121" s="470"/>
      <c r="R121" s="470"/>
      <c r="S121" s="470"/>
      <c r="T121" s="470"/>
      <c r="U121" s="470"/>
      <c r="V121" s="470"/>
      <c r="W121" s="470"/>
      <c r="X121" s="470"/>
      <c r="Y121" s="470"/>
    </row>
    <row r="122" spans="2:25">
      <c r="B122" s="233"/>
      <c r="E122" s="470"/>
      <c r="F122" s="470"/>
      <c r="G122" s="470"/>
      <c r="H122" s="470"/>
      <c r="I122" s="470"/>
      <c r="J122" s="470"/>
      <c r="K122" s="470"/>
      <c r="L122" s="470"/>
      <c r="M122" s="470"/>
      <c r="N122" s="470"/>
      <c r="O122" s="470"/>
      <c r="P122" s="470"/>
      <c r="Q122" s="470"/>
      <c r="R122" s="470"/>
      <c r="S122" s="470"/>
      <c r="T122" s="470"/>
      <c r="U122" s="470"/>
      <c r="V122" s="470"/>
      <c r="W122" s="470"/>
      <c r="X122" s="470"/>
      <c r="Y122" s="470"/>
    </row>
    <row r="123" spans="2:25">
      <c r="B123" s="233"/>
      <c r="E123" s="470"/>
      <c r="F123" s="470"/>
      <c r="G123" s="470"/>
      <c r="H123" s="470"/>
      <c r="I123" s="470"/>
      <c r="J123" s="470"/>
      <c r="K123" s="470"/>
      <c r="L123" s="470"/>
      <c r="M123" s="470"/>
      <c r="N123" s="470"/>
      <c r="O123" s="470"/>
      <c r="P123" s="470"/>
      <c r="Q123" s="470"/>
      <c r="R123" s="470"/>
      <c r="S123" s="470"/>
      <c r="T123" s="470"/>
      <c r="U123" s="470"/>
      <c r="V123" s="470"/>
      <c r="W123" s="470"/>
      <c r="X123" s="470"/>
      <c r="Y123" s="470"/>
    </row>
    <row r="124" spans="2:25">
      <c r="B124" s="233"/>
      <c r="E124" s="470"/>
      <c r="F124" s="470"/>
      <c r="G124" s="470"/>
      <c r="H124" s="470"/>
      <c r="I124" s="470"/>
      <c r="J124" s="470"/>
      <c r="K124" s="470"/>
      <c r="L124" s="470"/>
      <c r="M124" s="470"/>
      <c r="N124" s="470"/>
      <c r="O124" s="470"/>
      <c r="P124" s="470"/>
      <c r="Q124" s="470"/>
      <c r="R124" s="470"/>
      <c r="S124" s="470"/>
      <c r="T124" s="470"/>
      <c r="U124" s="470"/>
      <c r="V124" s="470"/>
      <c r="W124" s="470"/>
      <c r="X124" s="470"/>
      <c r="Y124" s="470"/>
    </row>
    <row r="125" spans="2:25">
      <c r="B125" s="233"/>
      <c r="E125" s="470"/>
      <c r="F125" s="470"/>
      <c r="G125" s="470"/>
      <c r="H125" s="470"/>
      <c r="I125" s="470"/>
      <c r="J125" s="470"/>
      <c r="K125" s="470"/>
      <c r="L125" s="470"/>
      <c r="M125" s="470"/>
      <c r="N125" s="470"/>
      <c r="O125" s="470"/>
      <c r="P125" s="470"/>
      <c r="Q125" s="470"/>
      <c r="R125" s="470"/>
      <c r="S125" s="470"/>
      <c r="T125" s="470"/>
      <c r="U125" s="470"/>
      <c r="V125" s="470"/>
      <c r="W125" s="470"/>
      <c r="X125" s="470"/>
      <c r="Y125" s="470"/>
    </row>
    <row r="126" spans="2:25">
      <c r="B126" s="233"/>
      <c r="E126" s="470"/>
      <c r="F126" s="470"/>
      <c r="G126" s="470"/>
      <c r="H126" s="470"/>
      <c r="I126" s="470"/>
      <c r="J126" s="470"/>
      <c r="K126" s="470"/>
      <c r="L126" s="470"/>
      <c r="M126" s="470"/>
      <c r="N126" s="470"/>
      <c r="O126" s="470"/>
      <c r="P126" s="470"/>
      <c r="Q126" s="470"/>
      <c r="R126" s="470"/>
      <c r="S126" s="470"/>
      <c r="T126" s="470"/>
      <c r="U126" s="470"/>
      <c r="V126" s="470"/>
      <c r="W126" s="470"/>
      <c r="X126" s="470"/>
      <c r="Y126" s="470"/>
    </row>
    <row r="127" spans="2:25">
      <c r="B127" s="233"/>
      <c r="E127" s="470"/>
      <c r="F127" s="470"/>
      <c r="G127" s="470"/>
      <c r="H127" s="470"/>
      <c r="I127" s="470"/>
      <c r="J127" s="470"/>
      <c r="K127" s="470"/>
      <c r="L127" s="470"/>
      <c r="M127" s="470"/>
      <c r="N127" s="470"/>
      <c r="O127" s="470"/>
      <c r="P127" s="470"/>
      <c r="Q127" s="470"/>
      <c r="R127" s="470"/>
      <c r="S127" s="470"/>
      <c r="T127" s="470"/>
      <c r="U127" s="470"/>
      <c r="V127" s="470"/>
      <c r="W127" s="470"/>
      <c r="X127" s="470"/>
      <c r="Y127" s="470"/>
    </row>
    <row r="128" spans="2:25">
      <c r="B128" s="233"/>
      <c r="E128" s="470"/>
      <c r="F128" s="470"/>
      <c r="G128" s="470"/>
      <c r="H128" s="470"/>
      <c r="I128" s="470"/>
      <c r="J128" s="470"/>
      <c r="K128" s="470"/>
      <c r="L128" s="470"/>
      <c r="M128" s="470"/>
      <c r="N128" s="470"/>
      <c r="O128" s="470"/>
      <c r="P128" s="470"/>
      <c r="Q128" s="470"/>
      <c r="R128" s="470"/>
      <c r="S128" s="470"/>
      <c r="T128" s="470"/>
      <c r="U128" s="470"/>
      <c r="V128" s="470"/>
      <c r="W128" s="470"/>
      <c r="X128" s="470"/>
      <c r="Y128" s="470"/>
    </row>
    <row r="129" spans="3:25">
      <c r="E129" s="470"/>
      <c r="F129" s="470"/>
      <c r="G129" s="470"/>
      <c r="H129" s="470"/>
      <c r="I129" s="470"/>
      <c r="J129" s="470"/>
      <c r="K129" s="470"/>
      <c r="L129" s="470"/>
      <c r="M129" s="470"/>
      <c r="N129" s="470"/>
      <c r="O129" s="470"/>
      <c r="P129" s="470"/>
      <c r="Q129" s="470"/>
      <c r="R129" s="470"/>
      <c r="S129" s="470"/>
      <c r="T129" s="470"/>
      <c r="U129" s="470"/>
      <c r="V129" s="470"/>
      <c r="W129" s="470"/>
      <c r="X129" s="470"/>
      <c r="Y129" s="470"/>
    </row>
    <row r="130" spans="3:25">
      <c r="C130" s="233"/>
      <c r="D130" s="233"/>
      <c r="E130" s="470"/>
      <c r="F130" s="470"/>
      <c r="G130" s="470"/>
      <c r="H130" s="470"/>
      <c r="I130" s="470"/>
      <c r="J130" s="470"/>
      <c r="K130" s="470"/>
      <c r="L130" s="470"/>
      <c r="M130" s="470"/>
      <c r="N130" s="470"/>
      <c r="O130" s="470"/>
      <c r="P130" s="470"/>
      <c r="Q130" s="470"/>
      <c r="R130" s="470"/>
      <c r="S130" s="470"/>
      <c r="T130" s="470"/>
      <c r="U130" s="470"/>
      <c r="V130" s="470"/>
      <c r="W130" s="470"/>
      <c r="X130" s="470"/>
      <c r="Y130" s="470"/>
    </row>
    <row r="131" spans="3:25">
      <c r="C131" s="233"/>
      <c r="D131" s="233"/>
      <c r="E131" s="470"/>
      <c r="F131" s="470"/>
      <c r="G131" s="470"/>
      <c r="H131" s="470"/>
      <c r="I131" s="470"/>
      <c r="J131" s="470"/>
      <c r="K131" s="470"/>
      <c r="L131" s="470"/>
      <c r="M131" s="470"/>
      <c r="N131" s="470"/>
      <c r="O131" s="470"/>
      <c r="P131" s="470"/>
      <c r="Q131" s="470"/>
      <c r="R131" s="470"/>
      <c r="S131" s="470"/>
      <c r="T131" s="470"/>
      <c r="U131" s="470"/>
      <c r="V131" s="470"/>
      <c r="W131" s="470"/>
      <c r="X131" s="470"/>
      <c r="Y131" s="470"/>
    </row>
    <row r="132" spans="3:25">
      <c r="C132" s="233"/>
      <c r="D132" s="233"/>
      <c r="E132" s="470"/>
      <c r="F132" s="470"/>
      <c r="G132" s="470"/>
      <c r="H132" s="470"/>
      <c r="I132" s="470"/>
      <c r="J132" s="470"/>
      <c r="K132" s="470"/>
      <c r="L132" s="470"/>
      <c r="M132" s="470"/>
      <c r="N132" s="470"/>
      <c r="O132" s="470"/>
      <c r="P132" s="470"/>
      <c r="Q132" s="470"/>
      <c r="R132" s="470"/>
      <c r="S132" s="470"/>
      <c r="T132" s="470"/>
      <c r="U132" s="470"/>
      <c r="V132" s="470"/>
      <c r="W132" s="470"/>
      <c r="X132" s="470"/>
      <c r="Y132" s="470"/>
    </row>
    <row r="133" spans="3:25">
      <c r="C133" s="233"/>
      <c r="D133" s="233"/>
      <c r="E133" s="470"/>
      <c r="F133" s="470"/>
      <c r="G133" s="470"/>
      <c r="H133" s="470"/>
      <c r="I133" s="470"/>
      <c r="J133" s="470"/>
      <c r="K133" s="470"/>
      <c r="L133" s="470"/>
      <c r="M133" s="470"/>
      <c r="N133" s="470"/>
      <c r="O133" s="470"/>
      <c r="P133" s="470"/>
      <c r="Q133" s="470"/>
      <c r="R133" s="470"/>
      <c r="S133" s="470"/>
      <c r="T133" s="470"/>
      <c r="U133" s="470"/>
      <c r="V133" s="470"/>
      <c r="W133" s="470"/>
      <c r="X133" s="470"/>
      <c r="Y133" s="470"/>
    </row>
    <row r="134" spans="3:25">
      <c r="E134" s="470"/>
      <c r="F134" s="470"/>
      <c r="G134" s="470"/>
      <c r="H134" s="470"/>
      <c r="I134" s="470"/>
      <c r="J134" s="470"/>
      <c r="K134" s="470"/>
      <c r="L134" s="470"/>
      <c r="M134" s="470"/>
      <c r="N134" s="470"/>
      <c r="O134" s="470"/>
      <c r="P134" s="470"/>
      <c r="Q134" s="470"/>
      <c r="R134" s="470"/>
      <c r="S134" s="470"/>
      <c r="T134" s="470"/>
      <c r="U134" s="470"/>
      <c r="V134" s="470"/>
      <c r="W134" s="470"/>
      <c r="X134" s="470"/>
      <c r="Y134" s="470"/>
    </row>
    <row r="135" spans="3:25">
      <c r="E135" s="470"/>
      <c r="F135" s="470"/>
      <c r="G135" s="470"/>
      <c r="H135" s="470"/>
      <c r="I135" s="470"/>
      <c r="J135" s="470"/>
      <c r="K135" s="470"/>
      <c r="L135" s="470"/>
      <c r="M135" s="470"/>
      <c r="N135" s="470"/>
      <c r="O135" s="470"/>
      <c r="P135" s="470"/>
      <c r="Q135" s="470"/>
      <c r="R135" s="470"/>
      <c r="S135" s="470"/>
      <c r="T135" s="470"/>
      <c r="U135" s="470"/>
      <c r="V135" s="470"/>
      <c r="W135" s="470"/>
      <c r="X135" s="470"/>
      <c r="Y135" s="470"/>
    </row>
    <row r="136" spans="3:25">
      <c r="E136" s="470"/>
      <c r="F136" s="470"/>
      <c r="G136" s="470"/>
      <c r="H136" s="470"/>
      <c r="I136" s="470"/>
      <c r="J136" s="470"/>
      <c r="K136" s="470"/>
      <c r="L136" s="470"/>
      <c r="M136" s="470"/>
      <c r="N136" s="470"/>
      <c r="O136" s="470"/>
      <c r="P136" s="470"/>
      <c r="Q136" s="470"/>
      <c r="R136" s="470"/>
      <c r="S136" s="470"/>
      <c r="T136" s="470"/>
      <c r="U136" s="470"/>
      <c r="V136" s="470"/>
      <c r="W136" s="470"/>
      <c r="X136" s="470"/>
      <c r="Y136" s="470"/>
    </row>
    <row r="137" spans="3:25">
      <c r="E137" s="470"/>
      <c r="F137" s="470"/>
      <c r="G137" s="470"/>
      <c r="H137" s="470"/>
      <c r="I137" s="470"/>
      <c r="J137" s="470"/>
      <c r="K137" s="470"/>
      <c r="L137" s="470"/>
      <c r="M137" s="470"/>
      <c r="N137" s="470"/>
      <c r="O137" s="470"/>
      <c r="P137" s="470"/>
      <c r="Q137" s="470"/>
      <c r="R137" s="470"/>
      <c r="S137" s="470"/>
      <c r="T137" s="470"/>
      <c r="U137" s="470"/>
      <c r="V137" s="470"/>
      <c r="W137" s="470"/>
      <c r="X137" s="470"/>
      <c r="Y137" s="470"/>
    </row>
    <row r="138" spans="3:25">
      <c r="E138" s="470"/>
      <c r="F138" s="470"/>
      <c r="G138" s="470"/>
      <c r="H138" s="470"/>
      <c r="I138" s="470"/>
      <c r="J138" s="470"/>
      <c r="K138" s="470"/>
      <c r="L138" s="470"/>
      <c r="M138" s="470"/>
      <c r="N138" s="470"/>
      <c r="O138" s="470"/>
      <c r="P138" s="470"/>
      <c r="Q138" s="470"/>
      <c r="R138" s="470"/>
      <c r="S138" s="470"/>
      <c r="T138" s="470"/>
      <c r="U138" s="470"/>
      <c r="V138" s="470"/>
      <c r="W138" s="470"/>
      <c r="X138" s="470"/>
      <c r="Y138" s="470"/>
    </row>
    <row r="139" spans="3:25">
      <c r="E139" s="470"/>
      <c r="F139" s="470"/>
      <c r="G139" s="470"/>
      <c r="H139" s="470"/>
      <c r="I139" s="470"/>
      <c r="J139" s="470"/>
      <c r="K139" s="470"/>
      <c r="L139" s="470"/>
      <c r="M139" s="470"/>
      <c r="N139" s="470"/>
      <c r="O139" s="470"/>
      <c r="P139" s="470"/>
      <c r="Q139" s="470"/>
      <c r="R139" s="470"/>
      <c r="S139" s="470"/>
      <c r="T139" s="470"/>
      <c r="U139" s="470"/>
      <c r="V139" s="470"/>
      <c r="W139" s="470"/>
      <c r="X139" s="470"/>
      <c r="Y139" s="470"/>
    </row>
    <row r="140" spans="3:25">
      <c r="E140" s="470"/>
      <c r="F140" s="470"/>
      <c r="G140" s="470"/>
      <c r="H140" s="470"/>
      <c r="I140" s="470"/>
      <c r="J140" s="470"/>
      <c r="K140" s="470"/>
      <c r="L140" s="470"/>
      <c r="M140" s="470"/>
      <c r="N140" s="470"/>
      <c r="O140" s="470"/>
      <c r="P140" s="470"/>
      <c r="Q140" s="470"/>
      <c r="R140" s="470"/>
      <c r="S140" s="470"/>
      <c r="T140" s="470"/>
      <c r="U140" s="470"/>
      <c r="V140" s="470"/>
      <c r="W140" s="470"/>
      <c r="X140" s="470"/>
      <c r="Y140" s="470"/>
    </row>
    <row r="141" spans="3:25">
      <c r="E141" s="470"/>
      <c r="F141" s="470"/>
      <c r="G141" s="470"/>
      <c r="H141" s="470"/>
      <c r="I141" s="470"/>
      <c r="J141" s="470"/>
      <c r="K141" s="470"/>
      <c r="L141" s="470"/>
      <c r="M141" s="470"/>
      <c r="N141" s="470"/>
      <c r="O141" s="470"/>
      <c r="P141" s="470"/>
      <c r="Q141" s="470"/>
      <c r="R141" s="470"/>
      <c r="S141" s="470"/>
      <c r="T141" s="470"/>
      <c r="U141" s="470"/>
      <c r="V141" s="470"/>
      <c r="W141" s="470"/>
      <c r="X141" s="470"/>
      <c r="Y141" s="470"/>
    </row>
    <row r="142" spans="3:25">
      <c r="E142" s="470"/>
      <c r="F142" s="470"/>
      <c r="G142" s="470"/>
      <c r="H142" s="470"/>
      <c r="I142" s="470"/>
      <c r="J142" s="470"/>
      <c r="K142" s="470"/>
      <c r="L142" s="470"/>
      <c r="M142" s="470"/>
      <c r="N142" s="470"/>
      <c r="O142" s="470"/>
      <c r="P142" s="470"/>
      <c r="Q142" s="470"/>
      <c r="R142" s="470"/>
      <c r="S142" s="470"/>
      <c r="T142" s="470"/>
      <c r="U142" s="470"/>
      <c r="V142" s="470"/>
      <c r="W142" s="470"/>
      <c r="X142" s="470"/>
      <c r="Y142" s="470"/>
    </row>
    <row r="143" spans="3:25">
      <c r="E143" s="470"/>
      <c r="F143" s="470"/>
      <c r="G143" s="470"/>
      <c r="H143" s="470"/>
      <c r="I143" s="470"/>
      <c r="J143" s="470"/>
      <c r="K143" s="470"/>
      <c r="L143" s="470"/>
      <c r="M143" s="470"/>
      <c r="N143" s="470"/>
      <c r="O143" s="470"/>
      <c r="P143" s="470"/>
      <c r="Q143" s="470"/>
      <c r="R143" s="470"/>
      <c r="S143" s="470"/>
      <c r="T143" s="470"/>
      <c r="U143" s="470"/>
      <c r="V143" s="470"/>
      <c r="W143" s="470"/>
      <c r="X143" s="470"/>
      <c r="Y143" s="470"/>
    </row>
    <row r="144" spans="3:25">
      <c r="E144" s="470"/>
      <c r="F144" s="470"/>
      <c r="G144" s="470"/>
      <c r="H144" s="470"/>
      <c r="I144" s="470"/>
      <c r="J144" s="470"/>
      <c r="K144" s="470"/>
      <c r="L144" s="470"/>
      <c r="M144" s="470"/>
      <c r="N144" s="470"/>
      <c r="O144" s="470"/>
      <c r="P144" s="470"/>
      <c r="Q144" s="470"/>
      <c r="R144" s="470"/>
      <c r="S144" s="470"/>
      <c r="T144" s="470"/>
      <c r="U144" s="470"/>
      <c r="V144" s="470"/>
      <c r="W144" s="470"/>
      <c r="X144" s="470"/>
      <c r="Y144" s="470"/>
    </row>
    <row r="145" spans="5:25">
      <c r="E145" s="470"/>
      <c r="F145" s="470"/>
      <c r="G145" s="470"/>
      <c r="H145" s="470"/>
      <c r="I145" s="470"/>
      <c r="J145" s="470"/>
      <c r="K145" s="470"/>
      <c r="L145" s="470"/>
      <c r="M145" s="470"/>
      <c r="N145" s="470"/>
      <c r="O145" s="470"/>
      <c r="P145" s="470"/>
      <c r="Q145" s="470"/>
      <c r="R145" s="470"/>
      <c r="S145" s="470"/>
      <c r="T145" s="470"/>
      <c r="U145" s="470"/>
      <c r="V145" s="470"/>
      <c r="W145" s="470"/>
      <c r="X145" s="470"/>
      <c r="Y145" s="470"/>
    </row>
    <row r="146" spans="5:25">
      <c r="E146" s="470"/>
      <c r="F146" s="470"/>
      <c r="G146" s="470"/>
      <c r="H146" s="470"/>
      <c r="I146" s="470"/>
      <c r="J146" s="470"/>
      <c r="K146" s="470"/>
      <c r="L146" s="470"/>
      <c r="M146" s="470"/>
      <c r="N146" s="470"/>
      <c r="O146" s="470"/>
      <c r="P146" s="470"/>
      <c r="Q146" s="470"/>
      <c r="R146" s="470"/>
      <c r="S146" s="470"/>
      <c r="T146" s="470"/>
      <c r="U146" s="470"/>
      <c r="V146" s="470"/>
      <c r="W146" s="470"/>
      <c r="X146" s="470"/>
      <c r="Y146" s="470"/>
    </row>
    <row r="147" spans="5:25">
      <c r="E147" s="470"/>
      <c r="F147" s="470"/>
      <c r="G147" s="470"/>
      <c r="H147" s="470"/>
      <c r="I147" s="470"/>
      <c r="J147" s="470"/>
      <c r="K147" s="470"/>
      <c r="L147" s="470"/>
      <c r="M147" s="470"/>
      <c r="N147" s="470"/>
      <c r="O147" s="470"/>
      <c r="P147" s="470"/>
      <c r="Q147" s="470"/>
      <c r="R147" s="470"/>
      <c r="S147" s="470"/>
      <c r="T147" s="470"/>
      <c r="U147" s="470"/>
      <c r="V147" s="470"/>
      <c r="W147" s="470"/>
      <c r="X147" s="470"/>
      <c r="Y147" s="470"/>
    </row>
    <row r="148" spans="5:25">
      <c r="E148" s="470"/>
      <c r="F148" s="470"/>
      <c r="G148" s="470"/>
      <c r="H148" s="470"/>
      <c r="I148" s="470"/>
      <c r="J148" s="470"/>
      <c r="K148" s="470"/>
      <c r="L148" s="470"/>
      <c r="M148" s="470"/>
      <c r="N148" s="470"/>
      <c r="O148" s="470"/>
      <c r="P148" s="470"/>
      <c r="Q148" s="470"/>
      <c r="R148" s="470"/>
      <c r="S148" s="470"/>
      <c r="T148" s="470"/>
      <c r="U148" s="470"/>
      <c r="V148" s="470"/>
      <c r="W148" s="470"/>
      <c r="X148" s="470"/>
      <c r="Y148" s="470"/>
    </row>
    <row r="149" spans="5:25">
      <c r="E149" s="470"/>
      <c r="F149" s="470"/>
      <c r="G149" s="470"/>
      <c r="H149" s="470"/>
      <c r="I149" s="470"/>
      <c r="J149" s="470"/>
      <c r="K149" s="470"/>
      <c r="L149" s="470"/>
      <c r="M149" s="470"/>
      <c r="N149" s="470"/>
      <c r="O149" s="470"/>
      <c r="P149" s="470"/>
      <c r="Q149" s="470"/>
      <c r="R149" s="470"/>
      <c r="S149" s="470"/>
      <c r="T149" s="470"/>
      <c r="U149" s="470"/>
      <c r="V149" s="470"/>
      <c r="W149" s="470"/>
      <c r="X149" s="470"/>
      <c r="Y149" s="470"/>
    </row>
    <row r="150" spans="5:25">
      <c r="E150" s="470"/>
      <c r="F150" s="470"/>
      <c r="G150" s="470"/>
      <c r="H150" s="470"/>
      <c r="I150" s="470"/>
      <c r="J150" s="470"/>
      <c r="K150" s="470"/>
      <c r="L150" s="470"/>
      <c r="M150" s="470"/>
      <c r="N150" s="470"/>
      <c r="O150" s="470"/>
      <c r="P150" s="470"/>
      <c r="Q150" s="470"/>
      <c r="R150" s="470"/>
      <c r="S150" s="470"/>
      <c r="T150" s="470"/>
      <c r="U150" s="470"/>
      <c r="V150" s="470"/>
      <c r="W150" s="470"/>
      <c r="X150" s="470"/>
      <c r="Y150" s="470"/>
    </row>
    <row r="151" spans="5:25">
      <c r="E151" s="470"/>
      <c r="F151" s="470"/>
      <c r="G151" s="470"/>
      <c r="H151" s="470"/>
      <c r="I151" s="470"/>
      <c r="J151" s="470"/>
      <c r="K151" s="470"/>
      <c r="L151" s="470"/>
      <c r="M151" s="470"/>
      <c r="N151" s="470"/>
      <c r="O151" s="470"/>
      <c r="P151" s="470"/>
      <c r="Q151" s="470"/>
      <c r="R151" s="470"/>
      <c r="S151" s="470"/>
      <c r="T151" s="470"/>
      <c r="U151" s="470"/>
      <c r="V151" s="470"/>
      <c r="W151" s="470"/>
      <c r="X151" s="470"/>
      <c r="Y151" s="470"/>
    </row>
    <row r="152" spans="5:25">
      <c r="E152" s="470"/>
      <c r="F152" s="470"/>
      <c r="G152" s="470"/>
      <c r="H152" s="470"/>
      <c r="I152" s="470"/>
      <c r="J152" s="470"/>
      <c r="K152" s="470"/>
      <c r="L152" s="470"/>
      <c r="M152" s="470"/>
      <c r="N152" s="470"/>
      <c r="O152" s="470"/>
      <c r="P152" s="470"/>
      <c r="Q152" s="470"/>
      <c r="R152" s="470"/>
      <c r="S152" s="470"/>
      <c r="T152" s="470"/>
      <c r="U152" s="470"/>
      <c r="V152" s="470"/>
      <c r="W152" s="470"/>
      <c r="X152" s="470"/>
      <c r="Y152" s="470"/>
    </row>
    <row r="153" spans="5:25">
      <c r="E153" s="470"/>
      <c r="F153" s="470"/>
      <c r="G153" s="470"/>
      <c r="H153" s="470"/>
      <c r="I153" s="470"/>
      <c r="J153" s="470"/>
      <c r="K153" s="470"/>
      <c r="L153" s="470"/>
      <c r="M153" s="470"/>
      <c r="N153" s="470"/>
      <c r="O153" s="470"/>
      <c r="P153" s="470"/>
      <c r="Q153" s="470"/>
      <c r="R153" s="470"/>
      <c r="S153" s="470"/>
      <c r="T153" s="470"/>
      <c r="U153" s="470"/>
      <c r="V153" s="470"/>
      <c r="W153" s="470"/>
      <c r="X153" s="470"/>
      <c r="Y153" s="470"/>
    </row>
    <row r="154" spans="5:25">
      <c r="E154" s="470"/>
      <c r="F154" s="470"/>
      <c r="G154" s="470"/>
      <c r="H154" s="470"/>
      <c r="I154" s="470"/>
      <c r="J154" s="470"/>
      <c r="K154" s="470"/>
      <c r="L154" s="470"/>
      <c r="M154" s="470"/>
      <c r="N154" s="470"/>
      <c r="O154" s="470"/>
      <c r="P154" s="470"/>
      <c r="Q154" s="470"/>
      <c r="R154" s="470"/>
      <c r="S154" s="470"/>
      <c r="T154" s="470"/>
      <c r="U154" s="470"/>
      <c r="V154" s="470"/>
      <c r="W154" s="470"/>
      <c r="X154" s="470"/>
      <c r="Y154" s="470"/>
    </row>
    <row r="155" spans="5:25">
      <c r="E155" s="470"/>
      <c r="F155" s="470"/>
      <c r="G155" s="470"/>
      <c r="H155" s="470"/>
      <c r="I155" s="470"/>
      <c r="J155" s="470"/>
      <c r="K155" s="470"/>
      <c r="L155" s="470"/>
      <c r="M155" s="470"/>
      <c r="N155" s="470"/>
      <c r="O155" s="470"/>
      <c r="P155" s="470"/>
      <c r="Q155" s="470"/>
      <c r="R155" s="470"/>
      <c r="S155" s="470"/>
      <c r="T155" s="470"/>
      <c r="U155" s="470"/>
      <c r="V155" s="470"/>
      <c r="W155" s="470"/>
      <c r="X155" s="470"/>
      <c r="Y155" s="470"/>
    </row>
    <row r="156" spans="5:25">
      <c r="E156" s="470"/>
      <c r="F156" s="470"/>
      <c r="G156" s="470"/>
      <c r="H156" s="470"/>
      <c r="I156" s="470"/>
      <c r="J156" s="470"/>
      <c r="K156" s="470"/>
      <c r="L156" s="470"/>
      <c r="M156" s="470"/>
      <c r="N156" s="470"/>
      <c r="O156" s="470"/>
      <c r="P156" s="470"/>
      <c r="Q156" s="470"/>
      <c r="R156" s="470"/>
      <c r="S156" s="470"/>
      <c r="T156" s="470"/>
      <c r="U156" s="470"/>
      <c r="V156" s="470"/>
      <c r="W156" s="470"/>
      <c r="X156" s="470"/>
      <c r="Y156" s="470"/>
    </row>
    <row r="157" spans="5:25">
      <c r="E157" s="470"/>
      <c r="F157" s="470"/>
      <c r="G157" s="470"/>
      <c r="H157" s="470"/>
      <c r="I157" s="470"/>
      <c r="J157" s="470"/>
      <c r="K157" s="470"/>
      <c r="L157" s="470"/>
      <c r="M157" s="470"/>
      <c r="N157" s="470"/>
      <c r="O157" s="470"/>
      <c r="P157" s="470"/>
      <c r="Q157" s="470"/>
      <c r="R157" s="470"/>
      <c r="S157" s="470"/>
      <c r="T157" s="470"/>
      <c r="U157" s="470"/>
      <c r="V157" s="470"/>
      <c r="W157" s="470"/>
      <c r="X157" s="470"/>
      <c r="Y157" s="470"/>
    </row>
    <row r="158" spans="5:25">
      <c r="E158" s="470"/>
      <c r="F158" s="470"/>
      <c r="G158" s="470"/>
      <c r="H158" s="470"/>
      <c r="I158" s="470"/>
      <c r="J158" s="470"/>
      <c r="K158" s="470"/>
      <c r="L158" s="470"/>
      <c r="M158" s="470"/>
      <c r="N158" s="470"/>
      <c r="O158" s="470"/>
      <c r="P158" s="470"/>
      <c r="Q158" s="470"/>
      <c r="R158" s="470"/>
      <c r="S158" s="470"/>
      <c r="T158" s="470"/>
      <c r="U158" s="470"/>
      <c r="V158" s="470"/>
      <c r="W158" s="470"/>
      <c r="X158" s="470"/>
      <c r="Y158" s="470"/>
    </row>
    <row r="159" spans="5:25">
      <c r="E159" s="470"/>
      <c r="F159" s="470"/>
      <c r="G159" s="470"/>
      <c r="H159" s="470"/>
      <c r="I159" s="470"/>
      <c r="J159" s="470"/>
      <c r="K159" s="470"/>
      <c r="L159" s="470"/>
      <c r="M159" s="470"/>
      <c r="N159" s="470"/>
      <c r="O159" s="470"/>
      <c r="P159" s="470"/>
      <c r="Q159" s="470"/>
      <c r="R159" s="470"/>
      <c r="S159" s="470"/>
      <c r="T159" s="470"/>
      <c r="U159" s="470"/>
      <c r="V159" s="470"/>
      <c r="W159" s="470"/>
      <c r="X159" s="470"/>
      <c r="Y159" s="470"/>
    </row>
    <row r="160" spans="5:25">
      <c r="E160" s="470"/>
      <c r="F160" s="470"/>
      <c r="G160" s="470"/>
      <c r="H160" s="470"/>
      <c r="I160" s="470"/>
      <c r="J160" s="470"/>
      <c r="K160" s="470"/>
      <c r="L160" s="470"/>
      <c r="M160" s="470"/>
      <c r="N160" s="470"/>
      <c r="O160" s="470"/>
      <c r="P160" s="470"/>
      <c r="Q160" s="470"/>
      <c r="R160" s="470"/>
      <c r="S160" s="470"/>
      <c r="T160" s="470"/>
      <c r="U160" s="470"/>
      <c r="V160" s="470"/>
      <c r="W160" s="470"/>
      <c r="X160" s="470"/>
      <c r="Y160" s="470"/>
    </row>
    <row r="161" spans="5:25">
      <c r="E161" s="470"/>
      <c r="F161" s="470"/>
      <c r="G161" s="470"/>
      <c r="H161" s="470"/>
      <c r="I161" s="470"/>
      <c r="J161" s="470"/>
      <c r="K161" s="470"/>
      <c r="L161" s="470"/>
      <c r="M161" s="470"/>
      <c r="N161" s="470"/>
      <c r="O161" s="470"/>
      <c r="P161" s="470"/>
      <c r="Q161" s="470"/>
      <c r="R161" s="470"/>
      <c r="S161" s="470"/>
      <c r="T161" s="470"/>
      <c r="U161" s="470"/>
      <c r="V161" s="470"/>
      <c r="W161" s="470"/>
      <c r="X161" s="470"/>
      <c r="Y161" s="470"/>
    </row>
    <row r="162" spans="5:25">
      <c r="E162" s="470"/>
      <c r="F162" s="470"/>
      <c r="G162" s="470"/>
      <c r="H162" s="470"/>
      <c r="I162" s="470"/>
      <c r="J162" s="470"/>
      <c r="K162" s="470"/>
      <c r="L162" s="470"/>
      <c r="M162" s="470"/>
      <c r="N162" s="470"/>
      <c r="O162" s="470"/>
      <c r="P162" s="470"/>
      <c r="Q162" s="470"/>
      <c r="R162" s="470"/>
      <c r="S162" s="470"/>
      <c r="T162" s="470"/>
      <c r="U162" s="470"/>
      <c r="V162" s="470"/>
      <c r="W162" s="470"/>
      <c r="X162" s="470"/>
      <c r="Y162" s="470"/>
    </row>
    <row r="163" spans="5:25">
      <c r="E163" s="470"/>
      <c r="F163" s="470"/>
      <c r="G163" s="470"/>
      <c r="H163" s="470"/>
      <c r="I163" s="470"/>
      <c r="J163" s="470"/>
      <c r="K163" s="470"/>
      <c r="L163" s="470"/>
      <c r="M163" s="470"/>
      <c r="N163" s="470"/>
      <c r="O163" s="470"/>
      <c r="P163" s="470"/>
      <c r="Q163" s="470"/>
      <c r="R163" s="470"/>
      <c r="S163" s="470"/>
      <c r="T163" s="470"/>
      <c r="U163" s="470"/>
      <c r="V163" s="470"/>
      <c r="W163" s="470"/>
      <c r="X163" s="470"/>
      <c r="Y163" s="470"/>
    </row>
    <row r="164" spans="5:25">
      <c r="E164" s="470"/>
      <c r="F164" s="470"/>
      <c r="G164" s="470"/>
      <c r="H164" s="470"/>
      <c r="I164" s="470"/>
      <c r="J164" s="470"/>
      <c r="K164" s="470"/>
      <c r="L164" s="470"/>
      <c r="M164" s="470"/>
      <c r="N164" s="470"/>
      <c r="O164" s="470"/>
      <c r="P164" s="470"/>
      <c r="Q164" s="470"/>
      <c r="R164" s="470"/>
      <c r="S164" s="470"/>
      <c r="T164" s="470"/>
      <c r="U164" s="470"/>
      <c r="V164" s="470"/>
      <c r="W164" s="470"/>
      <c r="X164" s="470"/>
      <c r="Y164" s="470"/>
    </row>
    <row r="165" spans="5:25">
      <c r="E165" s="470"/>
      <c r="F165" s="470"/>
      <c r="G165" s="470"/>
      <c r="H165" s="470"/>
      <c r="I165" s="470"/>
      <c r="J165" s="470"/>
      <c r="K165" s="470"/>
      <c r="L165" s="470"/>
      <c r="M165" s="470"/>
      <c r="N165" s="470"/>
      <c r="O165" s="470"/>
      <c r="P165" s="470"/>
      <c r="Q165" s="470"/>
      <c r="R165" s="470"/>
      <c r="S165" s="470"/>
      <c r="T165" s="470"/>
      <c r="U165" s="470"/>
      <c r="V165" s="470"/>
      <c r="W165" s="470"/>
      <c r="X165" s="470"/>
      <c r="Y165" s="470"/>
    </row>
    <row r="166" spans="5:25">
      <c r="E166" s="470"/>
      <c r="F166" s="470"/>
      <c r="G166" s="470"/>
      <c r="H166" s="470"/>
      <c r="I166" s="470"/>
      <c r="J166" s="470"/>
      <c r="K166" s="470"/>
      <c r="L166" s="470"/>
      <c r="M166" s="470"/>
      <c r="N166" s="470"/>
      <c r="O166" s="470"/>
      <c r="P166" s="470"/>
      <c r="Q166" s="470"/>
      <c r="R166" s="470"/>
      <c r="S166" s="470"/>
      <c r="T166" s="470"/>
      <c r="U166" s="470"/>
      <c r="V166" s="470"/>
      <c r="W166" s="470"/>
      <c r="X166" s="470"/>
      <c r="Y166" s="470"/>
    </row>
    <row r="167" spans="5:25">
      <c r="E167" s="470"/>
      <c r="F167" s="470"/>
      <c r="G167" s="470"/>
      <c r="H167" s="470"/>
      <c r="I167" s="470"/>
      <c r="J167" s="470"/>
      <c r="K167" s="470"/>
      <c r="L167" s="470"/>
      <c r="M167" s="470"/>
      <c r="N167" s="470"/>
      <c r="O167" s="470"/>
      <c r="P167" s="470"/>
      <c r="Q167" s="470"/>
      <c r="R167" s="470"/>
      <c r="S167" s="470"/>
      <c r="T167" s="470"/>
      <c r="U167" s="470"/>
      <c r="V167" s="470"/>
      <c r="W167" s="470"/>
      <c r="X167" s="470"/>
      <c r="Y167" s="470"/>
    </row>
    <row r="168" spans="5:25">
      <c r="E168" s="470"/>
      <c r="F168" s="470"/>
      <c r="G168" s="470"/>
      <c r="H168" s="470"/>
      <c r="I168" s="470"/>
      <c r="J168" s="470"/>
      <c r="K168" s="470"/>
      <c r="L168" s="470"/>
      <c r="M168" s="470"/>
      <c r="N168" s="470"/>
      <c r="O168" s="470"/>
      <c r="P168" s="470"/>
      <c r="Q168" s="470"/>
      <c r="R168" s="470"/>
      <c r="S168" s="470"/>
      <c r="T168" s="470"/>
      <c r="U168" s="470"/>
      <c r="V168" s="470"/>
      <c r="W168" s="470"/>
      <c r="X168" s="470"/>
      <c r="Y168" s="470"/>
    </row>
    <row r="169" spans="5:25">
      <c r="E169" s="470"/>
      <c r="F169" s="470"/>
      <c r="G169" s="470"/>
      <c r="H169" s="470"/>
      <c r="I169" s="470"/>
      <c r="J169" s="470"/>
      <c r="K169" s="470"/>
      <c r="L169" s="470"/>
      <c r="M169" s="470"/>
      <c r="N169" s="470"/>
      <c r="O169" s="470"/>
      <c r="P169" s="470"/>
      <c r="Q169" s="470"/>
      <c r="R169" s="470"/>
      <c r="S169" s="470"/>
      <c r="T169" s="470"/>
      <c r="U169" s="470"/>
      <c r="V169" s="470"/>
      <c r="W169" s="470"/>
      <c r="X169" s="470"/>
      <c r="Y169" s="470"/>
    </row>
    <row r="170" spans="5:25">
      <c r="E170" s="470"/>
      <c r="F170" s="470"/>
      <c r="G170" s="470"/>
      <c r="H170" s="470"/>
      <c r="I170" s="470"/>
      <c r="J170" s="470"/>
      <c r="K170" s="470"/>
      <c r="L170" s="470"/>
      <c r="M170" s="470"/>
      <c r="N170" s="470"/>
      <c r="O170" s="470"/>
      <c r="P170" s="470"/>
      <c r="Q170" s="470"/>
      <c r="R170" s="470"/>
      <c r="S170" s="470"/>
      <c r="T170" s="470"/>
      <c r="U170" s="470"/>
      <c r="V170" s="470"/>
      <c r="W170" s="470"/>
      <c r="X170" s="470"/>
      <c r="Y170" s="470"/>
    </row>
    <row r="171" spans="5:25">
      <c r="E171" s="470"/>
      <c r="F171" s="470"/>
      <c r="G171" s="470"/>
      <c r="H171" s="470"/>
      <c r="I171" s="470"/>
      <c r="J171" s="470"/>
      <c r="K171" s="470"/>
      <c r="L171" s="470"/>
      <c r="M171" s="470"/>
      <c r="N171" s="470"/>
      <c r="O171" s="470"/>
      <c r="P171" s="470"/>
      <c r="Q171" s="470"/>
      <c r="R171" s="470"/>
      <c r="S171" s="470"/>
      <c r="T171" s="470"/>
      <c r="U171" s="470"/>
      <c r="V171" s="470"/>
      <c r="W171" s="470"/>
      <c r="X171" s="470"/>
      <c r="Y171" s="470"/>
    </row>
    <row r="172" spans="5:25">
      <c r="E172" s="470"/>
      <c r="F172" s="470"/>
      <c r="G172" s="470"/>
      <c r="H172" s="470"/>
      <c r="I172" s="470"/>
      <c r="J172" s="470"/>
      <c r="K172" s="470"/>
      <c r="L172" s="470"/>
      <c r="M172" s="470"/>
      <c r="N172" s="470"/>
      <c r="O172" s="470"/>
      <c r="P172" s="470"/>
      <c r="Q172" s="470"/>
      <c r="R172" s="470"/>
      <c r="S172" s="470"/>
      <c r="T172" s="470"/>
      <c r="U172" s="470"/>
      <c r="V172" s="470"/>
      <c r="W172" s="470"/>
      <c r="X172" s="470"/>
      <c r="Y172" s="470"/>
    </row>
    <row r="173" spans="5:25">
      <c r="E173" s="470"/>
      <c r="F173" s="470"/>
      <c r="G173" s="470"/>
      <c r="H173" s="470"/>
      <c r="I173" s="470"/>
      <c r="J173" s="470"/>
      <c r="K173" s="470"/>
      <c r="L173" s="470"/>
      <c r="M173" s="470"/>
      <c r="N173" s="470"/>
      <c r="O173" s="470"/>
      <c r="P173" s="470"/>
      <c r="Q173" s="470"/>
      <c r="R173" s="470"/>
      <c r="S173" s="470"/>
      <c r="T173" s="470"/>
      <c r="U173" s="470"/>
      <c r="V173" s="470"/>
      <c r="W173" s="470"/>
      <c r="X173" s="470"/>
      <c r="Y173" s="470"/>
    </row>
  </sheetData>
  <mergeCells count="3">
    <mergeCell ref="F5:J5"/>
    <mergeCell ref="B21:C22"/>
    <mergeCell ref="B34:B35"/>
  </mergeCells>
  <conditionalFormatting sqref="B3">
    <cfRule type="cellIs" dxfId="5" priority="1" operator="notEqual">
      <formula>0</formula>
    </cfRule>
    <cfRule type="cellIs" dxfId="4" priority="2"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AA98"/>
  <sheetViews>
    <sheetView zoomScale="90" zoomScaleNormal="90" workbookViewId="0"/>
  </sheetViews>
  <sheetFormatPr defaultRowHeight="15" outlineLevelRow="1"/>
  <cols>
    <col min="1" max="1" width="2.7109375" style="1" bestFit="1" customWidth="1"/>
    <col min="2" max="2" width="37.7109375" style="1" bestFit="1" customWidth="1"/>
    <col min="3" max="3" width="18.5703125" style="1" customWidth="1"/>
    <col min="4" max="4" width="13.5703125" style="1" customWidth="1"/>
    <col min="5" max="5" width="9.140625" style="1" customWidth="1"/>
    <col min="6" max="8" width="9" style="1" customWidth="1"/>
    <col min="9" max="9" width="11" style="1" bestFit="1" customWidth="1"/>
    <col min="10" max="15" width="9" style="1" customWidth="1"/>
    <col min="16" max="16384" width="9.140625" style="1"/>
  </cols>
  <sheetData>
    <row r="1" spans="1:27" ht="6" customHeight="1" thickBot="1">
      <c r="C1" s="1" t="s">
        <v>739</v>
      </c>
      <c r="D1" s="539"/>
      <c r="E1" s="539"/>
    </row>
    <row r="2" spans="1:27" ht="21.75" thickBot="1">
      <c r="B2" s="539" t="s">
        <v>1625</v>
      </c>
      <c r="C2" s="539"/>
      <c r="D2" s="539"/>
      <c r="E2" s="539"/>
      <c r="H2" s="538" t="s">
        <v>738</v>
      </c>
      <c r="I2" s="537">
        <f>IRR(E11:Y11,-0.31)</f>
        <v>0.17044473059346976</v>
      </c>
      <c r="K2" s="1263" t="str">
        <f>IF(M29=1,"Base Case","Sensitivity Case")</f>
        <v>Base Case</v>
      </c>
      <c r="L2" s="1264"/>
      <c r="N2" s="1028" t="s">
        <v>1624</v>
      </c>
    </row>
    <row r="4" spans="1:27" ht="16.5" thickBot="1">
      <c r="B4" s="196" t="s">
        <v>470</v>
      </c>
      <c r="E4" s="72">
        <v>2012</v>
      </c>
      <c r="F4" s="72">
        <f t="shared" ref="F4:Y4" si="0">E4+1</f>
        <v>2013</v>
      </c>
      <c r="G4" s="72">
        <f t="shared" si="0"/>
        <v>2014</v>
      </c>
      <c r="H4" s="72">
        <f t="shared" si="0"/>
        <v>2015</v>
      </c>
      <c r="I4" s="72">
        <f t="shared" si="0"/>
        <v>2016</v>
      </c>
      <c r="J4" s="72">
        <f t="shared" si="0"/>
        <v>2017</v>
      </c>
      <c r="K4" s="72">
        <f t="shared" si="0"/>
        <v>2018</v>
      </c>
      <c r="L4" s="72">
        <f t="shared" si="0"/>
        <v>2019</v>
      </c>
      <c r="M4" s="72">
        <f t="shared" si="0"/>
        <v>2020</v>
      </c>
      <c r="N4" s="72">
        <f t="shared" si="0"/>
        <v>2021</v>
      </c>
      <c r="O4" s="72">
        <f t="shared" si="0"/>
        <v>2022</v>
      </c>
      <c r="P4" s="72">
        <f t="shared" si="0"/>
        <v>2023</v>
      </c>
      <c r="Q4" s="72">
        <f t="shared" si="0"/>
        <v>2024</v>
      </c>
      <c r="R4" s="72">
        <f t="shared" si="0"/>
        <v>2025</v>
      </c>
      <c r="S4" s="72">
        <f t="shared" si="0"/>
        <v>2026</v>
      </c>
      <c r="T4" s="72">
        <f t="shared" si="0"/>
        <v>2027</v>
      </c>
      <c r="U4" s="72">
        <f t="shared" si="0"/>
        <v>2028</v>
      </c>
      <c r="V4" s="72">
        <f t="shared" si="0"/>
        <v>2029</v>
      </c>
      <c r="W4" s="72">
        <f t="shared" si="0"/>
        <v>2030</v>
      </c>
      <c r="X4" s="72">
        <f t="shared" si="0"/>
        <v>2031</v>
      </c>
      <c r="Y4" s="72">
        <f t="shared" si="0"/>
        <v>2032</v>
      </c>
    </row>
    <row r="5" spans="1:27">
      <c r="B5" s="536" t="s">
        <v>736</v>
      </c>
      <c r="C5" s="535"/>
      <c r="D5" s="534" t="s">
        <v>737</v>
      </c>
      <c r="E5" s="459"/>
      <c r="F5" s="1260" t="s">
        <v>420</v>
      </c>
      <c r="G5" s="1260"/>
      <c r="H5" s="1260"/>
      <c r="I5" s="1260"/>
      <c r="J5" s="1260"/>
      <c r="K5" s="458"/>
      <c r="L5" s="458"/>
      <c r="M5" s="458"/>
      <c r="N5" s="458"/>
      <c r="O5" s="458"/>
      <c r="P5" s="458"/>
      <c r="Q5" s="458"/>
      <c r="R5" s="458"/>
      <c r="S5" s="458"/>
      <c r="T5" s="458"/>
      <c r="U5" s="458"/>
      <c r="V5" s="458"/>
      <c r="W5" s="458"/>
      <c r="X5" s="458"/>
      <c r="Y5" s="457"/>
    </row>
    <row r="6" spans="1:27" s="3" customFormat="1">
      <c r="B6" s="449"/>
      <c r="C6" s="450"/>
      <c r="D6" s="533" t="s">
        <v>736</v>
      </c>
      <c r="E6" s="201">
        <v>0</v>
      </c>
      <c r="F6" s="201">
        <f t="shared" ref="F6:X6" si="1">E6+1</f>
        <v>1</v>
      </c>
      <c r="G6" s="201">
        <f t="shared" si="1"/>
        <v>2</v>
      </c>
      <c r="H6" s="201">
        <f t="shared" si="1"/>
        <v>3</v>
      </c>
      <c r="I6" s="201">
        <f t="shared" si="1"/>
        <v>4</v>
      </c>
      <c r="J6" s="201">
        <f t="shared" si="1"/>
        <v>5</v>
      </c>
      <c r="K6" s="201">
        <f t="shared" si="1"/>
        <v>6</v>
      </c>
      <c r="L6" s="201">
        <f t="shared" si="1"/>
        <v>7</v>
      </c>
      <c r="M6" s="201">
        <f t="shared" si="1"/>
        <v>8</v>
      </c>
      <c r="N6" s="201">
        <f t="shared" si="1"/>
        <v>9</v>
      </c>
      <c r="O6" s="201">
        <f t="shared" si="1"/>
        <v>10</v>
      </c>
      <c r="P6" s="201">
        <f t="shared" si="1"/>
        <v>11</v>
      </c>
      <c r="Q6" s="201">
        <f t="shared" si="1"/>
        <v>12</v>
      </c>
      <c r="R6" s="201">
        <f t="shared" si="1"/>
        <v>13</v>
      </c>
      <c r="S6" s="201">
        <f t="shared" si="1"/>
        <v>14</v>
      </c>
      <c r="T6" s="201">
        <f t="shared" si="1"/>
        <v>15</v>
      </c>
      <c r="U6" s="201">
        <f t="shared" si="1"/>
        <v>16</v>
      </c>
      <c r="V6" s="201">
        <f t="shared" si="1"/>
        <v>17</v>
      </c>
      <c r="W6" s="201">
        <f t="shared" si="1"/>
        <v>18</v>
      </c>
      <c r="X6" s="201">
        <f t="shared" si="1"/>
        <v>19</v>
      </c>
      <c r="Y6" s="451">
        <v>20</v>
      </c>
    </row>
    <row r="7" spans="1:27" s="3" customFormat="1">
      <c r="B7" s="449" t="s">
        <v>735</v>
      </c>
      <c r="C7" s="608">
        <f>D7*1000000</f>
        <v>346723948.14946187</v>
      </c>
      <c r="D7" s="527">
        <f>NPV(0.1,E7:Y7)</f>
        <v>346.72394814946188</v>
      </c>
      <c r="E7" s="470">
        <f>Benefits!D10</f>
        <v>0</v>
      </c>
      <c r="F7" s="470">
        <f>Benefits!E10</f>
        <v>0</v>
      </c>
      <c r="G7" s="470">
        <f>Benefits!F10</f>
        <v>4.0547283357835031</v>
      </c>
      <c r="H7" s="470">
        <f>Benefits!G10</f>
        <v>14.481006190052797</v>
      </c>
      <c r="I7" s="470">
        <f>Benefits!H10</f>
        <v>32.653438660027319</v>
      </c>
      <c r="J7" s="470">
        <f>Benefits!I10</f>
        <v>50.33480269335103</v>
      </c>
      <c r="K7" s="470">
        <f>Benefits!J10</f>
        <v>53.658323840170304</v>
      </c>
      <c r="L7" s="470">
        <f>Benefits!K10</f>
        <v>54.971732067133942</v>
      </c>
      <c r="M7" s="470">
        <f>Benefits!L10</f>
        <v>56.328303429803753</v>
      </c>
      <c r="N7" s="470">
        <f>Benefits!M10</f>
        <v>57.729598983315221</v>
      </c>
      <c r="O7" s="470">
        <f>Benefits!N10</f>
        <v>59.177242384826847</v>
      </c>
      <c r="P7" s="470">
        <f>Benefits!O10</f>
        <v>60.672922645546798</v>
      </c>
      <c r="Q7" s="470">
        <f>Benefits!P10</f>
        <v>62.21839701232674</v>
      </c>
      <c r="R7" s="470">
        <f>Benefits!Q10</f>
        <v>63.81549398520216</v>
      </c>
      <c r="S7" s="470">
        <f>Benefits!R10</f>
        <v>65.466116477581778</v>
      </c>
      <c r="T7" s="470">
        <f>Benefits!S10</f>
        <v>67.192924547438025</v>
      </c>
      <c r="U7" s="470">
        <f>Benefits!T10</f>
        <v>69.068178633479036</v>
      </c>
      <c r="V7" s="470">
        <f>Benefits!U10</f>
        <v>71.185011380568596</v>
      </c>
      <c r="W7" s="470">
        <f>Benefits!V10</f>
        <v>73.589108448453516</v>
      </c>
      <c r="X7" s="470">
        <f>Benefits!W10</f>
        <v>76.183445691988112</v>
      </c>
      <c r="Y7" s="532">
        <f>Benefits!X10</f>
        <v>227.57733859872502</v>
      </c>
    </row>
    <row r="8" spans="1:27">
      <c r="B8" s="120"/>
      <c r="C8" s="205"/>
      <c r="D8" s="205"/>
      <c r="E8" s="531"/>
      <c r="F8" s="531"/>
      <c r="G8" s="531"/>
      <c r="H8" s="531"/>
      <c r="I8" s="531"/>
      <c r="J8" s="531"/>
      <c r="K8" s="531"/>
      <c r="L8" s="531"/>
      <c r="M8" s="531"/>
      <c r="N8" s="531"/>
      <c r="O8" s="531"/>
      <c r="P8" s="531"/>
      <c r="Q8" s="531"/>
      <c r="R8" s="531"/>
      <c r="S8" s="531"/>
      <c r="T8" s="531"/>
      <c r="U8" s="531"/>
      <c r="V8" s="531"/>
      <c r="W8" s="531"/>
      <c r="X8" s="531"/>
      <c r="Y8" s="119"/>
    </row>
    <row r="9" spans="1:27">
      <c r="B9" s="449" t="s">
        <v>734</v>
      </c>
      <c r="C9" s="608">
        <f>D9*1000000</f>
        <v>230795534.5798071</v>
      </c>
      <c r="D9" s="527">
        <f>NPV(0.1,E9:Y9)</f>
        <v>230.79553457980711</v>
      </c>
      <c r="E9" s="473">
        <f>Cost!D16*(1-$M$14)</f>
        <v>11.412506655003416</v>
      </c>
      <c r="F9" s="473">
        <f>Cost!E16*(1-$M$14)</f>
        <v>19.973621044529942</v>
      </c>
      <c r="G9" s="473">
        <f>Cost!F16*(1-$M$14)</f>
        <v>65.66334655860021</v>
      </c>
      <c r="H9" s="473">
        <f>Cost!G16*(1-$M$14)</f>
        <v>80.937097108693976</v>
      </c>
      <c r="I9" s="473">
        <f>Cost!H16*(1-$M$14)</f>
        <v>73.575118391688761</v>
      </c>
      <c r="J9" s="473">
        <f>Cost!I16*(1-$M$14)</f>
        <v>56.736645586689534</v>
      </c>
      <c r="K9" s="473">
        <f>Cost!J16</f>
        <v>5.0280773098952469</v>
      </c>
      <c r="L9" s="473">
        <f>Cost!K16</f>
        <v>5.0280773098952469</v>
      </c>
      <c r="M9" s="473">
        <f>Cost!L16</f>
        <v>5.0280773098952469</v>
      </c>
      <c r="N9" s="473">
        <f>Cost!M16</f>
        <v>5.0280773098952469</v>
      </c>
      <c r="O9" s="473">
        <f>Cost!N16</f>
        <v>5.0280773098952469</v>
      </c>
      <c r="P9" s="473">
        <f>Cost!O16</f>
        <v>5.0280773098952469</v>
      </c>
      <c r="Q9" s="473">
        <f>Cost!P16</f>
        <v>5.0280773098952469</v>
      </c>
      <c r="R9" s="473">
        <f>Cost!Q16</f>
        <v>5.0280773098952469</v>
      </c>
      <c r="S9" s="473">
        <f>Cost!R16</f>
        <v>5.0280773098952469</v>
      </c>
      <c r="T9" s="473">
        <f>Cost!S16</f>
        <v>5.0280773098952469</v>
      </c>
      <c r="U9" s="473">
        <f>Cost!T16</f>
        <v>5.0280773098952469</v>
      </c>
      <c r="V9" s="473">
        <f>Cost!U16</f>
        <v>5.0280773098952469</v>
      </c>
      <c r="W9" s="473">
        <f>Cost!V16</f>
        <v>5.0280773098952469</v>
      </c>
      <c r="X9" s="473">
        <f>Cost!W16</f>
        <v>5.0280773098952469</v>
      </c>
      <c r="Y9" s="472">
        <f>Cost!X16</f>
        <v>5.0280773098952469</v>
      </c>
    </row>
    <row r="10" spans="1:27" s="512" customFormat="1">
      <c r="A10" s="3"/>
      <c r="B10" s="449"/>
      <c r="C10" s="518"/>
      <c r="D10" s="518"/>
      <c r="E10" s="473"/>
      <c r="F10" s="529"/>
      <c r="G10" s="529"/>
      <c r="H10" s="529"/>
      <c r="I10" s="529"/>
      <c r="J10" s="529"/>
      <c r="K10" s="529"/>
      <c r="L10" s="529"/>
      <c r="M10" s="530"/>
      <c r="N10" s="529"/>
      <c r="O10" s="529"/>
      <c r="P10" s="529"/>
      <c r="Q10" s="529"/>
      <c r="R10" s="529"/>
      <c r="S10" s="529"/>
      <c r="T10" s="529"/>
      <c r="U10" s="529"/>
      <c r="V10" s="529"/>
      <c r="W10" s="529"/>
      <c r="X10" s="529"/>
      <c r="Y10" s="528"/>
      <c r="Z10" s="513"/>
      <c r="AA10" s="513"/>
    </row>
    <row r="11" spans="1:27" s="512" customFormat="1">
      <c r="B11" s="449" t="s">
        <v>733</v>
      </c>
      <c r="C11" s="518"/>
      <c r="D11" s="527">
        <f>NPV(0.1,E11:Y11)</f>
        <v>115.92841356965468</v>
      </c>
      <c r="E11" s="473">
        <f t="shared" ref="E11:Y11" si="2">E7-E9</f>
        <v>-11.412506655003416</v>
      </c>
      <c r="F11" s="473">
        <f t="shared" si="2"/>
        <v>-19.973621044529942</v>
      </c>
      <c r="G11" s="473">
        <f t="shared" si="2"/>
        <v>-61.608618222816709</v>
      </c>
      <c r="H11" s="473">
        <f t="shared" si="2"/>
        <v>-66.456090918641181</v>
      </c>
      <c r="I11" s="473">
        <f t="shared" si="2"/>
        <v>-40.921679731661442</v>
      </c>
      <c r="J11" s="473">
        <f t="shared" si="2"/>
        <v>-6.4018428933385039</v>
      </c>
      <c r="K11" s="473">
        <f t="shared" si="2"/>
        <v>48.630246530275059</v>
      </c>
      <c r="L11" s="473">
        <f t="shared" si="2"/>
        <v>49.943654757238697</v>
      </c>
      <c r="M11" s="473">
        <f t="shared" si="2"/>
        <v>51.300226119908508</v>
      </c>
      <c r="N11" s="473">
        <f t="shared" si="2"/>
        <v>52.701521673419975</v>
      </c>
      <c r="O11" s="473">
        <f t="shared" si="2"/>
        <v>54.149165074931602</v>
      </c>
      <c r="P11" s="473">
        <f t="shared" si="2"/>
        <v>55.644845335651553</v>
      </c>
      <c r="Q11" s="473">
        <f t="shared" si="2"/>
        <v>57.190319702431495</v>
      </c>
      <c r="R11" s="473">
        <f t="shared" si="2"/>
        <v>58.787416675306915</v>
      </c>
      <c r="S11" s="473">
        <f t="shared" si="2"/>
        <v>60.438039167686533</v>
      </c>
      <c r="T11" s="473">
        <f t="shared" si="2"/>
        <v>62.16484723754278</v>
      </c>
      <c r="U11" s="473">
        <f t="shared" si="2"/>
        <v>64.040101323583784</v>
      </c>
      <c r="V11" s="473">
        <f t="shared" si="2"/>
        <v>66.156934070673344</v>
      </c>
      <c r="W11" s="473">
        <f t="shared" si="2"/>
        <v>68.561031138558263</v>
      </c>
      <c r="X11" s="473">
        <f t="shared" si="2"/>
        <v>71.15536838209286</v>
      </c>
      <c r="Y11" s="472">
        <f t="shared" si="2"/>
        <v>222.54926128882977</v>
      </c>
      <c r="Z11" s="513"/>
      <c r="AA11" s="513"/>
    </row>
    <row r="12" spans="1:27" s="512" customFormat="1" ht="15.75" thickBot="1">
      <c r="B12" s="118"/>
      <c r="C12" s="526"/>
      <c r="D12" s="526"/>
      <c r="E12" s="437"/>
      <c r="F12" s="525"/>
      <c r="G12" s="525"/>
      <c r="H12" s="525"/>
      <c r="I12" s="523"/>
      <c r="J12" s="523"/>
      <c r="K12" s="523"/>
      <c r="L12" s="523"/>
      <c r="M12" s="524"/>
      <c r="N12" s="523"/>
      <c r="O12" s="523"/>
      <c r="P12" s="523"/>
      <c r="Q12" s="523"/>
      <c r="R12" s="523"/>
      <c r="S12" s="523"/>
      <c r="T12" s="523"/>
      <c r="U12" s="523"/>
      <c r="V12" s="523"/>
      <c r="W12" s="523"/>
      <c r="X12" s="523"/>
      <c r="Y12" s="522"/>
      <c r="Z12" s="514"/>
      <c r="AA12" s="513"/>
    </row>
    <row r="13" spans="1:27" s="512" customFormat="1" ht="15.75" thickBot="1">
      <c r="B13" s="393" t="s">
        <v>732</v>
      </c>
      <c r="C13" s="518"/>
      <c r="D13" s="518"/>
      <c r="E13" s="72"/>
      <c r="F13" s="517"/>
      <c r="G13" s="517"/>
      <c r="H13" s="517"/>
      <c r="I13" s="514"/>
      <c r="J13" s="289" t="s">
        <v>731</v>
      </c>
      <c r="K13" s="289" t="s">
        <v>730</v>
      </c>
      <c r="L13" s="514"/>
      <c r="M13" s="521"/>
      <c r="N13" s="514"/>
      <c r="O13" s="514"/>
      <c r="P13" s="514"/>
      <c r="Q13" s="514"/>
      <c r="R13" s="514"/>
      <c r="S13" s="514"/>
      <c r="T13" s="514"/>
      <c r="U13" s="514"/>
      <c r="V13" s="514"/>
      <c r="W13" s="514"/>
      <c r="X13" s="514"/>
      <c r="Y13" s="514"/>
      <c r="Z13" s="514"/>
      <c r="AA13" s="513"/>
    </row>
    <row r="14" spans="1:27" s="512" customFormat="1">
      <c r="A14" s="492">
        <v>1</v>
      </c>
      <c r="B14" s="520" t="s">
        <v>707</v>
      </c>
      <c r="C14" s="519">
        <v>1</v>
      </c>
      <c r="D14" s="518"/>
      <c r="E14" s="72"/>
      <c r="F14" s="517"/>
      <c r="G14" s="517"/>
      <c r="H14" s="517"/>
      <c r="I14" s="514"/>
      <c r="J14" s="482">
        <v>1</v>
      </c>
      <c r="K14" s="511">
        <v>1</v>
      </c>
      <c r="L14" s="514"/>
      <c r="M14" s="516">
        <v>0</v>
      </c>
      <c r="N14" s="515" t="s">
        <v>729</v>
      </c>
      <c r="O14" s="514"/>
      <c r="P14" s="514"/>
      <c r="Q14" s="514"/>
      <c r="R14" s="514"/>
      <c r="S14" s="514"/>
      <c r="T14" s="514"/>
      <c r="U14" s="514"/>
      <c r="V14" s="514"/>
      <c r="W14" s="514"/>
      <c r="X14" s="514"/>
      <c r="Y14" s="514"/>
      <c r="Z14" s="514"/>
      <c r="AA14" s="513"/>
    </row>
    <row r="15" spans="1:27">
      <c r="A15" s="492">
        <v>2</v>
      </c>
      <c r="B15" s="507" t="s">
        <v>706</v>
      </c>
      <c r="C15" s="506">
        <v>1</v>
      </c>
      <c r="D15" s="233"/>
      <c r="E15" s="233"/>
      <c r="F15" s="233"/>
      <c r="I15" s="478"/>
      <c r="J15" s="482">
        <v>1</v>
      </c>
      <c r="K15" s="511">
        <v>1</v>
      </c>
    </row>
    <row r="16" spans="1:27">
      <c r="A16" s="492">
        <v>3</v>
      </c>
      <c r="B16" s="507" t="s">
        <v>705</v>
      </c>
      <c r="C16" s="506">
        <v>1</v>
      </c>
      <c r="D16" s="233"/>
      <c r="E16" s="233"/>
      <c r="F16" s="233"/>
      <c r="I16" s="478"/>
      <c r="J16" s="482">
        <v>1</v>
      </c>
      <c r="K16" s="511">
        <v>1</v>
      </c>
      <c r="N16" s="1">
        <f>-16.2</f>
        <v>-16.2</v>
      </c>
      <c r="O16" s="1">
        <v>24.3</v>
      </c>
      <c r="P16" s="1">
        <v>12.8</v>
      </c>
    </row>
    <row r="17" spans="1:25">
      <c r="A17" s="492">
        <v>4</v>
      </c>
      <c r="B17" s="507" t="s">
        <v>704</v>
      </c>
      <c r="C17" s="510">
        <v>0</v>
      </c>
      <c r="I17" s="478"/>
      <c r="J17" s="482">
        <v>0</v>
      </c>
      <c r="K17" s="482">
        <v>0</v>
      </c>
      <c r="O17" s="1">
        <f>N16+O16</f>
        <v>8.1000000000000014</v>
      </c>
      <c r="P17" s="1">
        <f>O17+P16</f>
        <v>20.900000000000002</v>
      </c>
    </row>
    <row r="18" spans="1:25" ht="15" customHeight="1">
      <c r="A18" s="492">
        <v>5</v>
      </c>
      <c r="B18" s="507" t="s">
        <v>728</v>
      </c>
      <c r="C18" s="510">
        <v>0</v>
      </c>
      <c r="E18" s="233"/>
      <c r="F18" s="509" t="s">
        <v>727</v>
      </c>
      <c r="G18" s="508">
        <v>0</v>
      </c>
      <c r="H18" s="136" t="s">
        <v>726</v>
      </c>
      <c r="I18" s="478"/>
      <c r="J18" s="482">
        <v>1</v>
      </c>
      <c r="K18" s="482">
        <v>0</v>
      </c>
      <c r="L18" s="1" t="s">
        <v>725</v>
      </c>
    </row>
    <row r="19" spans="1:25">
      <c r="A19" s="492">
        <v>6</v>
      </c>
      <c r="B19" s="507" t="s">
        <v>703</v>
      </c>
      <c r="C19" s="506">
        <v>1</v>
      </c>
      <c r="E19" s="233"/>
      <c r="F19" s="233"/>
      <c r="G19" s="478"/>
      <c r="H19" s="477" t="s">
        <v>724</v>
      </c>
      <c r="I19" s="233"/>
      <c r="J19" s="482">
        <v>0</v>
      </c>
      <c r="K19" s="495">
        <v>1</v>
      </c>
    </row>
    <row r="20" spans="1:25" ht="15.75" thickBot="1">
      <c r="A20" s="492">
        <v>7</v>
      </c>
      <c r="B20" s="463" t="s">
        <v>702</v>
      </c>
      <c r="C20" s="505">
        <v>0</v>
      </c>
      <c r="D20" s="233"/>
      <c r="E20" s="233"/>
      <c r="F20" s="233"/>
      <c r="G20" s="478"/>
      <c r="H20" s="497">
        <v>-8.7332950247636418</v>
      </c>
      <c r="I20" s="233"/>
      <c r="J20" s="482">
        <v>0</v>
      </c>
      <c r="K20" s="481">
        <v>0</v>
      </c>
      <c r="M20" s="3" t="s">
        <v>723</v>
      </c>
    </row>
    <row r="21" spans="1:25">
      <c r="B21" s="1261" t="s">
        <v>722</v>
      </c>
      <c r="C21" s="1261"/>
      <c r="D21" s="504">
        <v>0</v>
      </c>
      <c r="E21" s="289" t="s">
        <v>701</v>
      </c>
      <c r="F21" s="233"/>
      <c r="H21" s="497">
        <v>32.40205103976146</v>
      </c>
      <c r="I21" s="501"/>
      <c r="J21" s="500">
        <v>0</v>
      </c>
      <c r="K21" s="499">
        <v>0</v>
      </c>
      <c r="M21" s="489">
        <v>1</v>
      </c>
      <c r="N21" s="1" t="s">
        <v>721</v>
      </c>
    </row>
    <row r="22" spans="1:25" ht="15.75" thickBot="1">
      <c r="B22" s="1261"/>
      <c r="C22" s="1261"/>
      <c r="D22" s="503">
        <v>0</v>
      </c>
      <c r="E22" s="289" t="s">
        <v>160</v>
      </c>
      <c r="F22" s="233"/>
      <c r="G22" s="478"/>
      <c r="H22" s="497">
        <v>23.933313667076838</v>
      </c>
      <c r="I22" s="501"/>
      <c r="J22" s="500">
        <v>0</v>
      </c>
      <c r="K22" s="499">
        <v>0</v>
      </c>
      <c r="M22" s="489">
        <v>1</v>
      </c>
      <c r="N22" s="1" t="s">
        <v>720</v>
      </c>
    </row>
    <row r="23" spans="1:25" ht="15.75" thickBot="1">
      <c r="B23" s="214" t="s">
        <v>699</v>
      </c>
      <c r="D23" s="12"/>
      <c r="E23" s="289"/>
      <c r="G23" s="471" t="s">
        <v>719</v>
      </c>
      <c r="H23" s="502">
        <v>19.936114771034479</v>
      </c>
      <c r="I23" s="501" t="s">
        <v>718</v>
      </c>
      <c r="J23" s="500"/>
      <c r="K23" s="499"/>
      <c r="M23" s="489">
        <v>1</v>
      </c>
      <c r="N23" s="1" t="s">
        <v>717</v>
      </c>
    </row>
    <row r="24" spans="1:25">
      <c r="B24" s="467" t="s">
        <v>51</v>
      </c>
      <c r="C24" s="498">
        <v>0</v>
      </c>
      <c r="D24" s="12"/>
      <c r="E24" s="289"/>
      <c r="G24" s="241">
        <v>63.862358604003738</v>
      </c>
      <c r="H24" s="497">
        <f>SUM(H20:H23)</f>
        <v>67.538184453109139</v>
      </c>
      <c r="I24" s="240">
        <f>G24-H24</f>
        <v>-3.6758258491054008</v>
      </c>
      <c r="J24" s="482">
        <v>0</v>
      </c>
      <c r="K24" s="481">
        <v>0</v>
      </c>
      <c r="M24" s="489">
        <f>'Health--Stunting'!C45</f>
        <v>1</v>
      </c>
      <c r="N24" s="1" t="s">
        <v>716</v>
      </c>
    </row>
    <row r="25" spans="1:25" ht="15.75" thickBot="1">
      <c r="A25" s="492">
        <v>8</v>
      </c>
      <c r="B25" s="463" t="s">
        <v>52</v>
      </c>
      <c r="C25" s="496">
        <v>1</v>
      </c>
      <c r="D25" s="12"/>
      <c r="E25" s="289"/>
      <c r="F25" s="233"/>
      <c r="G25" s="478"/>
      <c r="H25" s="477"/>
      <c r="I25" s="233"/>
      <c r="J25" s="482">
        <v>1</v>
      </c>
      <c r="K25" s="495">
        <v>1</v>
      </c>
      <c r="M25" s="489">
        <f>'Travel time analysis'!E64</f>
        <v>1</v>
      </c>
      <c r="N25" s="1" t="s">
        <v>715</v>
      </c>
    </row>
    <row r="26" spans="1:25" ht="15.75" thickBot="1">
      <c r="A26" s="492"/>
      <c r="B26" s="494" t="s">
        <v>714</v>
      </c>
      <c r="C26" s="493"/>
      <c r="D26" s="12"/>
      <c r="E26" s="289"/>
      <c r="F26" s="233"/>
      <c r="G26" s="478"/>
      <c r="H26" s="477"/>
      <c r="I26" s="233"/>
      <c r="J26" s="482"/>
      <c r="K26" s="316"/>
      <c r="M26" s="489">
        <f>'Time Savings'!H74</f>
        <v>1</v>
      </c>
      <c r="N26" s="1" t="s">
        <v>713</v>
      </c>
    </row>
    <row r="27" spans="1:25" ht="15.75" thickBot="1">
      <c r="A27" s="492"/>
      <c r="B27" s="491" t="s">
        <v>712</v>
      </c>
      <c r="C27" s="490">
        <v>0</v>
      </c>
      <c r="D27" s="245" t="s">
        <v>709</v>
      </c>
      <c r="E27" s="289"/>
      <c r="F27" s="233"/>
      <c r="G27" s="478"/>
      <c r="H27" s="477"/>
      <c r="I27" s="233"/>
      <c r="J27" s="482">
        <v>0</v>
      </c>
      <c r="K27" s="316">
        <v>0</v>
      </c>
      <c r="M27" s="489">
        <f>NRW!F52</f>
        <v>1</v>
      </c>
      <c r="N27" s="1" t="s">
        <v>711</v>
      </c>
    </row>
    <row r="28" spans="1:25" ht="15.75" thickBot="1">
      <c r="B28" s="488" t="s">
        <v>710</v>
      </c>
      <c r="C28" s="487">
        <v>0</v>
      </c>
      <c r="D28" s="245" t="s">
        <v>709</v>
      </c>
      <c r="E28" s="289"/>
      <c r="F28" s="233"/>
      <c r="G28" s="478"/>
      <c r="H28" s="477"/>
      <c r="I28" s="241"/>
      <c r="J28" s="482">
        <v>0</v>
      </c>
      <c r="K28" s="481">
        <v>0</v>
      </c>
      <c r="M28" s="486">
        <f>NRW!K44</f>
        <v>1</v>
      </c>
      <c r="N28" s="1" t="s">
        <v>708</v>
      </c>
    </row>
    <row r="29" spans="1:25" ht="15.75" thickBot="1">
      <c r="B29" s="485"/>
      <c r="C29" s="204"/>
      <c r="D29" s="245"/>
      <c r="E29" s="289"/>
      <c r="F29" s="233"/>
      <c r="G29" s="478"/>
      <c r="H29" s="477"/>
      <c r="I29" s="484"/>
      <c r="J29" s="482"/>
      <c r="K29" s="481"/>
      <c r="M29" s="483">
        <f>PRODUCT(M21:M28)</f>
        <v>1</v>
      </c>
    </row>
    <row r="30" spans="1:25">
      <c r="B30" s="1014" t="s">
        <v>1419</v>
      </c>
      <c r="C30" s="75">
        <v>120.35125714285712</v>
      </c>
      <c r="D30" s="1">
        <v>0</v>
      </c>
      <c r="E30" s="914"/>
      <c r="F30" s="233"/>
      <c r="G30" s="478"/>
      <c r="H30" s="477"/>
      <c r="I30" s="233"/>
      <c r="J30" s="482"/>
      <c r="K30" s="481"/>
      <c r="M30" s="175"/>
    </row>
    <row r="31" spans="1:25">
      <c r="B31" s="205"/>
      <c r="C31" s="204">
        <v>5</v>
      </c>
      <c r="D31" s="245">
        <v>1</v>
      </c>
      <c r="E31" s="289" t="s">
        <v>1443</v>
      </c>
      <c r="F31" s="233"/>
      <c r="G31" s="478"/>
      <c r="H31" s="477"/>
      <c r="I31" s="233"/>
      <c r="J31" s="482"/>
      <c r="K31" s="481"/>
    </row>
    <row r="32" spans="1:25">
      <c r="B32" s="205"/>
      <c r="C32" s="204"/>
      <c r="D32" s="245"/>
      <c r="E32" s="289"/>
      <c r="F32" s="233"/>
      <c r="G32" s="478"/>
      <c r="H32" s="477"/>
      <c r="I32" s="233"/>
      <c r="J32" s="480"/>
      <c r="K32" s="479"/>
      <c r="L32" s="214"/>
      <c r="M32" s="214"/>
      <c r="N32" s="214"/>
      <c r="O32" s="214"/>
      <c r="P32" s="214"/>
      <c r="Q32" s="214"/>
      <c r="R32" s="214"/>
      <c r="S32" s="214"/>
      <c r="T32" s="214"/>
      <c r="U32" s="214"/>
      <c r="V32" s="214"/>
      <c r="W32" s="214"/>
      <c r="X32" s="214"/>
      <c r="Y32" s="214"/>
    </row>
    <row r="33" spans="2:25" ht="27" customHeight="1">
      <c r="B33" s="196"/>
      <c r="D33" s="12"/>
      <c r="E33" s="289"/>
      <c r="F33" s="233"/>
      <c r="G33" s="478"/>
      <c r="H33" s="477"/>
      <c r="I33" s="233"/>
      <c r="J33" s="233"/>
      <c r="L33" s="214"/>
      <c r="M33" s="214"/>
      <c r="N33" s="214"/>
      <c r="O33" s="214"/>
      <c r="P33" s="214"/>
      <c r="Q33" s="214"/>
      <c r="R33" s="214"/>
      <c r="S33" s="214"/>
      <c r="T33" s="214"/>
      <c r="U33" s="214"/>
      <c r="V33" s="214"/>
      <c r="W33" s="214"/>
      <c r="X33" s="214"/>
      <c r="Y33" s="214"/>
    </row>
    <row r="34" spans="2:25">
      <c r="B34" s="891" t="s">
        <v>1609</v>
      </c>
      <c r="E34" s="470"/>
      <c r="F34" s="470"/>
      <c r="G34" s="470"/>
      <c r="H34" s="470"/>
      <c r="I34" s="470"/>
      <c r="J34" s="470"/>
      <c r="K34" s="470"/>
      <c r="L34" s="470"/>
      <c r="M34" s="470"/>
      <c r="N34" s="470"/>
      <c r="O34" s="470"/>
      <c r="P34" s="470"/>
      <c r="Q34" s="470"/>
      <c r="R34" s="470"/>
      <c r="S34" s="470"/>
      <c r="T34" s="470"/>
      <c r="U34" s="470"/>
      <c r="V34" s="470"/>
      <c r="W34" s="470"/>
      <c r="X34" s="470"/>
      <c r="Y34" s="470"/>
    </row>
    <row r="35" spans="2:25">
      <c r="B35" s="1" t="s">
        <v>1340</v>
      </c>
      <c r="C35" s="914" t="s">
        <v>1359</v>
      </c>
      <c r="D35" s="914" t="s">
        <v>795</v>
      </c>
      <c r="E35" s="914" t="s">
        <v>919</v>
      </c>
      <c r="F35" s="470"/>
      <c r="G35" s="1006" t="s">
        <v>1342</v>
      </c>
      <c r="H35" s="470"/>
      <c r="I35" s="470"/>
      <c r="J35" s="470"/>
      <c r="K35" s="470"/>
      <c r="L35" s="470"/>
      <c r="M35" s="470"/>
      <c r="N35" s="470"/>
      <c r="O35" s="470"/>
      <c r="P35" s="470"/>
      <c r="Q35" s="470"/>
      <c r="R35" s="470"/>
      <c r="S35" s="470"/>
      <c r="T35" s="470"/>
      <c r="U35" s="470"/>
      <c r="V35" s="470"/>
      <c r="W35" s="470"/>
      <c r="X35" s="470"/>
      <c r="Y35" s="470"/>
    </row>
    <row r="36" spans="2:25">
      <c r="C36" s="1">
        <v>1</v>
      </c>
      <c r="D36" s="1">
        <v>0</v>
      </c>
      <c r="E36" s="914">
        <v>0</v>
      </c>
      <c r="F36" s="470"/>
      <c r="G36" s="470"/>
      <c r="H36" s="470"/>
      <c r="I36" s="470"/>
      <c r="J36" s="470"/>
      <c r="K36" s="470"/>
      <c r="L36" s="470"/>
      <c r="M36" s="470"/>
      <c r="N36" s="470"/>
      <c r="O36" s="470"/>
      <c r="P36" s="470"/>
      <c r="Q36" s="470"/>
      <c r="R36" s="470"/>
      <c r="S36" s="470"/>
      <c r="T36" s="470"/>
      <c r="U36" s="470"/>
      <c r="V36" s="470"/>
      <c r="W36" s="470"/>
      <c r="X36" s="470"/>
      <c r="Y36" s="470"/>
    </row>
    <row r="37" spans="2:25">
      <c r="B37" s="1" t="s">
        <v>1341</v>
      </c>
      <c r="C37" s="208" t="s">
        <v>912</v>
      </c>
      <c r="D37" s="205" t="s">
        <v>1363</v>
      </c>
      <c r="E37" s="1005" t="s">
        <v>913</v>
      </c>
      <c r="F37" s="470"/>
      <c r="G37" s="470"/>
      <c r="H37" s="470"/>
      <c r="I37" s="470"/>
      <c r="J37" s="470"/>
      <c r="K37" s="470"/>
      <c r="L37" s="470"/>
      <c r="M37" s="470"/>
      <c r="N37" s="470"/>
      <c r="O37" s="470"/>
      <c r="P37" s="470"/>
      <c r="Q37" s="470"/>
      <c r="R37" s="470"/>
      <c r="S37" s="470"/>
      <c r="T37" s="470"/>
      <c r="U37" s="470"/>
      <c r="V37" s="470"/>
      <c r="W37" s="470"/>
      <c r="X37" s="470"/>
      <c r="Y37" s="470"/>
    </row>
    <row r="38" spans="2:25">
      <c r="C38" s="1">
        <v>0</v>
      </c>
      <c r="D38" s="1">
        <v>1</v>
      </c>
      <c r="E38" s="914">
        <v>0</v>
      </c>
      <c r="F38" s="470"/>
      <c r="G38" s="470"/>
      <c r="H38" s="470"/>
      <c r="I38" s="470"/>
      <c r="J38" s="470"/>
      <c r="K38" s="470"/>
      <c r="L38" s="470"/>
      <c r="M38" s="470"/>
      <c r="N38" s="470"/>
      <c r="O38" s="470"/>
      <c r="P38" s="470"/>
      <c r="Q38" s="470"/>
      <c r="R38" s="470"/>
      <c r="S38" s="470"/>
      <c r="T38" s="470"/>
      <c r="U38" s="470"/>
      <c r="V38" s="470"/>
      <c r="W38" s="470"/>
      <c r="X38" s="470"/>
      <c r="Y38" s="470"/>
    </row>
    <row r="39" spans="2:25">
      <c r="E39" s="470"/>
      <c r="F39" s="470"/>
      <c r="G39" s="470"/>
      <c r="H39" s="470"/>
      <c r="I39" s="470"/>
      <c r="J39" s="470"/>
      <c r="K39" s="470"/>
      <c r="L39" s="470"/>
      <c r="M39" s="470"/>
      <c r="N39" s="470"/>
      <c r="O39" s="470"/>
      <c r="P39" s="470"/>
      <c r="Q39" s="470"/>
      <c r="R39" s="470"/>
      <c r="S39" s="470"/>
      <c r="T39" s="470"/>
      <c r="U39" s="470"/>
      <c r="V39" s="470"/>
      <c r="W39" s="470"/>
      <c r="X39" s="470"/>
      <c r="Y39" s="470"/>
    </row>
    <row r="40" spans="2:25" hidden="1" outlineLevel="1">
      <c r="B40" s="1" t="s">
        <v>1382</v>
      </c>
      <c r="E40" s="470"/>
      <c r="F40" s="470"/>
      <c r="G40" s="470"/>
      <c r="H40" s="470"/>
      <c r="I40" s="470"/>
      <c r="J40" s="470"/>
      <c r="K40" s="470"/>
      <c r="L40" s="470"/>
      <c r="M40" s="470"/>
      <c r="N40" s="470"/>
      <c r="O40" s="470"/>
      <c r="P40" s="470"/>
      <c r="Q40" s="470"/>
      <c r="R40" s="470"/>
      <c r="S40" s="470"/>
      <c r="T40" s="470"/>
      <c r="U40" s="470"/>
      <c r="V40" s="470"/>
      <c r="W40" s="470"/>
      <c r="X40" s="470"/>
      <c r="Y40" s="470"/>
    </row>
    <row r="41" spans="2:25" s="914" customFormat="1" hidden="1" outlineLevel="1">
      <c r="B41" s="914" t="s">
        <v>1391</v>
      </c>
      <c r="C41" s="914" t="s">
        <v>1392</v>
      </c>
      <c r="E41" s="470"/>
      <c r="F41" s="470"/>
      <c r="G41" s="470"/>
      <c r="H41" s="470"/>
      <c r="I41" s="470"/>
      <c r="J41" s="470"/>
      <c r="K41" s="470"/>
      <c r="L41" s="470"/>
      <c r="M41" s="470"/>
      <c r="N41" s="470"/>
      <c r="O41" s="470"/>
      <c r="P41" s="470"/>
      <c r="Q41" s="470"/>
      <c r="R41" s="470"/>
      <c r="S41" s="470"/>
      <c r="T41" s="470"/>
      <c r="U41" s="470"/>
      <c r="V41" s="470"/>
      <c r="W41" s="470"/>
      <c r="X41" s="470"/>
      <c r="Y41" s="470"/>
    </row>
    <row r="42" spans="2:25" hidden="1" outlineLevel="1">
      <c r="B42" s="1" t="s">
        <v>1383</v>
      </c>
      <c r="C42" s="1" t="s">
        <v>1384</v>
      </c>
      <c r="E42" s="470"/>
      <c r="F42" s="470"/>
      <c r="G42" s="470"/>
      <c r="H42" s="470"/>
      <c r="I42" s="470"/>
      <c r="J42" s="470"/>
      <c r="K42" s="470"/>
      <c r="L42" s="470"/>
      <c r="M42" s="470"/>
      <c r="N42" s="470"/>
      <c r="O42" s="470"/>
      <c r="P42" s="470"/>
      <c r="Q42" s="470"/>
      <c r="R42" s="470"/>
      <c r="S42" s="470"/>
      <c r="T42" s="470"/>
      <c r="U42" s="470"/>
      <c r="V42" s="470"/>
      <c r="W42" s="470"/>
      <c r="X42" s="470"/>
      <c r="Y42" s="470"/>
    </row>
    <row r="43" spans="2:25" hidden="1" outlineLevel="1">
      <c r="C43" s="1" t="s">
        <v>1390</v>
      </c>
      <c r="E43" s="470"/>
      <c r="F43" s="470"/>
      <c r="G43" s="470"/>
      <c r="H43" s="470"/>
      <c r="I43" s="470"/>
      <c r="J43" s="470"/>
      <c r="K43" s="470"/>
      <c r="L43" s="470"/>
      <c r="M43" s="470"/>
      <c r="N43" s="470"/>
      <c r="O43" s="470"/>
      <c r="P43" s="470"/>
      <c r="Q43" s="470"/>
      <c r="R43" s="470"/>
      <c r="S43" s="470"/>
      <c r="T43" s="470"/>
      <c r="U43" s="470"/>
      <c r="V43" s="470"/>
      <c r="W43" s="470"/>
      <c r="X43" s="470"/>
      <c r="Y43" s="470"/>
    </row>
    <row r="44" spans="2:25" s="914" customFormat="1" hidden="1" outlineLevel="1">
      <c r="C44" s="914" t="s">
        <v>1394</v>
      </c>
      <c r="E44" s="470"/>
      <c r="F44" s="470"/>
      <c r="G44" s="470"/>
      <c r="H44" s="470"/>
      <c r="I44" s="470"/>
      <c r="J44" s="470"/>
      <c r="K44" s="470"/>
      <c r="L44" s="470"/>
      <c r="M44" s="470"/>
      <c r="N44" s="470"/>
      <c r="O44" s="470"/>
      <c r="P44" s="470"/>
      <c r="Q44" s="470"/>
      <c r="R44" s="470"/>
      <c r="S44" s="470"/>
      <c r="T44" s="470"/>
      <c r="U44" s="470"/>
      <c r="V44" s="470"/>
      <c r="W44" s="470"/>
      <c r="X44" s="470"/>
      <c r="Y44" s="470"/>
    </row>
    <row r="45" spans="2:25" s="914" customFormat="1" hidden="1" outlineLevel="1">
      <c r="C45" s="914" t="s">
        <v>1441</v>
      </c>
      <c r="E45" s="470"/>
      <c r="F45" s="470"/>
      <c r="G45" s="470"/>
      <c r="H45" s="470"/>
      <c r="I45" s="470"/>
      <c r="J45" s="470"/>
      <c r="K45" s="470"/>
      <c r="L45" s="470"/>
      <c r="M45" s="470"/>
      <c r="N45" s="470"/>
      <c r="O45" s="470"/>
      <c r="P45" s="470"/>
      <c r="Q45" s="470"/>
      <c r="R45" s="470"/>
      <c r="S45" s="470"/>
      <c r="T45" s="470"/>
      <c r="U45" s="470"/>
      <c r="V45" s="470"/>
      <c r="W45" s="470"/>
      <c r="X45" s="470"/>
      <c r="Y45" s="470"/>
    </row>
    <row r="46" spans="2:25" s="914" customFormat="1" hidden="1" outlineLevel="1">
      <c r="C46" s="914" t="s">
        <v>1442</v>
      </c>
      <c r="E46" s="470"/>
      <c r="F46" s="470"/>
      <c r="G46" s="470"/>
      <c r="H46" s="470"/>
      <c r="I46" s="470"/>
      <c r="J46" s="470"/>
      <c r="K46" s="470"/>
      <c r="L46" s="470"/>
      <c r="M46" s="470"/>
      <c r="N46" s="470"/>
      <c r="O46" s="470"/>
      <c r="P46" s="470"/>
      <c r="Q46" s="470"/>
      <c r="R46" s="470"/>
      <c r="S46" s="470"/>
      <c r="T46" s="470"/>
      <c r="U46" s="470"/>
      <c r="V46" s="470"/>
      <c r="W46" s="470"/>
      <c r="X46" s="470"/>
      <c r="Y46" s="470"/>
    </row>
    <row r="47" spans="2:25" s="914" customFormat="1" hidden="1" outlineLevel="1">
      <c r="C47" s="914">
        <v>120</v>
      </c>
      <c r="D47" s="914">
        <v>5</v>
      </c>
      <c r="E47" s="470"/>
      <c r="F47" s="470"/>
      <c r="G47" s="470"/>
      <c r="H47" s="470"/>
      <c r="I47" s="470"/>
      <c r="J47" s="470"/>
      <c r="K47" s="470"/>
      <c r="L47" s="470"/>
      <c r="M47" s="470"/>
      <c r="N47" s="470"/>
      <c r="O47" s="470"/>
      <c r="P47" s="470"/>
      <c r="Q47" s="470"/>
      <c r="R47" s="470"/>
      <c r="S47" s="470"/>
      <c r="T47" s="470"/>
      <c r="U47" s="470"/>
      <c r="V47" s="470"/>
      <c r="W47" s="470"/>
      <c r="X47" s="470"/>
      <c r="Y47" s="470"/>
    </row>
    <row r="48" spans="2:25" s="914" customFormat="1" hidden="1" outlineLevel="1">
      <c r="C48" s="914">
        <v>0</v>
      </c>
      <c r="D48" s="914">
        <v>1</v>
      </c>
      <c r="E48" s="470"/>
      <c r="F48" s="470"/>
      <c r="G48" s="470"/>
      <c r="H48" s="470"/>
      <c r="I48" s="470"/>
      <c r="J48" s="470"/>
      <c r="K48" s="470"/>
      <c r="L48" s="470"/>
      <c r="M48" s="470"/>
      <c r="N48" s="470"/>
      <c r="O48" s="470"/>
      <c r="P48" s="470"/>
      <c r="Q48" s="470"/>
      <c r="R48" s="470"/>
      <c r="S48" s="470"/>
      <c r="T48" s="470"/>
      <c r="U48" s="470"/>
      <c r="V48" s="470"/>
      <c r="W48" s="470"/>
      <c r="X48" s="470"/>
      <c r="Y48" s="470"/>
    </row>
    <row r="49" spans="2:25" s="914" customFormat="1" hidden="1" outlineLevel="1">
      <c r="B49" s="1018">
        <v>41695</v>
      </c>
      <c r="C49" s="914" t="s">
        <v>1444</v>
      </c>
      <c r="E49" s="470"/>
      <c r="F49" s="470"/>
      <c r="G49" s="470"/>
      <c r="H49" s="470"/>
      <c r="I49" s="470"/>
      <c r="J49" s="470"/>
      <c r="K49" s="470"/>
      <c r="L49" s="470"/>
      <c r="M49" s="470"/>
      <c r="N49" s="470"/>
      <c r="O49" s="470"/>
      <c r="P49" s="470"/>
      <c r="Q49" s="470"/>
      <c r="R49" s="470"/>
      <c r="S49" s="470"/>
      <c r="T49" s="470"/>
      <c r="U49" s="470"/>
      <c r="V49" s="470"/>
      <c r="W49" s="470"/>
      <c r="X49" s="470"/>
      <c r="Y49" s="470"/>
    </row>
    <row r="50" spans="2:25" hidden="1" outlineLevel="1">
      <c r="B50" s="1" t="s">
        <v>1385</v>
      </c>
      <c r="C50" s="1" t="s">
        <v>1386</v>
      </c>
      <c r="E50" s="470"/>
      <c r="F50" s="470"/>
      <c r="G50" s="470"/>
      <c r="H50" s="470"/>
      <c r="I50" s="470"/>
      <c r="J50" s="470"/>
      <c r="K50" s="470"/>
      <c r="L50" s="470"/>
      <c r="M50" s="470"/>
      <c r="N50" s="470"/>
      <c r="O50" s="470"/>
      <c r="P50" s="470"/>
      <c r="Q50" s="470"/>
      <c r="R50" s="470"/>
      <c r="S50" s="470"/>
      <c r="T50" s="470"/>
      <c r="U50" s="470"/>
      <c r="V50" s="470"/>
      <c r="W50" s="470"/>
      <c r="X50" s="470"/>
      <c r="Y50" s="470"/>
    </row>
    <row r="51" spans="2:25" hidden="1" outlineLevel="1">
      <c r="C51" s="1" t="s">
        <v>1387</v>
      </c>
      <c r="E51" s="470"/>
      <c r="F51" s="470"/>
      <c r="G51" s="470"/>
      <c r="H51" s="470"/>
      <c r="I51" s="470"/>
      <c r="J51" s="470"/>
      <c r="K51" s="470"/>
      <c r="L51" s="470"/>
      <c r="M51" s="470"/>
      <c r="N51" s="470"/>
      <c r="O51" s="470"/>
      <c r="P51" s="470"/>
      <c r="Q51" s="470"/>
      <c r="R51" s="470"/>
      <c r="S51" s="470"/>
      <c r="T51" s="470"/>
      <c r="U51" s="470"/>
      <c r="V51" s="470"/>
      <c r="W51" s="470"/>
      <c r="X51" s="470"/>
      <c r="Y51" s="470"/>
    </row>
    <row r="52" spans="2:25" hidden="1" outlineLevel="1">
      <c r="C52" s="1" t="s">
        <v>1388</v>
      </c>
      <c r="E52" s="470"/>
      <c r="F52" s="470"/>
      <c r="G52" s="470"/>
      <c r="H52" s="470"/>
      <c r="I52" s="470"/>
      <c r="J52" s="470"/>
      <c r="K52" s="470"/>
      <c r="L52" s="470"/>
      <c r="M52" s="470"/>
      <c r="N52" s="470"/>
      <c r="O52" s="470"/>
      <c r="P52" s="470"/>
      <c r="Q52" s="470"/>
      <c r="R52" s="470"/>
      <c r="S52" s="470"/>
      <c r="T52" s="470"/>
      <c r="U52" s="470"/>
      <c r="V52" s="470"/>
      <c r="W52" s="470"/>
      <c r="X52" s="470"/>
      <c r="Y52" s="470"/>
    </row>
    <row r="53" spans="2:25" hidden="1" outlineLevel="1">
      <c r="C53" s="1" t="s">
        <v>1389</v>
      </c>
      <c r="E53" s="470"/>
      <c r="F53" s="470"/>
      <c r="G53" s="470"/>
      <c r="H53" s="470"/>
      <c r="I53" s="470"/>
      <c r="J53" s="470"/>
      <c r="K53" s="470"/>
      <c r="L53" s="470"/>
      <c r="M53" s="470"/>
      <c r="N53" s="470"/>
      <c r="O53" s="470"/>
      <c r="P53" s="470"/>
      <c r="Q53" s="470"/>
      <c r="R53" s="470"/>
      <c r="S53" s="470"/>
      <c r="T53" s="470"/>
      <c r="U53" s="470"/>
      <c r="V53" s="470"/>
      <c r="W53" s="470"/>
      <c r="X53" s="470"/>
      <c r="Y53" s="470"/>
    </row>
    <row r="54" spans="2:25" s="914" customFormat="1" hidden="1" outlineLevel="1">
      <c r="B54" s="1018">
        <v>41764</v>
      </c>
      <c r="C54" s="914" t="s">
        <v>1500</v>
      </c>
      <c r="E54" s="470"/>
      <c r="F54" s="470"/>
      <c r="G54" s="470"/>
      <c r="H54" s="470"/>
      <c r="I54" s="470"/>
      <c r="J54" s="470"/>
      <c r="K54" s="470"/>
      <c r="L54" s="470"/>
      <c r="M54" s="470"/>
      <c r="N54" s="470"/>
      <c r="O54" s="470"/>
      <c r="P54" s="470"/>
      <c r="Q54" s="470"/>
      <c r="R54" s="470"/>
      <c r="S54" s="470"/>
      <c r="T54" s="470"/>
      <c r="U54" s="470"/>
      <c r="V54" s="470"/>
      <c r="W54" s="470"/>
      <c r="X54" s="470"/>
      <c r="Y54" s="470"/>
    </row>
    <row r="55" spans="2:25" hidden="1" outlineLevel="1">
      <c r="B55" s="1" t="s">
        <v>1393</v>
      </c>
      <c r="C55" s="1" t="s">
        <v>1395</v>
      </c>
      <c r="E55" s="470"/>
      <c r="F55" s="470"/>
      <c r="G55" s="470"/>
      <c r="H55" s="470"/>
      <c r="I55" s="470"/>
      <c r="J55" s="470"/>
      <c r="K55" s="470"/>
    </row>
    <row r="56" spans="2:25" s="914" customFormat="1" hidden="1" outlineLevel="1">
      <c r="C56" s="914" t="s">
        <v>1410</v>
      </c>
      <c r="E56" s="470"/>
      <c r="F56" s="470"/>
      <c r="G56" s="470"/>
      <c r="H56" s="470"/>
      <c r="I56" s="470"/>
      <c r="J56" s="470"/>
      <c r="K56" s="470"/>
    </row>
    <row r="57" spans="2:25" s="914" customFormat="1" hidden="1" outlineLevel="1">
      <c r="B57" s="914" t="s">
        <v>1440</v>
      </c>
      <c r="E57" s="470"/>
      <c r="F57" s="470"/>
      <c r="G57" s="470"/>
      <c r="H57" s="470"/>
      <c r="I57" s="470"/>
      <c r="J57" s="470"/>
      <c r="K57" s="470"/>
    </row>
    <row r="58" spans="2:25" collapsed="1">
      <c r="E58" s="470"/>
      <c r="F58" s="470"/>
      <c r="G58" s="470"/>
      <c r="H58" s="470"/>
      <c r="I58" s="470"/>
      <c r="J58" s="470"/>
      <c r="K58" s="470"/>
    </row>
    <row r="59" spans="2:25">
      <c r="B59" s="1205" t="s">
        <v>1404</v>
      </c>
      <c r="C59" s="1206">
        <v>2012</v>
      </c>
      <c r="D59" s="1206">
        <f t="shared" ref="D59:W59" si="3">C59+1</f>
        <v>2013</v>
      </c>
      <c r="E59" s="1206">
        <f t="shared" si="3"/>
        <v>2014</v>
      </c>
      <c r="F59" s="1206">
        <f t="shared" si="3"/>
        <v>2015</v>
      </c>
      <c r="G59" s="1206">
        <f t="shared" si="3"/>
        <v>2016</v>
      </c>
      <c r="H59" s="1206">
        <f t="shared" si="3"/>
        <v>2017</v>
      </c>
      <c r="I59" s="1206">
        <f t="shared" si="3"/>
        <v>2018</v>
      </c>
      <c r="J59" s="1206">
        <f t="shared" si="3"/>
        <v>2019</v>
      </c>
      <c r="K59" s="1206">
        <f t="shared" si="3"/>
        <v>2020</v>
      </c>
      <c r="L59" s="1206">
        <f t="shared" si="3"/>
        <v>2021</v>
      </c>
      <c r="M59" s="1206">
        <f t="shared" si="3"/>
        <v>2022</v>
      </c>
      <c r="N59" s="1206">
        <f t="shared" si="3"/>
        <v>2023</v>
      </c>
      <c r="O59" s="1206">
        <f t="shared" si="3"/>
        <v>2024</v>
      </c>
      <c r="P59" s="1206">
        <f t="shared" si="3"/>
        <v>2025</v>
      </c>
      <c r="Q59" s="1206">
        <f t="shared" si="3"/>
        <v>2026</v>
      </c>
      <c r="R59" s="1206">
        <f t="shared" si="3"/>
        <v>2027</v>
      </c>
      <c r="S59" s="1206">
        <f t="shared" si="3"/>
        <v>2028</v>
      </c>
      <c r="T59" s="1206">
        <f t="shared" si="3"/>
        <v>2029</v>
      </c>
      <c r="U59" s="1206">
        <f t="shared" si="3"/>
        <v>2030</v>
      </c>
      <c r="V59" s="1206">
        <f t="shared" si="3"/>
        <v>2031</v>
      </c>
      <c r="W59" s="1207">
        <f t="shared" si="3"/>
        <v>2032</v>
      </c>
      <c r="X59" s="1205"/>
    </row>
    <row r="60" spans="2:25" s="914" customFormat="1">
      <c r="B60" s="1205" t="s">
        <v>1402</v>
      </c>
      <c r="C60" s="1208">
        <f>C61-C62</f>
        <v>-4.4635022686721051</v>
      </c>
      <c r="D60" s="1208">
        <f t="shared" ref="D60:W60" si="4">D61-D62</f>
        <v>-6.5152022547979733</v>
      </c>
      <c r="E60" s="1208">
        <f t="shared" si="4"/>
        <v>-19.613160098165373</v>
      </c>
      <c r="F60" s="1208">
        <f t="shared" si="4"/>
        <v>-22.98722676882667</v>
      </c>
      <c r="G60" s="1208">
        <f t="shared" si="4"/>
        <v>-16.922636863534272</v>
      </c>
      <c r="H60" s="1208">
        <f t="shared" si="4"/>
        <v>-2.6768214144859659</v>
      </c>
      <c r="I60" s="1208">
        <f t="shared" si="4"/>
        <v>8.5392421128351721</v>
      </c>
      <c r="J60" s="1208">
        <f t="shared" si="4"/>
        <v>8.5392421128351721</v>
      </c>
      <c r="K60" s="1208">
        <f t="shared" si="4"/>
        <v>8.5392421128351721</v>
      </c>
      <c r="L60" s="1208">
        <f t="shared" si="4"/>
        <v>8.5392421128351721</v>
      </c>
      <c r="M60" s="1208">
        <f t="shared" si="4"/>
        <v>8.5392421128351721</v>
      </c>
      <c r="N60" s="1208">
        <f t="shared" si="4"/>
        <v>8.5392421128351721</v>
      </c>
      <c r="O60" s="1208">
        <f t="shared" si="4"/>
        <v>8.5392421128351721</v>
      </c>
      <c r="P60" s="1208">
        <f t="shared" si="4"/>
        <v>8.5392421128351721</v>
      </c>
      <c r="Q60" s="1208">
        <f t="shared" si="4"/>
        <v>8.5392421128351721</v>
      </c>
      <c r="R60" s="1208">
        <f t="shared" si="4"/>
        <v>8.5392421128351721</v>
      </c>
      <c r="S60" s="1208">
        <f t="shared" si="4"/>
        <v>8.5392421128351721</v>
      </c>
      <c r="T60" s="1208">
        <f t="shared" si="4"/>
        <v>8.5392421128351721</v>
      </c>
      <c r="U60" s="1208">
        <f t="shared" si="4"/>
        <v>8.5392421128351721</v>
      </c>
      <c r="V60" s="1208">
        <f t="shared" si="4"/>
        <v>8.5392421128351721</v>
      </c>
      <c r="W60" s="1208">
        <f t="shared" si="4"/>
        <v>8.5392421128351721</v>
      </c>
      <c r="X60" s="1209">
        <f>IRR(C60:W60)</f>
        <v>5.8552569404163313E-2</v>
      </c>
    </row>
    <row r="61" spans="2:25" s="914" customFormat="1">
      <c r="B61" s="1210" t="s">
        <v>1400</v>
      </c>
      <c r="C61" s="1205">
        <f>Benefits!D25</f>
        <v>0</v>
      </c>
      <c r="D61" s="1205">
        <f>Benefits!E25</f>
        <v>0</v>
      </c>
      <c r="E61" s="1205">
        <f>Benefits!F25</f>
        <v>2.1444862902911797</v>
      </c>
      <c r="F61" s="1205">
        <f>Benefits!G25</f>
        <v>4.6409950226088439</v>
      </c>
      <c r="G61" s="1205">
        <f>Benefits!H25</f>
        <v>8.3217931435828003</v>
      </c>
      <c r="H61" s="1205">
        <f>Benefits!I25</f>
        <v>10.639745941391466</v>
      </c>
      <c r="I61" s="1205">
        <f>Benefits!J25</f>
        <v>10.602307402047547</v>
      </c>
      <c r="J61" s="1205">
        <f>Benefits!K25</f>
        <v>10.602307402047547</v>
      </c>
      <c r="K61" s="1205">
        <f>Benefits!L25</f>
        <v>10.602307402047547</v>
      </c>
      <c r="L61" s="1205">
        <f>Benefits!M25</f>
        <v>10.602307402047547</v>
      </c>
      <c r="M61" s="1205">
        <f>Benefits!N25</f>
        <v>10.602307402047547</v>
      </c>
      <c r="N61" s="1205">
        <f>Benefits!O25</f>
        <v>10.602307402047547</v>
      </c>
      <c r="O61" s="1205">
        <f>Benefits!P25</f>
        <v>10.602307402047547</v>
      </c>
      <c r="P61" s="1205">
        <f>Benefits!Q25</f>
        <v>10.602307402047547</v>
      </c>
      <c r="Q61" s="1205">
        <f>Benefits!R25</f>
        <v>10.602307402047547</v>
      </c>
      <c r="R61" s="1205">
        <f>Benefits!S25</f>
        <v>10.602307402047547</v>
      </c>
      <c r="S61" s="1205">
        <f>Benefits!T25</f>
        <v>10.602307402047547</v>
      </c>
      <c r="T61" s="1205">
        <f>Benefits!U25</f>
        <v>10.602307402047547</v>
      </c>
      <c r="U61" s="1205">
        <f>Benefits!V25</f>
        <v>10.602307402047547</v>
      </c>
      <c r="V61" s="1205">
        <f>Benefits!W25</f>
        <v>10.602307402047547</v>
      </c>
      <c r="W61" s="1205">
        <f>Benefits!X25</f>
        <v>10.602307402047547</v>
      </c>
      <c r="X61" s="1205"/>
    </row>
    <row r="62" spans="2:25" s="914" customFormat="1">
      <c r="B62" s="1210" t="s">
        <v>1399</v>
      </c>
      <c r="C62" s="1208">
        <f>Cost!D10</f>
        <v>4.4635022686721051</v>
      </c>
      <c r="D62" s="1208">
        <f>Cost!E10</f>
        <v>6.5152022547979733</v>
      </c>
      <c r="E62" s="1208">
        <f>Cost!F10</f>
        <v>21.757646388456553</v>
      </c>
      <c r="F62" s="1208">
        <f>Cost!G10</f>
        <v>27.628221791435514</v>
      </c>
      <c r="G62" s="1208">
        <f>Cost!H10</f>
        <v>25.244430007117071</v>
      </c>
      <c r="H62" s="1208">
        <f>Cost!I10</f>
        <v>13.316567355877432</v>
      </c>
      <c r="I62" s="1208">
        <f>Cost!J10</f>
        <v>2.0630652892123744</v>
      </c>
      <c r="J62" s="1208">
        <f>Cost!K10</f>
        <v>2.0630652892123744</v>
      </c>
      <c r="K62" s="1208">
        <f>Cost!L10</f>
        <v>2.0630652892123744</v>
      </c>
      <c r="L62" s="1208">
        <f>Cost!M10</f>
        <v>2.0630652892123744</v>
      </c>
      <c r="M62" s="1208">
        <f>Cost!N10</f>
        <v>2.0630652892123744</v>
      </c>
      <c r="N62" s="1208">
        <f>Cost!O10</f>
        <v>2.0630652892123744</v>
      </c>
      <c r="O62" s="1208">
        <f>Cost!P10</f>
        <v>2.0630652892123744</v>
      </c>
      <c r="P62" s="1208">
        <f>Cost!Q10</f>
        <v>2.0630652892123744</v>
      </c>
      <c r="Q62" s="1208">
        <f>Cost!R10</f>
        <v>2.0630652892123744</v>
      </c>
      <c r="R62" s="1208">
        <f>Cost!S10</f>
        <v>2.0630652892123744</v>
      </c>
      <c r="S62" s="1208">
        <f>Cost!T10</f>
        <v>2.0630652892123744</v>
      </c>
      <c r="T62" s="1208">
        <f>Cost!U10</f>
        <v>2.0630652892123744</v>
      </c>
      <c r="U62" s="1208">
        <f>Cost!V10</f>
        <v>2.0630652892123744</v>
      </c>
      <c r="V62" s="1208">
        <f>Cost!W10</f>
        <v>2.0630652892123744</v>
      </c>
      <c r="W62" s="1208">
        <f>Cost!X10</f>
        <v>2.0630652892123744</v>
      </c>
      <c r="X62" s="1205"/>
    </row>
    <row r="63" spans="2:25">
      <c r="B63" s="1205" t="s">
        <v>1403</v>
      </c>
      <c r="C63" s="1208">
        <f>C64+C65-C66</f>
        <v>-2.3096709291382242</v>
      </c>
      <c r="D63" s="1208">
        <f t="shared" ref="D63:W63" si="5">D64+D65-D66</f>
        <v>-3.6328402496045604</v>
      </c>
      <c r="E63" s="1208">
        <f t="shared" si="5"/>
        <v>-10.392240333067901</v>
      </c>
      <c r="F63" s="1208">
        <f t="shared" si="5"/>
        <v>-6.5914702021234834</v>
      </c>
      <c r="G63" s="1208">
        <f t="shared" si="5"/>
        <v>7.0748378741081712</v>
      </c>
      <c r="H63" s="1208">
        <f t="shared" si="5"/>
        <v>26.514321344275253</v>
      </c>
      <c r="I63" s="1208">
        <f t="shared" si="5"/>
        <v>34.983385019066922</v>
      </c>
      <c r="J63" s="1208">
        <f t="shared" si="5"/>
        <v>35.976721985173548</v>
      </c>
      <c r="K63" s="1208">
        <f t="shared" si="5"/>
        <v>36.997179335977187</v>
      </c>
      <c r="L63" s="1208">
        <f t="shared" si="5"/>
        <v>38.045497520380302</v>
      </c>
      <c r="M63" s="1208">
        <f t="shared" si="5"/>
        <v>39.122437203244083</v>
      </c>
      <c r="N63" s="1208">
        <f t="shared" si="5"/>
        <v>40.228779817330597</v>
      </c>
      <c r="O63" s="1208">
        <f t="shared" si="5"/>
        <v>41.365328130314332</v>
      </c>
      <c r="P63" s="1208">
        <f t="shared" si="5"/>
        <v>42.532906827274289</v>
      </c>
      <c r="Q63" s="1208">
        <f t="shared" si="5"/>
        <v>43.732363109089668</v>
      </c>
      <c r="R63" s="1208">
        <f t="shared" si="5"/>
        <v>44.975022918525042</v>
      </c>
      <c r="S63" s="1208">
        <f t="shared" si="5"/>
        <v>46.296911302202972</v>
      </c>
      <c r="T63" s="1208">
        <f t="shared" si="5"/>
        <v>47.743787166974826</v>
      </c>
      <c r="U63" s="1208">
        <f t="shared" si="5"/>
        <v>49.33704147923816</v>
      </c>
      <c r="V63" s="1208">
        <f t="shared" si="5"/>
        <v>51.027470550793545</v>
      </c>
      <c r="W63" s="1208">
        <f t="shared" si="5"/>
        <v>123.28414677023352</v>
      </c>
      <c r="X63" s="1209">
        <f>IRR(C63:W63)</f>
        <v>0.57480768491698719</v>
      </c>
    </row>
    <row r="64" spans="2:25">
      <c r="B64" s="1210" t="s">
        <v>1398</v>
      </c>
      <c r="C64" s="1205">
        <f>Benefits!D15</f>
        <v>0</v>
      </c>
      <c r="D64" s="1205">
        <f>Benefits!E15</f>
        <v>0</v>
      </c>
      <c r="E64" s="1205">
        <f>Benefits!F15</f>
        <v>6.5542140055912815E-2</v>
      </c>
      <c r="F64" s="1205">
        <f>Benefits!G15</f>
        <v>0.3366572023971961</v>
      </c>
      <c r="G64" s="1205">
        <f>Benefits!H15</f>
        <v>0.83003506565433494</v>
      </c>
      <c r="H64" s="1205">
        <f>Benefits!I15</f>
        <v>1.3501004529989393</v>
      </c>
      <c r="I64" s="1205">
        <f>Benefits!J15</f>
        <v>1.4599559951219057</v>
      </c>
      <c r="J64" s="1205">
        <f>Benefits!K15</f>
        <v>1.499812793788734</v>
      </c>
      <c r="K64" s="1205">
        <f>Benefits!L15</f>
        <v>1.5407576830591663</v>
      </c>
      <c r="L64" s="1205">
        <f>Benefits!M15</f>
        <v>1.5828203678066819</v>
      </c>
      <c r="M64" s="1205">
        <f>Benefits!N15</f>
        <v>1.6260313638478046</v>
      </c>
      <c r="N64" s="1205">
        <f>Benefits!O15</f>
        <v>1.6704220200808495</v>
      </c>
      <c r="O64" s="1205">
        <f>Benefits!P15</f>
        <v>1.7160245412290571</v>
      </c>
      <c r="P64" s="1205">
        <f>Benefits!Q15</f>
        <v>1.7628720112046106</v>
      </c>
      <c r="Q64" s="1205">
        <f>Benefits!R15</f>
        <v>1.8109984171104963</v>
      </c>
      <c r="R64" s="1205">
        <f>Benefits!S15</f>
        <v>1.8708942852496977</v>
      </c>
      <c r="S64" s="1205">
        <f>Benefits!T15</f>
        <v>1.9777264369112448</v>
      </c>
      <c r="T64" s="1205">
        <f>Benefits!U15</f>
        <v>2.1763721220042269</v>
      </c>
      <c r="U64" s="1205">
        <f>Benefits!V15</f>
        <v>2.4873165786359812</v>
      </c>
      <c r="V64" s="1205">
        <f>Benefits!W15</f>
        <v>2.8604256617635322</v>
      </c>
      <c r="W64" s="1205">
        <f>Benefits!X15</f>
        <v>73.763815899433624</v>
      </c>
      <c r="X64" s="1205"/>
    </row>
    <row r="65" spans="2:24" s="914" customFormat="1">
      <c r="B65" s="1210" t="s">
        <v>1401</v>
      </c>
      <c r="C65" s="1205">
        <f>Benefits!D20</f>
        <v>0</v>
      </c>
      <c r="D65" s="1205">
        <f>Benefits!E20</f>
        <v>0</v>
      </c>
      <c r="E65" s="1205">
        <f>Benefits!F20</f>
        <v>1.5677892586820796</v>
      </c>
      <c r="F65" s="1205">
        <f>Benefits!G20</f>
        <v>8.0529683174242308</v>
      </c>
      <c r="G65" s="1205">
        <f>Benefits!H20</f>
        <v>19.854800773706987</v>
      </c>
      <c r="H65" s="1205">
        <f>Benefits!I20</f>
        <v>32.295067010079279</v>
      </c>
      <c r="I65" s="1205">
        <f>Benefits!J20</f>
        <v>34.922947107113501</v>
      </c>
      <c r="J65" s="1205">
        <f>Benefits!K20</f>
        <v>35.876427274553294</v>
      </c>
      <c r="K65" s="1205">
        <f>Benefits!L20</f>
        <v>36.855939736086498</v>
      </c>
      <c r="L65" s="1205">
        <f>Benefits!M20</f>
        <v>37.862195235742099</v>
      </c>
      <c r="M65" s="1205">
        <f>Benefits!N20</f>
        <v>38.895923922564762</v>
      </c>
      <c r="N65" s="1205">
        <f>Benefits!O20</f>
        <v>39.957875880418229</v>
      </c>
      <c r="O65" s="1205">
        <f>Benefits!P20</f>
        <v>41.048821672253752</v>
      </c>
      <c r="P65" s="1205">
        <f>Benefits!Q20</f>
        <v>42.169552899238155</v>
      </c>
      <c r="Q65" s="1205">
        <f>Benefits!R20</f>
        <v>43.320882775147652</v>
      </c>
      <c r="R65" s="1205">
        <f>Benefits!S20</f>
        <v>44.503646716443825</v>
      </c>
      <c r="S65" s="1205">
        <f>Benefits!T20</f>
        <v>45.718702948460205</v>
      </c>
      <c r="T65" s="1205">
        <f>Benefits!U20</f>
        <v>46.966933128139082</v>
      </c>
      <c r="U65" s="1205">
        <f>Benefits!V20</f>
        <v>48.249242983770657</v>
      </c>
      <c r="V65" s="1205">
        <f>Benefits!W20</f>
        <v>49.566562972198497</v>
      </c>
      <c r="W65" s="1205">
        <f>Benefits!X20</f>
        <v>50.919848953968369</v>
      </c>
      <c r="X65" s="1205"/>
    </row>
    <row r="66" spans="2:24">
      <c r="B66" s="1210" t="s">
        <v>1399</v>
      </c>
      <c r="C66" s="1208">
        <f>Cost!D11+Cost!D13</f>
        <v>2.3096709291382242</v>
      </c>
      <c r="D66" s="1208">
        <f>Cost!E11+Cost!E13</f>
        <v>3.6328402496045604</v>
      </c>
      <c r="E66" s="1208">
        <f>Cost!F11+Cost!F13</f>
        <v>12.025571731805893</v>
      </c>
      <c r="F66" s="1208">
        <f>Cost!G11+Cost!G13</f>
        <v>14.981095721944911</v>
      </c>
      <c r="G66" s="1208">
        <f>Cost!H11+Cost!H13</f>
        <v>13.609997965253152</v>
      </c>
      <c r="H66" s="1208">
        <f>Cost!I11+Cost!I13</f>
        <v>7.1308461188029639</v>
      </c>
      <c r="I66" s="1208">
        <f>Cost!J11+Cost!J13</f>
        <v>1.3995180831684779</v>
      </c>
      <c r="J66" s="1208">
        <f>Cost!K11+Cost!K13</f>
        <v>1.3995180831684779</v>
      </c>
      <c r="K66" s="1208">
        <f>Cost!L11+Cost!L13</f>
        <v>1.3995180831684779</v>
      </c>
      <c r="L66" s="1208">
        <f>Cost!M11+Cost!M13</f>
        <v>1.3995180831684779</v>
      </c>
      <c r="M66" s="1208">
        <f>Cost!N11+Cost!N13</f>
        <v>1.3995180831684779</v>
      </c>
      <c r="N66" s="1208">
        <f>Cost!O11+Cost!O13</f>
        <v>1.3995180831684779</v>
      </c>
      <c r="O66" s="1208">
        <f>Cost!P11+Cost!P13</f>
        <v>1.3995180831684779</v>
      </c>
      <c r="P66" s="1208">
        <f>Cost!Q11+Cost!Q13</f>
        <v>1.3995180831684779</v>
      </c>
      <c r="Q66" s="1208">
        <f>Cost!R11+Cost!R13</f>
        <v>1.3995180831684779</v>
      </c>
      <c r="R66" s="1208">
        <f>Cost!S11+Cost!S13</f>
        <v>1.3995180831684779</v>
      </c>
      <c r="S66" s="1208">
        <f>Cost!T11+Cost!T13</f>
        <v>1.3995180831684779</v>
      </c>
      <c r="T66" s="1208">
        <f>Cost!U11+Cost!U13</f>
        <v>1.3995180831684779</v>
      </c>
      <c r="U66" s="1208">
        <f>Cost!V11+Cost!V13</f>
        <v>1.3995180831684779</v>
      </c>
      <c r="V66" s="1208">
        <f>Cost!W11+Cost!W13</f>
        <v>1.3995180831684779</v>
      </c>
      <c r="W66" s="1208">
        <f>Cost!X11+Cost!X13</f>
        <v>1.3995180831684779</v>
      </c>
      <c r="X66" s="1205"/>
    </row>
    <row r="67" spans="2:24">
      <c r="B67" s="1205" t="s">
        <v>1396</v>
      </c>
      <c r="C67" s="1208">
        <f>C68-C69</f>
        <v>-1.9247953349756155</v>
      </c>
      <c r="D67" s="1208">
        <f t="shared" ref="D67" si="6">D68-D69</f>
        <v>-4.5753018166636945</v>
      </c>
      <c r="E67" s="1208">
        <f t="shared" ref="E67" si="7">E68-E69</f>
        <v>-14.766621967670371</v>
      </c>
      <c r="F67" s="1208">
        <f t="shared" ref="F67" si="8">F68-F69</f>
        <v>-17.532432650228316</v>
      </c>
      <c r="G67" s="1208">
        <f t="shared" ref="G67" si="9">G68-G69</f>
        <v>-15.511199270705243</v>
      </c>
      <c r="H67" s="1208">
        <f t="shared" ref="H67" si="10">H68-H69</f>
        <v>-25.449773122674419</v>
      </c>
      <c r="I67" s="1208">
        <f t="shared" ref="I67" si="11">I68-I69</f>
        <v>-0.25141156914267626</v>
      </c>
      <c r="J67" s="1208">
        <f t="shared" ref="J67" si="12">J68-J69</f>
        <v>-0.23271649540402373</v>
      </c>
      <c r="K67" s="1208">
        <f t="shared" ref="K67" si="13">K68-K69</f>
        <v>-0.21351104615230587</v>
      </c>
      <c r="L67" s="1208">
        <f t="shared" ref="L67" si="14">L68-L69</f>
        <v>-0.19378128813601625</v>
      </c>
      <c r="M67" s="1208">
        <f t="shared" ref="M67" si="15">M68-M69</f>
        <v>-0.17351290772588168</v>
      </c>
      <c r="N67" s="1208">
        <f t="shared" ref="N67" si="16">N68-N69</f>
        <v>-0.15269120053055074</v>
      </c>
      <c r="O67" s="1208">
        <f t="shared" ref="O67" si="17">O68-O69</f>
        <v>-0.13130106072878711</v>
      </c>
      <c r="P67" s="1208">
        <f t="shared" ref="P67" si="18">P68-P69</f>
        <v>-0.10932697011043524</v>
      </c>
      <c r="Q67" s="1208">
        <f t="shared" ref="Q67" si="19">Q68-Q69</f>
        <v>-8.6752986818202538E-2</v>
      </c>
      <c r="R67" s="1208">
        <f t="shared" ref="R67" si="20">R68-R69</f>
        <v>-5.9185880160213755E-2</v>
      </c>
      <c r="S67" s="1208">
        <f t="shared" ref="S67" si="21">S68-S69</f>
        <v>-1.1902556353173055E-2</v>
      </c>
      <c r="T67" s="1208">
        <f t="shared" ref="T67" si="22">T68-T69</f>
        <v>7.3885038309522422E-2</v>
      </c>
      <c r="U67" s="1208">
        <f t="shared" ref="U67" si="23">U68-U69</f>
        <v>0.206754197870479</v>
      </c>
      <c r="V67" s="1208">
        <f t="shared" ref="V67" si="24">V68-V69</f>
        <v>0.36572008485450835</v>
      </c>
      <c r="W67" s="1208">
        <f t="shared" ref="W67" si="25">W68-W69</f>
        <v>30.04964620287614</v>
      </c>
      <c r="X67" s="1209">
        <f>IRR(C67:W67)</f>
        <v>-5.8040272542752791E-2</v>
      </c>
    </row>
    <row r="68" spans="2:24">
      <c r="B68" s="1210" t="s">
        <v>1398</v>
      </c>
      <c r="C68" s="1205">
        <f>Benefits!D16</f>
        <v>0</v>
      </c>
      <c r="D68" s="1205">
        <f>Benefits!E16</f>
        <v>0</v>
      </c>
      <c r="E68" s="1205">
        <f>Benefits!F16</f>
        <v>3.0742939280624788E-2</v>
      </c>
      <c r="F68" s="1205">
        <f>Benefits!G16</f>
        <v>0.15791110761492924</v>
      </c>
      <c r="G68" s="1205">
        <f>Benefits!H16</f>
        <v>0.38933299404676031</v>
      </c>
      <c r="H68" s="1205">
        <f>Benefits!I16</f>
        <v>0.63327282590837519</v>
      </c>
      <c r="I68" s="1205">
        <f>Benefits!J16</f>
        <v>0.68480123584807784</v>
      </c>
      <c r="J68" s="1205">
        <f>Benefits!K16</f>
        <v>0.70349630958673037</v>
      </c>
      <c r="K68" s="1205">
        <f>Benefits!L16</f>
        <v>0.72270175883844823</v>
      </c>
      <c r="L68" s="1205">
        <f>Benefits!M16</f>
        <v>0.74243151685473785</v>
      </c>
      <c r="M68" s="1205">
        <f>Benefits!N16</f>
        <v>0.76269989726487242</v>
      </c>
      <c r="N68" s="1205">
        <f>Benefits!O16</f>
        <v>0.78352160446020336</v>
      </c>
      <c r="O68" s="1205">
        <f>Benefits!P16</f>
        <v>0.80491174426196699</v>
      </c>
      <c r="P68" s="1205">
        <f>Benefits!Q16</f>
        <v>0.82688583488031886</v>
      </c>
      <c r="Q68" s="1205">
        <f>Benefits!R16</f>
        <v>0.84945981817255156</v>
      </c>
      <c r="R68" s="1205">
        <f>Benefits!S16</f>
        <v>0.87702692483054034</v>
      </c>
      <c r="S68" s="1205">
        <f>Benefits!T16</f>
        <v>0.92431024863758104</v>
      </c>
      <c r="T68" s="1205">
        <f>Benefits!U16</f>
        <v>1.0100978433002765</v>
      </c>
      <c r="U68" s="1205">
        <f>Benefits!V16</f>
        <v>1.1429670028612331</v>
      </c>
      <c r="V68" s="1205">
        <f>Benefits!W16</f>
        <v>1.3019328898452625</v>
      </c>
      <c r="W68" s="1205">
        <f>Benefits!X16</f>
        <v>30.985859007866893</v>
      </c>
      <c r="X68" s="1205"/>
    </row>
    <row r="69" spans="2:24">
      <c r="B69" s="1210" t="s">
        <v>1399</v>
      </c>
      <c r="C69" s="1208">
        <f>Cost!D12+Cost!D15</f>
        <v>1.9247953349756155</v>
      </c>
      <c r="D69" s="1208">
        <f>Cost!E12+Cost!E15</f>
        <v>4.5753018166636945</v>
      </c>
      <c r="E69" s="1208">
        <f>Cost!F12+Cost!F15</f>
        <v>14.797364906950996</v>
      </c>
      <c r="F69" s="1208">
        <f>Cost!G12+Cost!G15</f>
        <v>17.690343757843245</v>
      </c>
      <c r="G69" s="1208">
        <f>Cost!H12+Cost!H15</f>
        <v>15.900532264752004</v>
      </c>
      <c r="H69" s="1208">
        <f>Cost!I12+Cost!I15</f>
        <v>26.083045948582793</v>
      </c>
      <c r="I69" s="1208">
        <f>Cost!J12+Cost!J15</f>
        <v>0.9362128049907541</v>
      </c>
      <c r="J69" s="1208">
        <f>Cost!K12+Cost!K15</f>
        <v>0.9362128049907541</v>
      </c>
      <c r="K69" s="1208">
        <f>Cost!L12+Cost!L15</f>
        <v>0.9362128049907541</v>
      </c>
      <c r="L69" s="1208">
        <f>Cost!M12+Cost!M15</f>
        <v>0.9362128049907541</v>
      </c>
      <c r="M69" s="1208">
        <f>Cost!N12+Cost!N15</f>
        <v>0.9362128049907541</v>
      </c>
      <c r="N69" s="1208">
        <f>Cost!O12+Cost!O15</f>
        <v>0.9362128049907541</v>
      </c>
      <c r="O69" s="1208">
        <f>Cost!P12+Cost!P15</f>
        <v>0.9362128049907541</v>
      </c>
      <c r="P69" s="1208">
        <f>Cost!Q12+Cost!Q15</f>
        <v>0.9362128049907541</v>
      </c>
      <c r="Q69" s="1208">
        <f>Cost!R12+Cost!R15</f>
        <v>0.9362128049907541</v>
      </c>
      <c r="R69" s="1208">
        <f>Cost!S12+Cost!S15</f>
        <v>0.9362128049907541</v>
      </c>
      <c r="S69" s="1208">
        <f>Cost!T12+Cost!T15</f>
        <v>0.9362128049907541</v>
      </c>
      <c r="T69" s="1208">
        <f>Cost!U12+Cost!U15</f>
        <v>0.9362128049907541</v>
      </c>
      <c r="U69" s="1208">
        <f>Cost!V12+Cost!V15</f>
        <v>0.9362128049907541</v>
      </c>
      <c r="V69" s="1208">
        <f>Cost!W12+Cost!W15</f>
        <v>0.9362128049907541</v>
      </c>
      <c r="W69" s="1208">
        <f>Cost!X12+Cost!X15</f>
        <v>0.9362128049907541</v>
      </c>
      <c r="X69" s="1205"/>
    </row>
    <row r="70" spans="2:24">
      <c r="B70" s="1205" t="s">
        <v>1397</v>
      </c>
      <c r="C70" s="1208">
        <f>C71+C72-C73</f>
        <v>-2.71453812221747</v>
      </c>
      <c r="D70" s="1208">
        <f t="shared" ref="D70" si="26">D71+D72-D73</f>
        <v>-5.2502767234637151</v>
      </c>
      <c r="E70" s="1208">
        <f t="shared" ref="E70" si="27">E71+E72-E73</f>
        <v>-16.871916874120714</v>
      </c>
      <c r="F70" s="1208">
        <f t="shared" ref="F70" si="28">F71+F72-F73</f>
        <v>-19.528921426389381</v>
      </c>
      <c r="G70" s="1208">
        <f t="shared" ref="G70" si="29">G71+G72-G73</f>
        <v>-16.022709305107455</v>
      </c>
      <c r="H70" s="1208">
        <f t="shared" ref="H70" si="30">H71+H72-H73</f>
        <v>-5.5487287566423191</v>
      </c>
      <c r="I70" s="1208">
        <f t="shared" ref="I70" si="31">I71+I72-I73</f>
        <v>4.5259049957488955</v>
      </c>
      <c r="J70" s="1208">
        <f t="shared" ref="J70" si="32">J71+J72-J73</f>
        <v>4.7915760524113136</v>
      </c>
      <c r="K70" s="1208">
        <f t="shared" ref="K70" si="33">K71+K72-K73</f>
        <v>5.0709964982817048</v>
      </c>
      <c r="L70" s="1208">
        <f t="shared" ref="L70" si="34">L71+L72-L73</f>
        <v>5.3648792199635924</v>
      </c>
      <c r="M70" s="1208">
        <f t="shared" ref="M70" si="35">M71+M72-M73</f>
        <v>5.6739740998937895</v>
      </c>
      <c r="N70" s="1208">
        <f t="shared" ref="N70" si="36">N71+N72-N73</f>
        <v>5.999069937254391</v>
      </c>
      <c r="O70" s="1208">
        <f t="shared" ref="O70" si="37">O71+O72-O73</f>
        <v>6.3409964686604008</v>
      </c>
      <c r="P70" s="1208">
        <f t="shared" ref="P70" si="38">P71+P72-P73</f>
        <v>6.7006264938074809</v>
      </c>
      <c r="Q70" s="1208">
        <f t="shared" ref="Q70" si="39">Q71+Q72-Q73</f>
        <v>7.0788781115338484</v>
      </c>
      <c r="R70" s="1208">
        <f t="shared" ref="R70" si="40">R71+R72-R73</f>
        <v>7.4825640283709074</v>
      </c>
      <c r="S70" s="1208">
        <f t="shared" ref="S70" si="41">S71+S72-S73</f>
        <v>7.9330615093170529</v>
      </c>
      <c r="T70" s="1208">
        <f t="shared" ref="T70" si="42">T71+T72-T73</f>
        <v>8.458813982128099</v>
      </c>
      <c r="U70" s="1208">
        <f t="shared" ref="U70" si="43">U71+U72-U73</f>
        <v>9.0753889786217261</v>
      </c>
      <c r="V70" s="1208">
        <f t="shared" ref="V70" si="44">V71+V72-V73</f>
        <v>9.7557929923777369</v>
      </c>
      <c r="W70" s="1208">
        <f t="shared" ref="W70" si="45">W71+W72-W73</f>
        <v>59.141239281863733</v>
      </c>
      <c r="X70" s="1209">
        <f>IRR(C70:W70)</f>
        <v>7.0349729594856525E-2</v>
      </c>
    </row>
    <row r="71" spans="2:24">
      <c r="B71" s="1210" t="s">
        <v>1398</v>
      </c>
      <c r="C71" s="1205">
        <f>Benefits!D17</f>
        <v>0</v>
      </c>
      <c r="D71" s="1205">
        <f>Benefits!E17</f>
        <v>0</v>
      </c>
      <c r="E71" s="1205">
        <f>Benefits!F17</f>
        <v>4.4684234946159321E-2</v>
      </c>
      <c r="F71" s="1205">
        <f>Benefits!G17</f>
        <v>0.23499004805079393</v>
      </c>
      <c r="G71" s="1205">
        <f>Benefits!H17</f>
        <v>0.59317911383592214</v>
      </c>
      <c r="H71" s="1205">
        <f>Benefits!I17</f>
        <v>0.98783257823432902</v>
      </c>
      <c r="I71" s="1205">
        <f>Benefits!J17</f>
        <v>1.0936664224565409</v>
      </c>
      <c r="J71" s="1205">
        <f>Benefits!K17</f>
        <v>1.1502970811708706</v>
      </c>
      <c r="K71" s="1205">
        <f>Benefits!L17</f>
        <v>1.2098601070499666</v>
      </c>
      <c r="L71" s="1205">
        <f>Benefits!M17</f>
        <v>1.2725073397048141</v>
      </c>
      <c r="M71" s="1205">
        <f>Benefits!N17</f>
        <v>1.3383984810863323</v>
      </c>
      <c r="N71" s="1205">
        <f>Benefits!O17</f>
        <v>1.4077015026017337</v>
      </c>
      <c r="O71" s="1205">
        <f>Benefits!P17</f>
        <v>1.4805930733115915</v>
      </c>
      <c r="P71" s="1205">
        <f>Benefits!Q17</f>
        <v>1.5572590102991937</v>
      </c>
      <c r="Q71" s="1205">
        <f>Benefits!R17</f>
        <v>1.6378947523602727</v>
      </c>
      <c r="R71" s="1205">
        <f>Benefits!S17</f>
        <v>1.7285528145576643</v>
      </c>
      <c r="S71" s="1205">
        <f>Benefits!T17</f>
        <v>1.8498107886095247</v>
      </c>
      <c r="T71" s="1205">
        <f>Benefits!U17</f>
        <v>2.0292708953907068</v>
      </c>
      <c r="U71" s="1205">
        <f>Benefits!V17</f>
        <v>2.2816157677698348</v>
      </c>
      <c r="V71" s="1205">
        <f>Benefits!W17</f>
        <v>2.5789210376144438</v>
      </c>
      <c r="W71" s="1205">
        <f>Benefits!X17</f>
        <v>51.561420750155527</v>
      </c>
      <c r="X71" s="1205"/>
    </row>
    <row r="72" spans="2:24">
      <c r="B72" s="1210" t="s">
        <v>1401</v>
      </c>
      <c r="C72" s="1205">
        <f>Benefits!D21</f>
        <v>0</v>
      </c>
      <c r="D72" s="1205">
        <f>Benefits!E21</f>
        <v>0</v>
      </c>
      <c r="E72" s="1205">
        <f>Benefits!F21</f>
        <v>0.16616242231988834</v>
      </c>
      <c r="F72" s="1205">
        <f>Benefits!G21</f>
        <v>0.87352436303012837</v>
      </c>
      <c r="G72" s="1205">
        <f>Benefits!H21</f>
        <v>2.2042697356231646</v>
      </c>
      <c r="H72" s="1205">
        <f>Benefits!I21</f>
        <v>3.6696248285496917</v>
      </c>
      <c r="I72" s="1205">
        <f>Benefits!J21</f>
        <v>4.0615197058159955</v>
      </c>
      <c r="J72" s="1205">
        <f>Benefits!K21</f>
        <v>4.2705601037640841</v>
      </c>
      <c r="K72" s="1205">
        <f>Benefits!L21</f>
        <v>4.4904175237553794</v>
      </c>
      <c r="L72" s="1205">
        <f>Benefits!M21</f>
        <v>4.7216530127824194</v>
      </c>
      <c r="M72" s="1205">
        <f>Benefits!N21</f>
        <v>4.9648567513310979</v>
      </c>
      <c r="N72" s="1205">
        <f>Benefits!O21</f>
        <v>5.2206495671762978</v>
      </c>
      <c r="O72" s="1205">
        <f>Benefits!P21</f>
        <v>5.4896845278724502</v>
      </c>
      <c r="P72" s="1205">
        <f>Benefits!Q21</f>
        <v>5.7726486160319279</v>
      </c>
      <c r="Q72" s="1205">
        <f>Benefits!R21</f>
        <v>6.0702644916972162</v>
      </c>
      <c r="R72" s="1205">
        <f>Benefits!S21</f>
        <v>6.3832923463368845</v>
      </c>
      <c r="S72" s="1205">
        <f>Benefits!T21</f>
        <v>6.7125318532311686</v>
      </c>
      <c r="T72" s="1205">
        <f>Benefits!U21</f>
        <v>7.0588242192610329</v>
      </c>
      <c r="U72" s="1205">
        <f>Benefits!V21</f>
        <v>7.423054343375532</v>
      </c>
      <c r="V72" s="1205">
        <f>Benefits!W21</f>
        <v>7.8061530872869334</v>
      </c>
      <c r="W72" s="1205">
        <f>Benefits!X21</f>
        <v>8.2090996642318412</v>
      </c>
      <c r="X72" s="1205"/>
    </row>
    <row r="73" spans="2:24">
      <c r="B73" s="1210" t="s">
        <v>1399</v>
      </c>
      <c r="C73" s="1208">
        <f>Cost!D14</f>
        <v>2.71453812221747</v>
      </c>
      <c r="D73" s="1208">
        <f>Cost!E14</f>
        <v>5.2502767234637151</v>
      </c>
      <c r="E73" s="1208">
        <f>Cost!F14</f>
        <v>17.08276353138676</v>
      </c>
      <c r="F73" s="1208">
        <f>Cost!G14</f>
        <v>20.637435837470303</v>
      </c>
      <c r="G73" s="1208">
        <f>Cost!H14</f>
        <v>18.820158154566542</v>
      </c>
      <c r="H73" s="1208">
        <f>Cost!I14</f>
        <v>10.20618616342634</v>
      </c>
      <c r="I73" s="1208">
        <f>Cost!J14</f>
        <v>0.62928113252364037</v>
      </c>
      <c r="J73" s="1208">
        <f>Cost!K14</f>
        <v>0.62928113252364037</v>
      </c>
      <c r="K73" s="1208">
        <f>Cost!L14</f>
        <v>0.62928113252364037</v>
      </c>
      <c r="L73" s="1208">
        <f>Cost!M14</f>
        <v>0.62928113252364037</v>
      </c>
      <c r="M73" s="1208">
        <f>Cost!N14</f>
        <v>0.62928113252364037</v>
      </c>
      <c r="N73" s="1208">
        <f>Cost!O14</f>
        <v>0.62928113252364037</v>
      </c>
      <c r="O73" s="1208">
        <f>Cost!P14</f>
        <v>0.62928113252364037</v>
      </c>
      <c r="P73" s="1208">
        <f>Cost!Q14</f>
        <v>0.62928113252364037</v>
      </c>
      <c r="Q73" s="1208">
        <f>Cost!R14</f>
        <v>0.62928113252364037</v>
      </c>
      <c r="R73" s="1208">
        <f>Cost!S14</f>
        <v>0.62928113252364037</v>
      </c>
      <c r="S73" s="1208">
        <f>Cost!T14</f>
        <v>0.62928113252364037</v>
      </c>
      <c r="T73" s="1208">
        <f>Cost!U14</f>
        <v>0.62928113252364037</v>
      </c>
      <c r="U73" s="1208">
        <f>Cost!V14</f>
        <v>0.62928113252364037</v>
      </c>
      <c r="V73" s="1208">
        <f>Cost!W14</f>
        <v>0.62928113252364037</v>
      </c>
      <c r="W73" s="1208">
        <f>Cost!X14</f>
        <v>0.62928113252364037</v>
      </c>
      <c r="X73" s="1205"/>
    </row>
    <row r="75" spans="2:24">
      <c r="B75" s="1211" t="s">
        <v>1405</v>
      </c>
      <c r="C75" s="1212"/>
    </row>
    <row r="76" spans="2:24">
      <c r="B76" s="1212" t="s">
        <v>1402</v>
      </c>
      <c r="C76" s="1213">
        <f>X60</f>
        <v>5.8552569404163313E-2</v>
      </c>
    </row>
    <row r="77" spans="2:24">
      <c r="B77" s="1212" t="s">
        <v>1403</v>
      </c>
      <c r="C77" s="1213">
        <f>X63</f>
        <v>0.57480768491698719</v>
      </c>
    </row>
    <row r="78" spans="2:24">
      <c r="B78" s="1212" t="s">
        <v>1396</v>
      </c>
      <c r="C78" s="1213">
        <f>X67</f>
        <v>-5.8040272542752791E-2</v>
      </c>
    </row>
    <row r="79" spans="2:24">
      <c r="B79" s="1212" t="s">
        <v>1397</v>
      </c>
      <c r="C79" s="1213">
        <f>X70</f>
        <v>7.0349729594856525E-2</v>
      </c>
    </row>
    <row r="81" spans="2:23">
      <c r="B81" s="1" t="s">
        <v>1471</v>
      </c>
      <c r="C81" s="474">
        <f>SUM(C63,C67)</f>
        <v>-4.2344662641138395</v>
      </c>
      <c r="D81" s="474">
        <f t="shared" ref="D81:W81" si="46">SUM(D63,D67)</f>
        <v>-8.2081420662682554</v>
      </c>
      <c r="E81" s="474">
        <f t="shared" si="46"/>
        <v>-25.158862300738271</v>
      </c>
      <c r="F81" s="474">
        <f t="shared" si="46"/>
        <v>-24.123902852351797</v>
      </c>
      <c r="G81" s="474">
        <f t="shared" si="46"/>
        <v>-8.4363613965970714</v>
      </c>
      <c r="H81" s="474">
        <f t="shared" si="46"/>
        <v>1.064548221600834</v>
      </c>
      <c r="I81" s="474">
        <f t="shared" si="46"/>
        <v>34.731973449924247</v>
      </c>
      <c r="J81" s="474">
        <f t="shared" si="46"/>
        <v>35.744005489769521</v>
      </c>
      <c r="K81" s="474">
        <f t="shared" si="46"/>
        <v>36.783668289824881</v>
      </c>
      <c r="L81" s="474">
        <f t="shared" si="46"/>
        <v>37.851716232244286</v>
      </c>
      <c r="M81" s="474">
        <f t="shared" si="46"/>
        <v>38.948924295518204</v>
      </c>
      <c r="N81" s="474">
        <f t="shared" si="46"/>
        <v>40.07608861680005</v>
      </c>
      <c r="O81" s="474">
        <f t="shared" si="46"/>
        <v>41.234027069585544</v>
      </c>
      <c r="P81" s="474">
        <f t="shared" si="46"/>
        <v>42.423579857163851</v>
      </c>
      <c r="Q81" s="474">
        <f t="shared" si="46"/>
        <v>43.645610122271464</v>
      </c>
      <c r="R81" s="474">
        <f t="shared" si="46"/>
        <v>44.915837038364828</v>
      </c>
      <c r="S81" s="474">
        <f t="shared" si="46"/>
        <v>46.285008745849801</v>
      </c>
      <c r="T81" s="474">
        <f t="shared" si="46"/>
        <v>47.817672205284346</v>
      </c>
      <c r="U81" s="474">
        <f t="shared" si="46"/>
        <v>49.543795677108641</v>
      </c>
      <c r="V81" s="474">
        <f t="shared" si="46"/>
        <v>51.393190635648054</v>
      </c>
      <c r="W81" s="474">
        <f t="shared" si="46"/>
        <v>153.33379297310967</v>
      </c>
    </row>
    <row r="82" spans="2:23">
      <c r="C82" s="4">
        <f>IRR(C81:W81)</f>
        <v>0.27650565679986672</v>
      </c>
    </row>
    <row r="83" spans="2:23">
      <c r="B83" s="1203" t="s">
        <v>1408</v>
      </c>
      <c r="C83" s="1203"/>
    </row>
    <row r="84" spans="2:23">
      <c r="B84" s="1203" t="s">
        <v>1403</v>
      </c>
      <c r="C84" s="1214">
        <f>health!B30</f>
        <v>214717.8</v>
      </c>
    </row>
    <row r="85" spans="2:23">
      <c r="B85" s="1203" t="s">
        <v>1396</v>
      </c>
      <c r="C85" s="1214">
        <f>health!B31</f>
        <v>106888.65</v>
      </c>
    </row>
    <row r="86" spans="2:23">
      <c r="B86" s="1203" t="s">
        <v>1397</v>
      </c>
      <c r="C86" s="1214">
        <f>health!B32</f>
        <v>136221.99981725443</v>
      </c>
    </row>
    <row r="87" spans="2:23">
      <c r="B87" s="1203"/>
      <c r="C87" s="1203"/>
    </row>
    <row r="88" spans="2:23">
      <c r="B88" s="1203" t="s">
        <v>1399</v>
      </c>
      <c r="C88" s="1203"/>
    </row>
    <row r="89" spans="2:23">
      <c r="B89" s="1203" t="s">
        <v>1403</v>
      </c>
      <c r="C89" s="1204">
        <f>Cost!C11+Cost!C13</f>
        <v>42.853980770516259</v>
      </c>
    </row>
    <row r="90" spans="2:23">
      <c r="B90" s="1203" t="s">
        <v>1396</v>
      </c>
      <c r="C90" s="1204">
        <f>Cost!C12+Cost!C15</f>
        <v>64.170439873221753</v>
      </c>
    </row>
    <row r="91" spans="2:23">
      <c r="B91" s="1203" t="s">
        <v>1409</v>
      </c>
      <c r="C91" s="1204">
        <f>Cost!C12</f>
        <v>46.170439873221753</v>
      </c>
    </row>
    <row r="92" spans="2:23">
      <c r="B92" s="1203" t="s">
        <v>1397</v>
      </c>
      <c r="C92" s="1204">
        <f>Cost!C14</f>
        <v>53.885753312979112</v>
      </c>
    </row>
    <row r="93" spans="2:23">
      <c r="B93" s="1203"/>
      <c r="C93" s="1203"/>
    </row>
    <row r="94" spans="2:23">
      <c r="B94" s="1203" t="s">
        <v>1407</v>
      </c>
      <c r="C94" s="1203"/>
    </row>
    <row r="95" spans="2:23">
      <c r="B95" s="1203" t="s">
        <v>1403</v>
      </c>
      <c r="C95" s="1215">
        <f>1000000*C89/C84</f>
        <v>199.58280482808721</v>
      </c>
    </row>
    <row r="96" spans="2:23">
      <c r="B96" s="1203" t="s">
        <v>1396</v>
      </c>
      <c r="C96" s="1215">
        <f>1000000*C90/C85</f>
        <v>600.34849231627265</v>
      </c>
    </row>
    <row r="97" spans="2:3">
      <c r="B97" s="1203" t="s">
        <v>1409</v>
      </c>
      <c r="C97" s="1215">
        <f>1000000*C91/C85</f>
        <v>431.94894755637534</v>
      </c>
    </row>
    <row r="98" spans="2:3">
      <c r="B98" s="1203" t="s">
        <v>1397</v>
      </c>
      <c r="C98" s="1215">
        <f>1000000*C92/C86</f>
        <v>395.57306004366649</v>
      </c>
    </row>
  </sheetData>
  <mergeCells count="3">
    <mergeCell ref="B21:C22"/>
    <mergeCell ref="F5:J5"/>
    <mergeCell ref="K2:L2"/>
  </mergeCells>
  <conditionalFormatting sqref="K2">
    <cfRule type="expression" dxfId="3" priority="1">
      <formula>$M$29&lt;&gt;1</formula>
    </cfRule>
    <cfRule type="expression" dxfId="2" priority="2">
      <formula>$M$29</formula>
    </cfRule>
  </conditionalFormatting>
  <pageMargins left="0.7" right="0.7" top="0.75" bottom="0.75" header="0.3" footer="0.3"/>
  <pageSetup orientation="portrait" r:id="rId1"/>
  <cellWatches>
    <cellWatch r="I2"/>
  </cellWatche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X35"/>
  <sheetViews>
    <sheetView workbookViewId="0"/>
  </sheetViews>
  <sheetFormatPr defaultRowHeight="15"/>
  <cols>
    <col min="1" max="1" width="2.7109375" style="1" bestFit="1" customWidth="1"/>
    <col min="2" max="2" width="56.85546875" style="1" bestFit="1" customWidth="1"/>
    <col min="3" max="3" width="22.28515625" style="1" customWidth="1"/>
    <col min="4" max="5" width="9.140625" style="1"/>
    <col min="6" max="6" width="11.28515625" style="1" customWidth="1"/>
    <col min="7" max="7" width="11.85546875" style="1" customWidth="1"/>
    <col min="8" max="16384" width="9.140625" style="1"/>
  </cols>
  <sheetData>
    <row r="1" spans="1:24" ht="21">
      <c r="A1" s="631"/>
      <c r="B1" s="539" t="s">
        <v>1625</v>
      </c>
      <c r="H1" s="1028" t="s">
        <v>1624</v>
      </c>
    </row>
    <row r="2" spans="1:24" ht="15" customHeight="1">
      <c r="A2" s="631"/>
      <c r="B2" s="539"/>
      <c r="C2" s="539"/>
      <c r="D2" s="474">
        <f>SUM(D9:I9)</f>
        <v>308.29833534520583</v>
      </c>
    </row>
    <row r="3" spans="1:24" ht="15" customHeight="1">
      <c r="A3" s="631"/>
      <c r="B3" s="624" t="s">
        <v>736</v>
      </c>
      <c r="C3" s="539"/>
    </row>
    <row r="4" spans="1:24" ht="15" customHeight="1">
      <c r="B4" s="741"/>
    </row>
    <row r="5" spans="1:24">
      <c r="C5" s="740" t="s">
        <v>907</v>
      </c>
      <c r="D5" s="630"/>
      <c r="E5" s="629"/>
      <c r="F5" s="629"/>
      <c r="G5" s="629" t="s">
        <v>792</v>
      </c>
      <c r="H5" s="629"/>
      <c r="I5" s="629"/>
      <c r="J5" s="628"/>
      <c r="K5" s="628"/>
      <c r="L5" s="628"/>
      <c r="M5" s="628"/>
      <c r="N5" s="628"/>
      <c r="O5" s="627"/>
      <c r="P5" s="627"/>
      <c r="Q5" s="627"/>
      <c r="R5" s="627"/>
      <c r="S5" s="627"/>
      <c r="T5" s="626"/>
      <c r="U5" s="626"/>
      <c r="V5" s="626"/>
      <c r="W5" s="626"/>
      <c r="X5" s="626"/>
    </row>
    <row r="6" spans="1:24" s="7" customFormat="1">
      <c r="B6" s="569" t="s">
        <v>93</v>
      </c>
      <c r="C6" s="624" t="s">
        <v>736</v>
      </c>
      <c r="D6" s="569">
        <v>0</v>
      </c>
      <c r="E6" s="569">
        <f t="shared" ref="E6:X6" si="0">D6+1</f>
        <v>1</v>
      </c>
      <c r="F6" s="569">
        <f t="shared" si="0"/>
        <v>2</v>
      </c>
      <c r="G6" s="569">
        <f t="shared" si="0"/>
        <v>3</v>
      </c>
      <c r="H6" s="569">
        <f t="shared" si="0"/>
        <v>4</v>
      </c>
      <c r="I6" s="569">
        <f t="shared" si="0"/>
        <v>5</v>
      </c>
      <c r="J6" s="569">
        <f t="shared" si="0"/>
        <v>6</v>
      </c>
      <c r="K6" s="569">
        <f t="shared" si="0"/>
        <v>7</v>
      </c>
      <c r="L6" s="569">
        <f t="shared" si="0"/>
        <v>8</v>
      </c>
      <c r="M6" s="569">
        <f t="shared" si="0"/>
        <v>9</v>
      </c>
      <c r="N6" s="569">
        <f t="shared" si="0"/>
        <v>10</v>
      </c>
      <c r="O6" s="569">
        <f t="shared" si="0"/>
        <v>11</v>
      </c>
      <c r="P6" s="569">
        <f t="shared" si="0"/>
        <v>12</v>
      </c>
      <c r="Q6" s="569">
        <f t="shared" si="0"/>
        <v>13</v>
      </c>
      <c r="R6" s="569">
        <f t="shared" si="0"/>
        <v>14</v>
      </c>
      <c r="S6" s="569">
        <f t="shared" si="0"/>
        <v>15</v>
      </c>
      <c r="T6" s="569">
        <f t="shared" si="0"/>
        <v>16</v>
      </c>
      <c r="U6" s="569">
        <f t="shared" si="0"/>
        <v>17</v>
      </c>
      <c r="V6" s="569">
        <f t="shared" si="0"/>
        <v>18</v>
      </c>
      <c r="W6" s="569">
        <f t="shared" si="0"/>
        <v>19</v>
      </c>
      <c r="X6" s="569">
        <f t="shared" si="0"/>
        <v>20</v>
      </c>
    </row>
    <row r="7" spans="1:24">
      <c r="B7" s="1" t="s">
        <v>791</v>
      </c>
      <c r="C7" s="76"/>
      <c r="D7" s="1">
        <v>2012</v>
      </c>
      <c r="E7" s="1">
        <f t="shared" ref="E7:X7" si="1">D7+1</f>
        <v>2013</v>
      </c>
      <c r="F7" s="1">
        <f t="shared" si="1"/>
        <v>2014</v>
      </c>
      <c r="G7" s="1">
        <f t="shared" si="1"/>
        <v>2015</v>
      </c>
      <c r="H7" s="1">
        <f t="shared" si="1"/>
        <v>2016</v>
      </c>
      <c r="I7" s="1">
        <f t="shared" si="1"/>
        <v>2017</v>
      </c>
      <c r="J7" s="1">
        <f t="shared" si="1"/>
        <v>2018</v>
      </c>
      <c r="K7" s="1">
        <f t="shared" si="1"/>
        <v>2019</v>
      </c>
      <c r="L7" s="1">
        <f t="shared" si="1"/>
        <v>2020</v>
      </c>
      <c r="M7" s="1">
        <f t="shared" si="1"/>
        <v>2021</v>
      </c>
      <c r="N7" s="1">
        <f t="shared" si="1"/>
        <v>2022</v>
      </c>
      <c r="O7" s="1">
        <f t="shared" si="1"/>
        <v>2023</v>
      </c>
      <c r="P7" s="1">
        <f t="shared" si="1"/>
        <v>2024</v>
      </c>
      <c r="Q7" s="1">
        <f t="shared" si="1"/>
        <v>2025</v>
      </c>
      <c r="R7" s="1">
        <f t="shared" si="1"/>
        <v>2026</v>
      </c>
      <c r="S7" s="1">
        <f t="shared" si="1"/>
        <v>2027</v>
      </c>
      <c r="T7" s="1">
        <f t="shared" si="1"/>
        <v>2028</v>
      </c>
      <c r="U7" s="1">
        <f t="shared" si="1"/>
        <v>2029</v>
      </c>
      <c r="V7" s="1">
        <f t="shared" si="1"/>
        <v>2030</v>
      </c>
      <c r="W7" s="1">
        <f t="shared" si="1"/>
        <v>2031</v>
      </c>
      <c r="X7" s="1">
        <f t="shared" si="1"/>
        <v>2032</v>
      </c>
    </row>
    <row r="8" spans="1:24" ht="6.75" customHeight="1">
      <c r="B8" s="254"/>
      <c r="C8" s="739"/>
    </row>
    <row r="9" spans="1:24" ht="15" customHeight="1">
      <c r="B9" s="177" t="s">
        <v>906</v>
      </c>
      <c r="C9" s="608">
        <f t="shared" ref="C9:C14" si="2">NPV(0.1,D9:X9)</f>
        <v>230.79553457980711</v>
      </c>
      <c r="D9" s="474">
        <f t="shared" ref="D9:X9" si="3">SUM(D10:D14)</f>
        <v>11.412506655003416</v>
      </c>
      <c r="E9" s="474">
        <f t="shared" si="3"/>
        <v>19.973621044529942</v>
      </c>
      <c r="F9" s="474">
        <f t="shared" si="3"/>
        <v>65.66334655860021</v>
      </c>
      <c r="G9" s="474">
        <f t="shared" si="3"/>
        <v>80.937097108693976</v>
      </c>
      <c r="H9" s="474">
        <f t="shared" si="3"/>
        <v>73.575118391688761</v>
      </c>
      <c r="I9" s="474">
        <f>SUM(I10:I15)</f>
        <v>56.736645586689534</v>
      </c>
      <c r="J9" s="474">
        <f t="shared" si="3"/>
        <v>5.0280773098952469</v>
      </c>
      <c r="K9" s="474">
        <f t="shared" si="3"/>
        <v>5.0280773098952469</v>
      </c>
      <c r="L9" s="474">
        <f t="shared" si="3"/>
        <v>5.0280773098952469</v>
      </c>
      <c r="M9" s="474">
        <f t="shared" si="3"/>
        <v>5.0280773098952469</v>
      </c>
      <c r="N9" s="474">
        <f t="shared" si="3"/>
        <v>5.0280773098952469</v>
      </c>
      <c r="O9" s="474">
        <f t="shared" si="3"/>
        <v>5.0280773098952469</v>
      </c>
      <c r="P9" s="474">
        <f t="shared" si="3"/>
        <v>5.0280773098952469</v>
      </c>
      <c r="Q9" s="474">
        <f t="shared" si="3"/>
        <v>5.0280773098952469</v>
      </c>
      <c r="R9" s="474">
        <f t="shared" si="3"/>
        <v>5.0280773098952469</v>
      </c>
      <c r="S9" s="474">
        <f t="shared" si="3"/>
        <v>5.0280773098952469</v>
      </c>
      <c r="T9" s="474">
        <f t="shared" si="3"/>
        <v>5.0280773098952469</v>
      </c>
      <c r="U9" s="474">
        <f t="shared" si="3"/>
        <v>5.0280773098952469</v>
      </c>
      <c r="V9" s="474">
        <f t="shared" si="3"/>
        <v>5.0280773098952469</v>
      </c>
      <c r="W9" s="474">
        <f t="shared" si="3"/>
        <v>5.0280773098952469</v>
      </c>
      <c r="X9" s="474">
        <f t="shared" si="3"/>
        <v>5.0280773098952469</v>
      </c>
    </row>
    <row r="10" spans="1:24" ht="15" customHeight="1">
      <c r="A10" s="492"/>
      <c r="B10" s="390" t="s">
        <v>707</v>
      </c>
      <c r="C10" s="608">
        <f t="shared" si="2"/>
        <v>76.708776808025249</v>
      </c>
      <c r="D10" s="608">
        <v>4.4635022686721051</v>
      </c>
      <c r="E10" s="608">
        <v>6.5152022547979733</v>
      </c>
      <c r="F10" s="608">
        <v>21.757646388456553</v>
      </c>
      <c r="G10" s="608">
        <v>27.628221791435514</v>
      </c>
      <c r="H10" s="608">
        <v>25.244430007117071</v>
      </c>
      <c r="I10" s="608">
        <v>13.316567355877432</v>
      </c>
      <c r="J10" s="608">
        <v>2.0630652892123744</v>
      </c>
      <c r="K10" s="608">
        <v>2.0630652892123744</v>
      </c>
      <c r="L10" s="608">
        <v>2.0630652892123744</v>
      </c>
      <c r="M10" s="608">
        <v>2.0630652892123744</v>
      </c>
      <c r="N10" s="608">
        <v>2.0630652892123744</v>
      </c>
      <c r="O10" s="608">
        <v>2.0630652892123744</v>
      </c>
      <c r="P10" s="608">
        <v>2.0630652892123744</v>
      </c>
      <c r="Q10" s="608">
        <v>2.0630652892123744</v>
      </c>
      <c r="R10" s="608">
        <v>2.0630652892123744</v>
      </c>
      <c r="S10" s="608">
        <v>2.0630652892123744</v>
      </c>
      <c r="T10" s="608">
        <v>2.0630652892123744</v>
      </c>
      <c r="U10" s="608">
        <v>2.0630652892123744</v>
      </c>
      <c r="V10" s="608">
        <v>2.0630652892123744</v>
      </c>
      <c r="W10" s="608">
        <v>2.0630652892123744</v>
      </c>
      <c r="X10" s="608">
        <v>2.0630652892123744</v>
      </c>
    </row>
    <row r="11" spans="1:24" ht="15" customHeight="1">
      <c r="A11" s="492"/>
      <c r="B11" s="390" t="s">
        <v>706</v>
      </c>
      <c r="C11" s="608">
        <f t="shared" si="2"/>
        <v>30.216320212416019</v>
      </c>
      <c r="D11" s="608">
        <v>1.7540470933141907</v>
      </c>
      <c r="E11" s="608">
        <v>2.6238201824179983</v>
      </c>
      <c r="F11" s="608">
        <v>8.6922442412341496</v>
      </c>
      <c r="G11" s="608">
        <v>10.846073028226421</v>
      </c>
      <c r="H11" s="608">
        <v>9.8547114466609056</v>
      </c>
      <c r="I11" s="608">
        <v>5.163885624935852</v>
      </c>
      <c r="J11" s="608">
        <v>0.81072190579687198</v>
      </c>
      <c r="K11" s="608">
        <v>0.81072190579687198</v>
      </c>
      <c r="L11" s="608">
        <v>0.81072190579687198</v>
      </c>
      <c r="M11" s="608">
        <v>0.81072190579687198</v>
      </c>
      <c r="N11" s="608">
        <v>0.81072190579687198</v>
      </c>
      <c r="O11" s="608">
        <v>0.81072190579687198</v>
      </c>
      <c r="P11" s="608">
        <v>0.81072190579687198</v>
      </c>
      <c r="Q11" s="608">
        <v>0.81072190579687198</v>
      </c>
      <c r="R11" s="608">
        <v>0.81072190579687198</v>
      </c>
      <c r="S11" s="608">
        <v>0.81072190579687198</v>
      </c>
      <c r="T11" s="608">
        <v>0.81072190579687198</v>
      </c>
      <c r="U11" s="608">
        <v>0.81072190579687198</v>
      </c>
      <c r="V11" s="608">
        <v>0.81072190579687198</v>
      </c>
      <c r="W11" s="608">
        <v>0.81072190579687198</v>
      </c>
      <c r="X11" s="608">
        <v>0.81072190579687198</v>
      </c>
    </row>
    <row r="12" spans="1:24" ht="15" customHeight="1">
      <c r="A12" s="492"/>
      <c r="B12" s="390" t="s">
        <v>705</v>
      </c>
      <c r="C12" s="608">
        <f>NPV(0.1,D12:X12)</f>
        <v>46.170439873221753</v>
      </c>
      <c r="D12" s="608">
        <v>1.9247953349756155</v>
      </c>
      <c r="E12" s="608">
        <v>4.5753018166636945</v>
      </c>
      <c r="F12" s="608">
        <v>14.797364906950996</v>
      </c>
      <c r="G12" s="608">
        <v>17.690343757843245</v>
      </c>
      <c r="H12" s="608">
        <v>15.900532264752004</v>
      </c>
      <c r="I12" s="608">
        <v>6.2830459485827941</v>
      </c>
      <c r="J12" s="608">
        <v>0.9362128049907541</v>
      </c>
      <c r="K12" s="608">
        <v>0.9362128049907541</v>
      </c>
      <c r="L12" s="608">
        <v>0.9362128049907541</v>
      </c>
      <c r="M12" s="608">
        <v>0.9362128049907541</v>
      </c>
      <c r="N12" s="608">
        <v>0.9362128049907541</v>
      </c>
      <c r="O12" s="608">
        <v>0.9362128049907541</v>
      </c>
      <c r="P12" s="608">
        <v>0.9362128049907541</v>
      </c>
      <c r="Q12" s="608">
        <v>0.9362128049907541</v>
      </c>
      <c r="R12" s="608">
        <v>0.9362128049907541</v>
      </c>
      <c r="S12" s="608">
        <v>0.9362128049907541</v>
      </c>
      <c r="T12" s="608">
        <v>0.9362128049907541</v>
      </c>
      <c r="U12" s="608">
        <v>0.9362128049907541</v>
      </c>
      <c r="V12" s="608">
        <v>0.9362128049907541</v>
      </c>
      <c r="W12" s="608">
        <v>0.9362128049907541</v>
      </c>
      <c r="X12" s="608">
        <v>0.9362128049907541</v>
      </c>
    </row>
    <row r="13" spans="1:24" ht="15" customHeight="1">
      <c r="A13" s="492"/>
      <c r="B13" s="390" t="s">
        <v>703</v>
      </c>
      <c r="C13" s="608">
        <f t="shared" si="2"/>
        <v>12.63766055810024</v>
      </c>
      <c r="D13" s="608">
        <v>0.55562383582403352</v>
      </c>
      <c r="E13" s="608">
        <v>1.0090200671865621</v>
      </c>
      <c r="F13" s="608">
        <v>3.3333274905717447</v>
      </c>
      <c r="G13" s="608">
        <v>4.1350226937184908</v>
      </c>
      <c r="H13" s="608">
        <v>3.7552865185922459</v>
      </c>
      <c r="I13" s="608">
        <v>1.9669604938671121</v>
      </c>
      <c r="J13" s="608">
        <v>0.58879617737160594</v>
      </c>
      <c r="K13" s="608">
        <v>0.58879617737160594</v>
      </c>
      <c r="L13" s="608">
        <v>0.58879617737160594</v>
      </c>
      <c r="M13" s="608">
        <v>0.58879617737160594</v>
      </c>
      <c r="N13" s="608">
        <v>0.58879617737160594</v>
      </c>
      <c r="O13" s="608">
        <v>0.58879617737160594</v>
      </c>
      <c r="P13" s="608">
        <v>0.58879617737160594</v>
      </c>
      <c r="Q13" s="608">
        <v>0.58879617737160594</v>
      </c>
      <c r="R13" s="608">
        <v>0.58879617737160594</v>
      </c>
      <c r="S13" s="608">
        <v>0.58879617737160594</v>
      </c>
      <c r="T13" s="608">
        <v>0.58879617737160594</v>
      </c>
      <c r="U13" s="608">
        <v>0.58879617737160594</v>
      </c>
      <c r="V13" s="608">
        <v>0.58879617737160594</v>
      </c>
      <c r="W13" s="608">
        <v>0.58879617737160594</v>
      </c>
      <c r="X13" s="608">
        <v>0.58879617737160594</v>
      </c>
    </row>
    <row r="14" spans="1:24" ht="15" customHeight="1">
      <c r="A14" s="738"/>
      <c r="B14" s="737" t="s">
        <v>905</v>
      </c>
      <c r="C14" s="608">
        <f t="shared" si="2"/>
        <v>53.885753312979112</v>
      </c>
      <c r="D14" s="608">
        <v>2.71453812221747</v>
      </c>
      <c r="E14" s="608">
        <v>5.2502767234637151</v>
      </c>
      <c r="F14" s="608">
        <v>17.08276353138676</v>
      </c>
      <c r="G14" s="608">
        <v>20.637435837470303</v>
      </c>
      <c r="H14" s="608">
        <v>18.820158154566542</v>
      </c>
      <c r="I14" s="608">
        <v>10.20618616342634</v>
      </c>
      <c r="J14" s="608">
        <v>0.62928113252364037</v>
      </c>
      <c r="K14" s="608">
        <v>0.62928113252364037</v>
      </c>
      <c r="L14" s="608">
        <v>0.62928113252364037</v>
      </c>
      <c r="M14" s="608">
        <v>0.62928113252364037</v>
      </c>
      <c r="N14" s="608">
        <v>0.62928113252364037</v>
      </c>
      <c r="O14" s="608">
        <v>0.62928113252364037</v>
      </c>
      <c r="P14" s="608">
        <v>0.62928113252364037</v>
      </c>
      <c r="Q14" s="608">
        <v>0.62928113252364037</v>
      </c>
      <c r="R14" s="608">
        <v>0.62928113252364037</v>
      </c>
      <c r="S14" s="608">
        <v>0.62928113252364037</v>
      </c>
      <c r="T14" s="608">
        <v>0.62928113252364037</v>
      </c>
      <c r="U14" s="608">
        <v>0.62928113252364037</v>
      </c>
      <c r="V14" s="608">
        <v>0.62928113252364037</v>
      </c>
      <c r="W14" s="608">
        <v>0.62928113252364037</v>
      </c>
      <c r="X14" s="608">
        <v>0.62928113252364037</v>
      </c>
    </row>
    <row r="15" spans="1:24" ht="15" customHeight="1">
      <c r="B15" s="737" t="s">
        <v>1380</v>
      </c>
      <c r="C15" s="608">
        <f>NPV(0.1,D15:X15)</f>
        <v>18</v>
      </c>
      <c r="D15" s="608"/>
      <c r="E15" s="608"/>
      <c r="F15" s="608"/>
      <c r="G15" s="608"/>
      <c r="H15" s="608"/>
      <c r="I15" s="608">
        <v>19.8</v>
      </c>
      <c r="J15" s="608"/>
      <c r="K15" s="608"/>
      <c r="L15" s="608"/>
      <c r="M15" s="608"/>
      <c r="N15" s="608"/>
      <c r="O15" s="608"/>
      <c r="P15" s="608"/>
      <c r="Q15" s="608"/>
      <c r="R15" s="608"/>
      <c r="S15" s="608"/>
      <c r="T15" s="608"/>
      <c r="U15" s="608"/>
      <c r="V15" s="608"/>
      <c r="W15" s="608"/>
      <c r="X15" s="608"/>
    </row>
    <row r="16" spans="1:24" ht="15" customHeight="1">
      <c r="B16" s="736" t="s">
        <v>904</v>
      </c>
      <c r="C16" s="608">
        <f>NPV(0.1,D16:X16)</f>
        <v>230.79553457980711</v>
      </c>
      <c r="D16" s="608">
        <f>D9</f>
        <v>11.412506655003416</v>
      </c>
      <c r="E16" s="608">
        <f t="shared" ref="E16:X16" si="4">E9</f>
        <v>19.973621044529942</v>
      </c>
      <c r="F16" s="608">
        <f t="shared" si="4"/>
        <v>65.66334655860021</v>
      </c>
      <c r="G16" s="608">
        <f t="shared" si="4"/>
        <v>80.937097108693976</v>
      </c>
      <c r="H16" s="608">
        <f t="shared" si="4"/>
        <v>73.575118391688761</v>
      </c>
      <c r="I16" s="608">
        <f>I9</f>
        <v>56.736645586689534</v>
      </c>
      <c r="J16" s="608">
        <f t="shared" si="4"/>
        <v>5.0280773098952469</v>
      </c>
      <c r="K16" s="608">
        <f t="shared" si="4"/>
        <v>5.0280773098952469</v>
      </c>
      <c r="L16" s="608">
        <f t="shared" si="4"/>
        <v>5.0280773098952469</v>
      </c>
      <c r="M16" s="608">
        <f t="shared" si="4"/>
        <v>5.0280773098952469</v>
      </c>
      <c r="N16" s="608">
        <f t="shared" si="4"/>
        <v>5.0280773098952469</v>
      </c>
      <c r="O16" s="608">
        <f t="shared" si="4"/>
        <v>5.0280773098952469</v>
      </c>
      <c r="P16" s="608">
        <f t="shared" si="4"/>
        <v>5.0280773098952469</v>
      </c>
      <c r="Q16" s="608">
        <f t="shared" si="4"/>
        <v>5.0280773098952469</v>
      </c>
      <c r="R16" s="608">
        <f t="shared" si="4"/>
        <v>5.0280773098952469</v>
      </c>
      <c r="S16" s="608">
        <f t="shared" si="4"/>
        <v>5.0280773098952469</v>
      </c>
      <c r="T16" s="608">
        <f t="shared" si="4"/>
        <v>5.0280773098952469</v>
      </c>
      <c r="U16" s="608">
        <f t="shared" si="4"/>
        <v>5.0280773098952469</v>
      </c>
      <c r="V16" s="608">
        <f t="shared" si="4"/>
        <v>5.0280773098952469</v>
      </c>
      <c r="W16" s="608">
        <f t="shared" si="4"/>
        <v>5.0280773098952469</v>
      </c>
      <c r="X16" s="608">
        <f t="shared" si="4"/>
        <v>5.0280773098952469</v>
      </c>
    </row>
    <row r="17" spans="2:10" ht="15" customHeight="1">
      <c r="B17" s="233" t="s">
        <v>1281</v>
      </c>
      <c r="C17" s="474">
        <f>D17*1000000</f>
        <v>383719494.99363464</v>
      </c>
      <c r="D17" s="474">
        <f>SUM(D16:X16)</f>
        <v>383.71949499363461</v>
      </c>
      <c r="H17" s="233"/>
      <c r="I17" s="233"/>
      <c r="J17" s="233"/>
    </row>
    <row r="18" spans="2:10" ht="15" customHeight="1">
      <c r="H18" s="233"/>
      <c r="I18" s="233"/>
      <c r="J18" s="233"/>
    </row>
    <row r="19" spans="2:10">
      <c r="C19" s="1">
        <v>35.46</v>
      </c>
      <c r="I19" s="233"/>
      <c r="J19" s="233"/>
    </row>
    <row r="20" spans="2:10">
      <c r="C20" s="1007">
        <f>C12-C19</f>
        <v>10.710439873221752</v>
      </c>
      <c r="H20" s="233"/>
      <c r="I20" s="233"/>
      <c r="J20" s="233"/>
    </row>
    <row r="21" spans="2:10">
      <c r="C21" s="76"/>
      <c r="H21" s="233"/>
      <c r="I21" s="233"/>
      <c r="J21" s="233"/>
    </row>
    <row r="22" spans="2:10">
      <c r="B22" s="233"/>
      <c r="C22" s="474">
        <f>C9*0.25</f>
        <v>57.698883644951778</v>
      </c>
      <c r="D22" s="735"/>
      <c r="H22" s="233"/>
      <c r="I22" s="233"/>
      <c r="J22" s="233"/>
    </row>
    <row r="23" spans="2:10">
      <c r="B23" s="233"/>
      <c r="E23" s="735"/>
      <c r="H23" s="233"/>
      <c r="I23" s="233"/>
      <c r="J23" s="233"/>
    </row>
    <row r="24" spans="2:10">
      <c r="B24" s="233"/>
      <c r="H24" s="233"/>
      <c r="I24" s="233"/>
      <c r="J24" s="233"/>
    </row>
    <row r="25" spans="2:10">
      <c r="B25" s="233"/>
      <c r="H25" s="233"/>
      <c r="I25" s="233"/>
      <c r="J25" s="233"/>
    </row>
    <row r="26" spans="2:10">
      <c r="B26" s="233"/>
      <c r="H26" s="233"/>
      <c r="I26" s="233"/>
      <c r="J26" s="233"/>
    </row>
    <row r="27" spans="2:10">
      <c r="B27" s="233"/>
      <c r="H27" s="233"/>
      <c r="I27" s="233"/>
      <c r="J27" s="233"/>
    </row>
    <row r="28" spans="2:10">
      <c r="B28" s="233"/>
      <c r="H28" s="233"/>
      <c r="I28" s="233"/>
      <c r="J28" s="233"/>
    </row>
    <row r="29" spans="2:10">
      <c r="B29" s="233"/>
      <c r="H29" s="233"/>
      <c r="I29" s="233"/>
      <c r="J29" s="233"/>
    </row>
    <row r="30" spans="2:10">
      <c r="B30" s="233"/>
      <c r="H30" s="233"/>
      <c r="I30" s="233"/>
      <c r="J30" s="233"/>
    </row>
    <row r="31" spans="2:10">
      <c r="B31" s="233"/>
      <c r="H31" s="233"/>
      <c r="I31" s="233"/>
      <c r="J31" s="233"/>
    </row>
    <row r="32" spans="2:10">
      <c r="B32" s="233"/>
      <c r="H32" s="233"/>
      <c r="I32" s="233"/>
      <c r="J32" s="233"/>
    </row>
    <row r="33" spans="2:10">
      <c r="B33" s="233"/>
      <c r="H33" s="233"/>
      <c r="I33" s="233"/>
      <c r="J33" s="233"/>
    </row>
    <row r="34" spans="2:10">
      <c r="B34" s="233"/>
    </row>
    <row r="35" spans="2:10">
      <c r="B35" s="233"/>
    </row>
  </sheetData>
  <pageMargins left="0.25" right="0.25" top="0.75" bottom="0.75" header="0.3" footer="0.3"/>
  <pageSetup scale="4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X105"/>
  <sheetViews>
    <sheetView workbookViewId="0">
      <pane xSplit="3" ySplit="7" topLeftCell="D8" activePane="bottomRight" state="frozen"/>
      <selection activeCell="B34" sqref="B34"/>
      <selection pane="topRight" activeCell="B34" sqref="B34"/>
      <selection pane="bottomLeft" activeCell="B34" sqref="B34"/>
      <selection pane="bottomRight" activeCell="B1" sqref="B1"/>
    </sheetView>
  </sheetViews>
  <sheetFormatPr defaultRowHeight="15"/>
  <cols>
    <col min="1" max="1" width="2.7109375" style="1" bestFit="1" customWidth="1"/>
    <col min="2" max="2" width="41.85546875" style="1" customWidth="1"/>
    <col min="3" max="3" width="13.7109375" style="1" bestFit="1" customWidth="1"/>
    <col min="4" max="23" width="9.140625" style="1"/>
    <col min="24" max="24" width="9.85546875" style="1" bestFit="1" customWidth="1"/>
    <col min="25" max="16384" width="9.140625" style="1"/>
  </cols>
  <sheetData>
    <row r="1" spans="1:24" ht="21">
      <c r="A1" s="539"/>
      <c r="B1" s="539" t="s">
        <v>1625</v>
      </c>
      <c r="K1" s="1028" t="s">
        <v>1624</v>
      </c>
    </row>
    <row r="2" spans="1:24" ht="21">
      <c r="A2" s="539"/>
      <c r="B2" s="539"/>
      <c r="C2" s="539"/>
    </row>
    <row r="3" spans="1:24" ht="15" customHeight="1">
      <c r="A3" s="631"/>
      <c r="B3" s="632" t="s">
        <v>736</v>
      </c>
      <c r="C3" s="631"/>
    </row>
    <row r="4" spans="1:24" ht="21.75" thickBot="1">
      <c r="A4" s="631"/>
      <c r="B4" s="196" t="s">
        <v>794</v>
      </c>
      <c r="C4" s="196"/>
    </row>
    <row r="5" spans="1:24">
      <c r="B5" s="126"/>
      <c r="C5" s="460" t="s">
        <v>793</v>
      </c>
      <c r="D5" s="630"/>
      <c r="E5" s="629"/>
      <c r="F5" s="629"/>
      <c r="G5" s="629" t="s">
        <v>792</v>
      </c>
      <c r="H5" s="629"/>
      <c r="I5" s="629"/>
      <c r="J5" s="628"/>
      <c r="K5" s="628"/>
      <c r="L5" s="628"/>
      <c r="M5" s="628"/>
      <c r="N5" s="628"/>
      <c r="O5" s="627"/>
      <c r="P5" s="627"/>
      <c r="Q5" s="627"/>
      <c r="R5" s="627"/>
      <c r="S5" s="627"/>
      <c r="T5" s="626"/>
      <c r="U5" s="626"/>
      <c r="V5" s="626"/>
      <c r="W5" s="626"/>
      <c r="X5" s="626"/>
    </row>
    <row r="6" spans="1:24" s="7" customFormat="1">
      <c r="B6" s="625" t="s">
        <v>93</v>
      </c>
      <c r="C6" s="624" t="s">
        <v>736</v>
      </c>
      <c r="D6" s="450">
        <v>0</v>
      </c>
      <c r="E6" s="450">
        <f t="shared" ref="E6:X6" si="0">D6+1</f>
        <v>1</v>
      </c>
      <c r="F6" s="450">
        <f t="shared" si="0"/>
        <v>2</v>
      </c>
      <c r="G6" s="450">
        <f t="shared" si="0"/>
        <v>3</v>
      </c>
      <c r="H6" s="450">
        <f t="shared" si="0"/>
        <v>4</v>
      </c>
      <c r="I6" s="450">
        <f t="shared" si="0"/>
        <v>5</v>
      </c>
      <c r="J6" s="450">
        <f t="shared" si="0"/>
        <v>6</v>
      </c>
      <c r="K6" s="450">
        <f t="shared" si="0"/>
        <v>7</v>
      </c>
      <c r="L6" s="450">
        <f t="shared" si="0"/>
        <v>8</v>
      </c>
      <c r="M6" s="450">
        <f t="shared" si="0"/>
        <v>9</v>
      </c>
      <c r="N6" s="450">
        <f t="shared" si="0"/>
        <v>10</v>
      </c>
      <c r="O6" s="450">
        <f t="shared" si="0"/>
        <v>11</v>
      </c>
      <c r="P6" s="450">
        <f t="shared" si="0"/>
        <v>12</v>
      </c>
      <c r="Q6" s="450">
        <f t="shared" si="0"/>
        <v>13</v>
      </c>
      <c r="R6" s="450">
        <f t="shared" si="0"/>
        <v>14</v>
      </c>
      <c r="S6" s="450">
        <f t="shared" si="0"/>
        <v>15</v>
      </c>
      <c r="T6" s="450">
        <f t="shared" si="0"/>
        <v>16</v>
      </c>
      <c r="U6" s="450">
        <f t="shared" si="0"/>
        <v>17</v>
      </c>
      <c r="V6" s="450">
        <f t="shared" si="0"/>
        <v>18</v>
      </c>
      <c r="W6" s="450">
        <f t="shared" si="0"/>
        <v>19</v>
      </c>
      <c r="X6" s="623">
        <f t="shared" si="0"/>
        <v>20</v>
      </c>
    </row>
    <row r="7" spans="1:24">
      <c r="B7" s="120" t="s">
        <v>791</v>
      </c>
      <c r="C7" s="72"/>
      <c r="D7" s="72">
        <v>2012</v>
      </c>
      <c r="E7" s="72">
        <f t="shared" ref="E7:X7" si="1">D7+1</f>
        <v>2013</v>
      </c>
      <c r="F7" s="72">
        <f t="shared" si="1"/>
        <v>2014</v>
      </c>
      <c r="G7" s="72">
        <f t="shared" si="1"/>
        <v>2015</v>
      </c>
      <c r="H7" s="72">
        <f t="shared" si="1"/>
        <v>2016</v>
      </c>
      <c r="I7" s="72">
        <f t="shared" si="1"/>
        <v>2017</v>
      </c>
      <c r="J7" s="72">
        <f t="shared" si="1"/>
        <v>2018</v>
      </c>
      <c r="K7" s="72">
        <f t="shared" si="1"/>
        <v>2019</v>
      </c>
      <c r="L7" s="72">
        <f t="shared" si="1"/>
        <v>2020</v>
      </c>
      <c r="M7" s="72">
        <f t="shared" si="1"/>
        <v>2021</v>
      </c>
      <c r="N7" s="72">
        <f t="shared" si="1"/>
        <v>2022</v>
      </c>
      <c r="O7" s="72">
        <f t="shared" si="1"/>
        <v>2023</v>
      </c>
      <c r="P7" s="72">
        <f t="shared" si="1"/>
        <v>2024</v>
      </c>
      <c r="Q7" s="72">
        <f t="shared" si="1"/>
        <v>2025</v>
      </c>
      <c r="R7" s="72">
        <f t="shared" si="1"/>
        <v>2026</v>
      </c>
      <c r="S7" s="72">
        <f t="shared" si="1"/>
        <v>2027</v>
      </c>
      <c r="T7" s="72">
        <f t="shared" si="1"/>
        <v>2028</v>
      </c>
      <c r="U7" s="72">
        <f t="shared" si="1"/>
        <v>2029</v>
      </c>
      <c r="V7" s="72">
        <f t="shared" si="1"/>
        <v>2030</v>
      </c>
      <c r="W7" s="72">
        <f t="shared" si="1"/>
        <v>2031</v>
      </c>
      <c r="X7" s="119">
        <f t="shared" si="1"/>
        <v>2032</v>
      </c>
    </row>
    <row r="8" spans="1:24" ht="6.75" customHeight="1">
      <c r="B8" s="622"/>
      <c r="C8" s="621"/>
      <c r="D8" s="72"/>
      <c r="E8" s="72"/>
      <c r="F8" s="72"/>
      <c r="G8" s="72"/>
      <c r="H8" s="72"/>
      <c r="I8" s="72"/>
      <c r="J8" s="72"/>
      <c r="K8" s="72"/>
      <c r="L8" s="72"/>
      <c r="M8" s="72"/>
      <c r="N8" s="72"/>
      <c r="O8" s="72"/>
      <c r="P8" s="72"/>
      <c r="Q8" s="72"/>
      <c r="R8" s="72"/>
      <c r="S8" s="72"/>
      <c r="T8" s="72"/>
      <c r="U8" s="72"/>
      <c r="V8" s="72"/>
      <c r="W8" s="72"/>
      <c r="X8" s="119"/>
    </row>
    <row r="9" spans="1:24">
      <c r="B9" s="449"/>
      <c r="C9" s="527"/>
      <c r="D9" s="72"/>
      <c r="E9" s="72"/>
      <c r="F9" s="72"/>
      <c r="G9" s="72"/>
      <c r="H9" s="72"/>
      <c r="I9" s="72"/>
      <c r="J9" s="72"/>
      <c r="K9" s="72"/>
      <c r="L9" s="72"/>
      <c r="M9" s="72"/>
      <c r="N9" s="72"/>
      <c r="O9" s="72"/>
      <c r="P9" s="72"/>
      <c r="Q9" s="72"/>
      <c r="R9" s="72"/>
      <c r="S9" s="72"/>
      <c r="T9" s="72"/>
      <c r="U9" s="72"/>
      <c r="V9" s="72"/>
      <c r="W9" s="72"/>
      <c r="X9" s="1217"/>
    </row>
    <row r="10" spans="1:24" s="7" customFormat="1">
      <c r="B10" s="620" t="s">
        <v>790</v>
      </c>
      <c r="C10" s="608">
        <f>NPV(0.1,D10:X10)</f>
        <v>346.72394814946188</v>
      </c>
      <c r="D10" s="619">
        <f>SUM(D14,D19,D25,D27,D29)</f>
        <v>0</v>
      </c>
      <c r="E10" s="619">
        <f t="shared" ref="E10:X10" si="2">SUM(E14,E19,E25,E27,E29)</f>
        <v>0</v>
      </c>
      <c r="F10" s="619">
        <f t="shared" si="2"/>
        <v>4.0547283357835031</v>
      </c>
      <c r="G10" s="619">
        <f t="shared" si="2"/>
        <v>14.481006190052797</v>
      </c>
      <c r="H10" s="619">
        <f t="shared" si="2"/>
        <v>32.653438660027319</v>
      </c>
      <c r="I10" s="619">
        <f t="shared" si="2"/>
        <v>50.33480269335103</v>
      </c>
      <c r="J10" s="619">
        <f t="shared" si="2"/>
        <v>53.658323840170304</v>
      </c>
      <c r="K10" s="619">
        <f t="shared" si="2"/>
        <v>54.971732067133942</v>
      </c>
      <c r="L10" s="619">
        <f t="shared" si="2"/>
        <v>56.328303429803753</v>
      </c>
      <c r="M10" s="619">
        <f t="shared" si="2"/>
        <v>57.729598983315221</v>
      </c>
      <c r="N10" s="619">
        <f t="shared" si="2"/>
        <v>59.177242384826847</v>
      </c>
      <c r="O10" s="619">
        <f t="shared" si="2"/>
        <v>60.672922645546798</v>
      </c>
      <c r="P10" s="619">
        <f t="shared" si="2"/>
        <v>62.21839701232674</v>
      </c>
      <c r="Q10" s="619">
        <f t="shared" si="2"/>
        <v>63.81549398520216</v>
      </c>
      <c r="R10" s="619">
        <f t="shared" si="2"/>
        <v>65.466116477581778</v>
      </c>
      <c r="S10" s="619">
        <f t="shared" si="2"/>
        <v>67.192924547438025</v>
      </c>
      <c r="T10" s="619">
        <f t="shared" si="2"/>
        <v>69.068178633479036</v>
      </c>
      <c r="U10" s="619">
        <f t="shared" si="2"/>
        <v>71.185011380568596</v>
      </c>
      <c r="V10" s="619">
        <f t="shared" si="2"/>
        <v>73.589108448453516</v>
      </c>
      <c r="W10" s="619">
        <f t="shared" si="2"/>
        <v>76.183445691988112</v>
      </c>
      <c r="X10" s="1219">
        <f t="shared" si="2"/>
        <v>227.57733859872502</v>
      </c>
    </row>
    <row r="11" spans="1:24" ht="15.75" thickBot="1">
      <c r="B11" s="118"/>
      <c r="C11" s="437"/>
      <c r="D11" s="618"/>
      <c r="E11" s="437"/>
      <c r="F11" s="437"/>
      <c r="G11" s="437"/>
      <c r="H11" s="437"/>
      <c r="I11" s="437"/>
      <c r="J11" s="437"/>
      <c r="K11" s="437"/>
      <c r="L11" s="437"/>
      <c r="M11" s="437"/>
      <c r="N11" s="437"/>
      <c r="O11" s="437"/>
      <c r="P11" s="437"/>
      <c r="Q11" s="437"/>
      <c r="R11" s="437"/>
      <c r="S11" s="437"/>
      <c r="T11" s="437"/>
      <c r="U11" s="437"/>
      <c r="V11" s="437"/>
      <c r="W11" s="437"/>
      <c r="X11" s="117"/>
    </row>
    <row r="12" spans="1:24">
      <c r="B12" s="1" t="s">
        <v>1418</v>
      </c>
      <c r="D12" s="7"/>
      <c r="E12" s="1013">
        <f>1000000*E10/'Poverty Scorecard'!$D$17</f>
        <v>0</v>
      </c>
      <c r="F12" s="474">
        <f>1000000*F10/'Poverty Scorecard'!$D$17</f>
        <v>19.772525287580038</v>
      </c>
      <c r="G12" s="1013">
        <f>1000000*G10/'Poverty Scorecard'!$D$17</f>
        <v>70.615350122363907</v>
      </c>
      <c r="H12" s="1013">
        <f>1000000*H10/'Poverty Scorecard'!$D$17</f>
        <v>159.23161508354795</v>
      </c>
      <c r="I12" s="1013">
        <f>1000000*I10/'Poverty Scorecard'!$D$17</f>
        <v>245.45322810321437</v>
      </c>
      <c r="J12" s="1013">
        <f>1000000*J10/'Poverty Scorecard'!$D$17</f>
        <v>261.66008599289171</v>
      </c>
      <c r="K12" s="1013">
        <f>1000000*K10/'Poverty Scorecard'!$D$17</f>
        <v>268.0648054290549</v>
      </c>
      <c r="L12" s="1013">
        <f>1000000*L10/'Poverty Scorecard'!$D$17</f>
        <v>274.6800060914718</v>
      </c>
      <c r="M12" s="1013">
        <f>1000000*M10/'Poverty Scorecard'!$D$17</f>
        <v>281.51330032789696</v>
      </c>
      <c r="N12" s="1013">
        <f>1000000*N10/'Poverty Scorecard'!$D$17</f>
        <v>288.57260575933122</v>
      </c>
      <c r="O12" s="1013">
        <f>1000000*O10/'Poverty Scorecard'!$D$17</f>
        <v>295.86615870003766</v>
      </c>
      <c r="P12" s="1013">
        <f>1000000*P10/'Poverty Scorecard'!$D$17</f>
        <v>303.40252820937951</v>
      </c>
      <c r="Q12" s="1013">
        <f>1000000*Q10/'Poverty Scorecard'!$D$17</f>
        <v>311.19063080658958</v>
      </c>
      <c r="R12" s="1013">
        <f>1000000*R10/'Poverty Scorecard'!$D$17</f>
        <v>319.23974588115544</v>
      </c>
      <c r="S12" s="1013">
        <f>1000000*S10/'Poverty Scorecard'!$D$17</f>
        <v>327.66037320819743</v>
      </c>
      <c r="T12" s="1013">
        <f>1000000*T10/'Poverty Scorecard'!$D$17</f>
        <v>336.80488444700489</v>
      </c>
      <c r="U12" s="1013">
        <f>1000000*U10/'Poverty Scorecard'!$D$17</f>
        <v>347.12743273021022</v>
      </c>
      <c r="V12" s="1013">
        <f>1000000*V10/'Poverty Scorecard'!$D$17</f>
        <v>358.85080015017979</v>
      </c>
      <c r="W12" s="1013">
        <f>1000000*W10/'Poverty Scorecard'!$D$17</f>
        <v>371.50185701620933</v>
      </c>
      <c r="X12" s="178">
        <f>1000000*X10/'Poverty Scorecard'!$D$17</f>
        <v>1109.7608297484014</v>
      </c>
    </row>
    <row r="13" spans="1:24" ht="16.5" thickBot="1">
      <c r="B13" s="196" t="s">
        <v>789</v>
      </c>
      <c r="D13" s="7"/>
    </row>
    <row r="14" spans="1:24">
      <c r="A14" s="1" t="s">
        <v>788</v>
      </c>
      <c r="B14" s="126" t="s">
        <v>787</v>
      </c>
      <c r="C14" s="617">
        <f>NPV(0.1,D14:X14)</f>
        <v>41.253692766601233</v>
      </c>
      <c r="D14" s="616">
        <f t="shared" ref="D14:X14" si="3">SUM(D15:D17)</f>
        <v>0</v>
      </c>
      <c r="E14" s="615">
        <f t="shared" si="3"/>
        <v>0</v>
      </c>
      <c r="F14" s="615">
        <f t="shared" si="3"/>
        <v>0.14096931428269693</v>
      </c>
      <c r="G14" s="615">
        <f t="shared" si="3"/>
        <v>0.72955835806291924</v>
      </c>
      <c r="H14" s="615">
        <f t="shared" si="3"/>
        <v>1.8125471735370173</v>
      </c>
      <c r="I14" s="615">
        <f t="shared" si="3"/>
        <v>2.9712058571416433</v>
      </c>
      <c r="J14" s="615">
        <f t="shared" si="3"/>
        <v>3.2384236534265245</v>
      </c>
      <c r="K14" s="615">
        <f t="shared" si="3"/>
        <v>3.3536061845463352</v>
      </c>
      <c r="L14" s="615">
        <f t="shared" si="3"/>
        <v>3.4733195489475812</v>
      </c>
      <c r="M14" s="615">
        <f t="shared" si="3"/>
        <v>3.597759224366234</v>
      </c>
      <c r="N14" s="615">
        <f t="shared" si="3"/>
        <v>3.7271297421990095</v>
      </c>
      <c r="O14" s="615">
        <f t="shared" si="3"/>
        <v>3.8616451271427863</v>
      </c>
      <c r="P14" s="615">
        <f t="shared" si="3"/>
        <v>4.0015293588026157</v>
      </c>
      <c r="Q14" s="615">
        <f t="shared" si="3"/>
        <v>4.1470168563841234</v>
      </c>
      <c r="R14" s="615">
        <f t="shared" si="3"/>
        <v>4.2983529876433204</v>
      </c>
      <c r="S14" s="615">
        <f t="shared" si="3"/>
        <v>4.476474024637902</v>
      </c>
      <c r="T14" s="615">
        <f t="shared" si="3"/>
        <v>4.7518474741583505</v>
      </c>
      <c r="U14" s="615">
        <f t="shared" si="3"/>
        <v>5.2157408606952105</v>
      </c>
      <c r="V14" s="615">
        <f t="shared" si="3"/>
        <v>5.9118993492670491</v>
      </c>
      <c r="W14" s="615">
        <f t="shared" si="3"/>
        <v>6.7412795892232378</v>
      </c>
      <c r="X14" s="614">
        <f t="shared" si="3"/>
        <v>156.31109565745604</v>
      </c>
    </row>
    <row r="15" spans="1:24">
      <c r="B15" s="609" t="s">
        <v>786</v>
      </c>
      <c r="C15" s="444">
        <f>NPV(0.1,D15:X15)</f>
        <v>18.755707850267306</v>
      </c>
      <c r="D15" s="610">
        <f>SUM(health!B260:B262)*health!B274/1000000+'Health--Stunting'!E173/1000000</f>
        <v>0</v>
      </c>
      <c r="E15" s="610">
        <f>SUM(health!C260:C262)*health!C274/1000000+'Health--Stunting'!F173/1000000</f>
        <v>0</v>
      </c>
      <c r="F15" s="610">
        <f>SUM(health!D260:D262)*health!D274/1000000+'Health--Stunting'!G173/1000000</f>
        <v>6.5542140055912815E-2</v>
      </c>
      <c r="G15" s="610">
        <f>SUM(health!E260:E262)*health!E274/1000000+'Health--Stunting'!H173/1000000</f>
        <v>0.3366572023971961</v>
      </c>
      <c r="H15" s="610">
        <f>SUM(health!F260:F262)*health!F274/1000000+'Health--Stunting'!I173/1000000</f>
        <v>0.83003506565433494</v>
      </c>
      <c r="I15" s="610">
        <f>SUM(health!G260:G262)*health!G274/1000000+'Health--Stunting'!J173/1000000</f>
        <v>1.3501004529989393</v>
      </c>
      <c r="J15" s="610">
        <f>SUM(health!H260:H262)*health!H274/1000000+'Health--Stunting'!K173/1000000</f>
        <v>1.4599559951219057</v>
      </c>
      <c r="K15" s="610">
        <f>SUM(health!I260:I262)*health!I274/1000000+'Health--Stunting'!L173/1000000</f>
        <v>1.499812793788734</v>
      </c>
      <c r="L15" s="610">
        <f>SUM(health!J260:J262)*health!J274/1000000+'Health--Stunting'!M173/1000000</f>
        <v>1.5407576830591663</v>
      </c>
      <c r="M15" s="610">
        <f>SUM(health!K260:K262)*health!K274/1000000+'Health--Stunting'!N173/1000000</f>
        <v>1.5828203678066819</v>
      </c>
      <c r="N15" s="610">
        <f>SUM(health!L260:L262)*health!L274/1000000+'Health--Stunting'!O173/1000000</f>
        <v>1.6260313638478046</v>
      </c>
      <c r="O15" s="610">
        <f>SUM(health!M260:M262)*health!M274/1000000+'Health--Stunting'!P173/1000000</f>
        <v>1.6704220200808495</v>
      </c>
      <c r="P15" s="610">
        <f>SUM(health!N260:N262)*health!N274/1000000+'Health--Stunting'!Q173/1000000</f>
        <v>1.7160245412290571</v>
      </c>
      <c r="Q15" s="610">
        <f>SUM(health!O260:O262)*health!O274/1000000+'Health--Stunting'!R173/1000000</f>
        <v>1.7628720112046106</v>
      </c>
      <c r="R15" s="610">
        <f>SUM(health!P260:P262)*health!P274/1000000+'Health--Stunting'!S173/1000000</f>
        <v>1.8109984171104963</v>
      </c>
      <c r="S15" s="610">
        <f>SUM(health!Q260:Q262)*health!Q274/1000000+'Health--Stunting'!T173/1000000</f>
        <v>1.8708942852496977</v>
      </c>
      <c r="T15" s="610">
        <f>SUM(health!R260:R262)*health!R274/1000000+'Health--Stunting'!U173/1000000</f>
        <v>1.9777264369112448</v>
      </c>
      <c r="U15" s="610">
        <f>SUM(health!S260:S262)*health!S274/1000000+'Health--Stunting'!V173/1000000</f>
        <v>2.1763721220042269</v>
      </c>
      <c r="V15" s="610">
        <f>SUM(health!T260:T262)*health!T274/1000000+'Health--Stunting'!W173/1000000</f>
        <v>2.4873165786359812</v>
      </c>
      <c r="W15" s="610">
        <f>SUM(health!U260:U262)*health!U274/1000000+'Health--Stunting'!X173/1000000</f>
        <v>2.8604256617635322</v>
      </c>
      <c r="X15" s="1216">
        <f>SUM(health!V260:V262)*health!V274/1000000+'Health--Stunting'!Y173/1000000</f>
        <v>73.763815899433624</v>
      </c>
    </row>
    <row r="16" spans="1:24">
      <c r="B16" s="609" t="s">
        <v>785</v>
      </c>
      <c r="C16" s="444">
        <f>NPV(0.1,D16:X16)</f>
        <v>8.296682703117046</v>
      </c>
      <c r="D16" s="610">
        <f>SUM(health!B265:B267)*health!B274/1000000+'Health--Stunting'!E198/1000000</f>
        <v>0</v>
      </c>
      <c r="E16" s="610">
        <f>SUM(health!C265:C267)*health!C274/1000000+'Health--Stunting'!F198/1000000</f>
        <v>0</v>
      </c>
      <c r="F16" s="610">
        <f>SUM(health!D265:D267)*health!D274/1000000+'Health--Stunting'!G198/1000000</f>
        <v>3.0742939280624788E-2</v>
      </c>
      <c r="G16" s="610">
        <f>SUM(health!E265:E267)*health!E274/1000000+'Health--Stunting'!H198/1000000</f>
        <v>0.15791110761492924</v>
      </c>
      <c r="H16" s="610">
        <f>SUM(health!F265:F267)*health!F274/1000000+'Health--Stunting'!I198/1000000</f>
        <v>0.38933299404676031</v>
      </c>
      <c r="I16" s="610">
        <f>SUM(health!G265:G267)*health!G274/1000000+'Health--Stunting'!J198/1000000</f>
        <v>0.63327282590837519</v>
      </c>
      <c r="J16" s="610">
        <f>SUM(health!H265:H267)*health!H274/1000000+'Health--Stunting'!K198/1000000</f>
        <v>0.68480123584807784</v>
      </c>
      <c r="K16" s="610">
        <f>SUM(health!I265:I267)*health!I274/1000000+'Health--Stunting'!L198/1000000</f>
        <v>0.70349630958673037</v>
      </c>
      <c r="L16" s="610">
        <f>SUM(health!J265:J267)*health!J274/1000000+'Health--Stunting'!M198/1000000</f>
        <v>0.72270175883844823</v>
      </c>
      <c r="M16" s="610">
        <f>SUM(health!K265:K267)*health!K274/1000000+'Health--Stunting'!N198/1000000</f>
        <v>0.74243151685473785</v>
      </c>
      <c r="N16" s="610">
        <f>SUM(health!L265:L267)*health!L274/1000000+'Health--Stunting'!O198/1000000</f>
        <v>0.76269989726487242</v>
      </c>
      <c r="O16" s="610">
        <f>SUM(health!M265:M267)*health!M274/1000000+'Health--Stunting'!P198/1000000</f>
        <v>0.78352160446020336</v>
      </c>
      <c r="P16" s="610">
        <f>SUM(health!N265:N267)*health!N274/1000000+'Health--Stunting'!Q198/1000000</f>
        <v>0.80491174426196699</v>
      </c>
      <c r="Q16" s="610">
        <f>SUM(health!O265:O267)*health!O274/1000000+'Health--Stunting'!R198/1000000</f>
        <v>0.82688583488031886</v>
      </c>
      <c r="R16" s="610">
        <f>SUM(health!P265:P267)*health!P274/1000000+'Health--Stunting'!S198/1000000</f>
        <v>0.84945981817255156</v>
      </c>
      <c r="S16" s="610">
        <f>SUM(health!Q265:Q267)*health!Q274/1000000+'Health--Stunting'!T198/1000000</f>
        <v>0.87702692483054034</v>
      </c>
      <c r="T16" s="610">
        <f>SUM(health!R265:R267)*health!R274/1000000+'Health--Stunting'!U198/1000000</f>
        <v>0.92431024863758104</v>
      </c>
      <c r="U16" s="610">
        <f>SUM(health!S265:S267)*health!S274/1000000+'Health--Stunting'!V198/1000000</f>
        <v>1.0100978433002765</v>
      </c>
      <c r="V16" s="610">
        <f>SUM(health!T265:T267)*health!T274/1000000+'Health--Stunting'!W198/1000000</f>
        <v>1.1429670028612331</v>
      </c>
      <c r="W16" s="610">
        <f>SUM(health!U265:U267)*health!U274/1000000+'Health--Stunting'!X198/1000000</f>
        <v>1.3019328898452625</v>
      </c>
      <c r="X16" s="1216">
        <f>SUM(health!V265:V267)*health!V274/1000000+'Health--Stunting'!Y198/1000000</f>
        <v>30.985859007866893</v>
      </c>
    </row>
    <row r="17" spans="1:24">
      <c r="B17" s="609" t="s">
        <v>784</v>
      </c>
      <c r="C17" s="444">
        <f>NPV(0.1,D17:X17)</f>
        <v>14.201302213216881</v>
      </c>
      <c r="D17" s="610">
        <f>SUM(health!B270:B272)*health!B274/1000000+'Health--Stunting'!E223/1000000</f>
        <v>0</v>
      </c>
      <c r="E17" s="610">
        <f>SUM(health!C270:C272)*health!C274/1000000+'Health--Stunting'!F223/1000000</f>
        <v>0</v>
      </c>
      <c r="F17" s="610">
        <f>SUM(health!D270:D272)*health!D274/1000000+'Health--Stunting'!G223/1000000</f>
        <v>4.4684234946159321E-2</v>
      </c>
      <c r="G17" s="610">
        <f>SUM(health!E270:E272)*health!E274/1000000+'Health--Stunting'!H223/1000000</f>
        <v>0.23499004805079393</v>
      </c>
      <c r="H17" s="610">
        <f>SUM(health!F270:F272)*health!F274/1000000+'Health--Stunting'!I223/1000000</f>
        <v>0.59317911383592214</v>
      </c>
      <c r="I17" s="610">
        <f>SUM(health!G270:G272)*health!G274/1000000+'Health--Stunting'!J223/1000000</f>
        <v>0.98783257823432902</v>
      </c>
      <c r="J17" s="610">
        <f>SUM(health!H270:H272)*health!H274/1000000+'Health--Stunting'!K223/1000000</f>
        <v>1.0936664224565409</v>
      </c>
      <c r="K17" s="610">
        <f>SUM(health!I270:I272)*health!I274/1000000+'Health--Stunting'!L223/1000000</f>
        <v>1.1502970811708706</v>
      </c>
      <c r="L17" s="610">
        <f>SUM(health!J270:J272)*health!J274/1000000+'Health--Stunting'!M223/1000000</f>
        <v>1.2098601070499666</v>
      </c>
      <c r="M17" s="610">
        <f>SUM(health!K270:K272)*health!K274/1000000+'Health--Stunting'!N223/1000000</f>
        <v>1.2725073397048141</v>
      </c>
      <c r="N17" s="610">
        <f>SUM(health!L270:L272)*health!L274/1000000+'Health--Stunting'!O223/1000000</f>
        <v>1.3383984810863323</v>
      </c>
      <c r="O17" s="610">
        <f>SUM(health!M270:M272)*health!M274/1000000+'Health--Stunting'!P223/1000000</f>
        <v>1.4077015026017337</v>
      </c>
      <c r="P17" s="610">
        <f>SUM(health!N270:N272)*health!N274/1000000+'Health--Stunting'!Q223/1000000</f>
        <v>1.4805930733115915</v>
      </c>
      <c r="Q17" s="610">
        <f>SUM(health!O270:O272)*health!O274/1000000+'Health--Stunting'!R223/1000000</f>
        <v>1.5572590102991937</v>
      </c>
      <c r="R17" s="610">
        <f>SUM(health!P270:P272)*health!P274/1000000+'Health--Stunting'!S223/1000000</f>
        <v>1.6378947523602727</v>
      </c>
      <c r="S17" s="610">
        <f>SUM(health!Q270:Q272)*health!Q274/1000000+'Health--Stunting'!T223/1000000</f>
        <v>1.7285528145576643</v>
      </c>
      <c r="T17" s="610">
        <f>SUM(health!R270:R272)*health!R274/1000000+'Health--Stunting'!U223/1000000</f>
        <v>1.8498107886095247</v>
      </c>
      <c r="U17" s="610">
        <f>SUM(health!S270:S272)*health!S274/1000000+'Health--Stunting'!V223/1000000</f>
        <v>2.0292708953907068</v>
      </c>
      <c r="V17" s="610">
        <f>SUM(health!T270:T272)*health!T274/1000000+'Health--Stunting'!W223/1000000</f>
        <v>2.2816157677698348</v>
      </c>
      <c r="W17" s="610">
        <f>SUM(health!U270:U272)*health!U274/1000000+'Health--Stunting'!X223/1000000</f>
        <v>2.5789210376144438</v>
      </c>
      <c r="X17" s="1216">
        <f>SUM(health!V270:V272)*health!V274/1000000+'Health--Stunting'!Y223/1000000</f>
        <v>51.561420750155527</v>
      </c>
    </row>
    <row r="18" spans="1:24">
      <c r="B18" s="120"/>
      <c r="C18" s="444">
        <f>C15*health!B29</f>
        <v>13.29963819697435</v>
      </c>
      <c r="D18" s="205"/>
      <c r="E18" s="72"/>
      <c r="F18" s="72"/>
      <c r="G18" s="72"/>
      <c r="H18" s="72"/>
      <c r="I18" s="72"/>
      <c r="J18" s="72"/>
      <c r="K18" s="72"/>
      <c r="L18" s="72"/>
      <c r="M18" s="72"/>
      <c r="N18" s="72"/>
      <c r="O18" s="72"/>
      <c r="P18" s="72"/>
      <c r="Q18" s="72"/>
      <c r="R18" s="72"/>
      <c r="S18" s="72"/>
      <c r="T18" s="72"/>
      <c r="U18" s="72"/>
      <c r="V18" s="72"/>
      <c r="W18" s="72"/>
      <c r="X18" s="1217"/>
    </row>
    <row r="19" spans="1:24">
      <c r="A19" s="1" t="s">
        <v>783</v>
      </c>
      <c r="B19" s="120" t="s">
        <v>782</v>
      </c>
      <c r="C19" s="444">
        <f>NPV(0.1,D19:X19)</f>
        <v>238.56769951825029</v>
      </c>
      <c r="D19" s="610">
        <f t="shared" ref="D19:X19" si="4">SUM(D20:D21)</f>
        <v>0</v>
      </c>
      <c r="E19" s="610">
        <f t="shared" si="4"/>
        <v>0</v>
      </c>
      <c r="F19" s="610">
        <f t="shared" si="4"/>
        <v>1.7339516810019679</v>
      </c>
      <c r="G19" s="610">
        <f t="shared" si="4"/>
        <v>8.9264926804543592</v>
      </c>
      <c r="H19" s="610">
        <f t="shared" si="4"/>
        <v>22.059070509330152</v>
      </c>
      <c r="I19" s="610">
        <f t="shared" si="4"/>
        <v>35.964691838628973</v>
      </c>
      <c r="J19" s="610">
        <f t="shared" si="4"/>
        <v>38.984466812929497</v>
      </c>
      <c r="K19" s="610">
        <f t="shared" si="4"/>
        <v>40.146987378317377</v>
      </c>
      <c r="L19" s="610">
        <f t="shared" si="4"/>
        <v>41.346357259841881</v>
      </c>
      <c r="M19" s="610">
        <f t="shared" si="4"/>
        <v>42.583848248524518</v>
      </c>
      <c r="N19" s="610">
        <f t="shared" si="4"/>
        <v>43.86078067389586</v>
      </c>
      <c r="O19" s="610">
        <f t="shared" si="4"/>
        <v>45.178525447594524</v>
      </c>
      <c r="P19" s="610">
        <f t="shared" si="4"/>
        <v>46.5385062001262</v>
      </c>
      <c r="Q19" s="610">
        <f t="shared" si="4"/>
        <v>47.942201515270085</v>
      </c>
      <c r="R19" s="610">
        <f t="shared" si="4"/>
        <v>49.391147266844868</v>
      </c>
      <c r="S19" s="610">
        <f t="shared" si="4"/>
        <v>50.886939062780712</v>
      </c>
      <c r="T19" s="610">
        <f t="shared" si="4"/>
        <v>52.431234801691375</v>
      </c>
      <c r="U19" s="610">
        <f t="shared" si="4"/>
        <v>54.025757347400116</v>
      </c>
      <c r="V19" s="610">
        <f t="shared" si="4"/>
        <v>55.67229732714619</v>
      </c>
      <c r="W19" s="610">
        <f t="shared" si="4"/>
        <v>57.372716059485427</v>
      </c>
      <c r="X19" s="1216">
        <f t="shared" si="4"/>
        <v>59.128948618200212</v>
      </c>
    </row>
    <row r="20" spans="1:24">
      <c r="B20" s="612" t="s">
        <v>781</v>
      </c>
      <c r="C20" s="444">
        <f>NPV(0.1,D20:X20)</f>
        <v>211.16766375335737</v>
      </c>
      <c r="D20" s="610">
        <f>'Time Savings'!E8</f>
        <v>0</v>
      </c>
      <c r="E20" s="613">
        <f>'Time Savings'!F8</f>
        <v>0</v>
      </c>
      <c r="F20" s="613">
        <f>'Time Savings'!G8</f>
        <v>1.5677892586820796</v>
      </c>
      <c r="G20" s="613">
        <f>'Time Savings'!H8</f>
        <v>8.0529683174242308</v>
      </c>
      <c r="H20" s="613">
        <f>'Time Savings'!I8</f>
        <v>19.854800773706987</v>
      </c>
      <c r="I20" s="613">
        <f>'Time Savings'!J8</f>
        <v>32.295067010079279</v>
      </c>
      <c r="J20" s="613">
        <f>'Time Savings'!K8</f>
        <v>34.922947107113501</v>
      </c>
      <c r="K20" s="613">
        <f>'Time Savings'!L8</f>
        <v>35.876427274553294</v>
      </c>
      <c r="L20" s="613">
        <f>'Time Savings'!M8</f>
        <v>36.855939736086498</v>
      </c>
      <c r="M20" s="613">
        <f>'Time Savings'!N8</f>
        <v>37.862195235742099</v>
      </c>
      <c r="N20" s="613">
        <f>'Time Savings'!O8</f>
        <v>38.895923922564762</v>
      </c>
      <c r="O20" s="613">
        <f>'Time Savings'!P8</f>
        <v>39.957875880418229</v>
      </c>
      <c r="P20" s="613">
        <f>'Time Savings'!Q8</f>
        <v>41.048821672253752</v>
      </c>
      <c r="Q20" s="613">
        <f>'Time Savings'!R8</f>
        <v>42.169552899238155</v>
      </c>
      <c r="R20" s="613">
        <f>'Time Savings'!S8</f>
        <v>43.320882775147652</v>
      </c>
      <c r="S20" s="613">
        <f>'Time Savings'!T8</f>
        <v>44.503646716443825</v>
      </c>
      <c r="T20" s="613">
        <f>'Time Savings'!U8</f>
        <v>45.718702948460205</v>
      </c>
      <c r="U20" s="613">
        <f>'Time Savings'!V8</f>
        <v>46.966933128139082</v>
      </c>
      <c r="V20" s="613">
        <f>'Time Savings'!W8</f>
        <v>48.249242983770657</v>
      </c>
      <c r="W20" s="613">
        <f>'Time Savings'!X8</f>
        <v>49.566562972198497</v>
      </c>
      <c r="X20" s="1218">
        <f>'Time Savings'!Y8</f>
        <v>50.919848953968369</v>
      </c>
    </row>
    <row r="21" spans="1:24">
      <c r="B21" s="612" t="s">
        <v>780</v>
      </c>
      <c r="C21" s="444">
        <f>NPV(0.1,D21:X21)</f>
        <v>27.400035764892891</v>
      </c>
      <c r="D21" s="610">
        <f>Drainage!F13</f>
        <v>0</v>
      </c>
      <c r="E21" s="610">
        <f>Drainage!G13</f>
        <v>0</v>
      </c>
      <c r="F21" s="610">
        <f>Drainage!H13</f>
        <v>0.16616242231988834</v>
      </c>
      <c r="G21" s="610">
        <f>Drainage!I13</f>
        <v>0.87352436303012837</v>
      </c>
      <c r="H21" s="610">
        <f>Drainage!J13</f>
        <v>2.2042697356231646</v>
      </c>
      <c r="I21" s="610">
        <f>Drainage!K13</f>
        <v>3.6696248285496917</v>
      </c>
      <c r="J21" s="610">
        <f>Drainage!L13</f>
        <v>4.0615197058159955</v>
      </c>
      <c r="K21" s="610">
        <f>Drainage!M13</f>
        <v>4.2705601037640841</v>
      </c>
      <c r="L21" s="610">
        <f>Drainage!N13</f>
        <v>4.4904175237553794</v>
      </c>
      <c r="M21" s="610">
        <f>Drainage!O13</f>
        <v>4.7216530127824194</v>
      </c>
      <c r="N21" s="610">
        <f>Drainage!P13</f>
        <v>4.9648567513310979</v>
      </c>
      <c r="O21" s="610">
        <f>Drainage!Q13</f>
        <v>5.2206495671762978</v>
      </c>
      <c r="P21" s="610">
        <f>Drainage!R13</f>
        <v>5.4896845278724502</v>
      </c>
      <c r="Q21" s="610">
        <f>Drainage!S13</f>
        <v>5.7726486160319279</v>
      </c>
      <c r="R21" s="610">
        <f>Drainage!T13</f>
        <v>6.0702644916972162</v>
      </c>
      <c r="S21" s="610">
        <f>Drainage!U13</f>
        <v>6.3832923463368845</v>
      </c>
      <c r="T21" s="610">
        <f>Drainage!V13</f>
        <v>6.7125318532311686</v>
      </c>
      <c r="U21" s="610">
        <f>Drainage!W13</f>
        <v>7.0588242192610329</v>
      </c>
      <c r="V21" s="610">
        <f>Drainage!X13</f>
        <v>7.423054343375532</v>
      </c>
      <c r="W21" s="610">
        <f>Drainage!Y13</f>
        <v>7.8061530872869334</v>
      </c>
      <c r="X21" s="1216">
        <f>Drainage!Z13</f>
        <v>8.2090996642318412</v>
      </c>
    </row>
    <row r="22" spans="1:24">
      <c r="B22" s="612"/>
      <c r="C22" s="444"/>
      <c r="D22" s="610"/>
      <c r="E22" s="610"/>
      <c r="F22" s="610"/>
      <c r="G22" s="610"/>
      <c r="H22" s="610"/>
      <c r="I22" s="610"/>
      <c r="J22" s="610"/>
      <c r="K22" s="610"/>
      <c r="L22" s="610"/>
      <c r="M22" s="610"/>
      <c r="N22" s="610"/>
      <c r="O22" s="610"/>
      <c r="P22" s="610"/>
      <c r="Q22" s="610"/>
      <c r="R22" s="610"/>
      <c r="S22" s="610"/>
      <c r="T22" s="610"/>
      <c r="U22" s="610"/>
      <c r="V22" s="610"/>
      <c r="W22" s="610"/>
      <c r="X22" s="1216"/>
    </row>
    <row r="23" spans="1:24">
      <c r="B23" s="120" t="s">
        <v>779</v>
      </c>
      <c r="C23" s="444">
        <f>NPV(0.1,D19:I19)</f>
        <v>41.397736363385455</v>
      </c>
      <c r="D23" s="610"/>
      <c r="E23" s="610"/>
      <c r="F23" s="610"/>
      <c r="G23" s="610"/>
      <c r="H23" s="610"/>
      <c r="I23" s="610"/>
      <c r="J23" s="610"/>
      <c r="K23" s="610"/>
      <c r="L23" s="610"/>
      <c r="M23" s="610"/>
      <c r="N23" s="610"/>
      <c r="O23" s="610"/>
      <c r="P23" s="610"/>
      <c r="Q23" s="610"/>
      <c r="R23" s="610"/>
      <c r="S23" s="610"/>
      <c r="T23" s="610"/>
      <c r="U23" s="610"/>
      <c r="V23" s="610"/>
      <c r="W23" s="610"/>
      <c r="X23" s="1216"/>
    </row>
    <row r="24" spans="1:24">
      <c r="B24" s="120"/>
      <c r="D24" s="7"/>
      <c r="E24" s="72"/>
      <c r="F24" s="72"/>
      <c r="G24" s="72"/>
      <c r="H24" s="72"/>
      <c r="I24" s="72"/>
      <c r="J24" s="72"/>
      <c r="K24" s="72"/>
      <c r="L24" s="72"/>
      <c r="M24" s="72"/>
      <c r="N24" s="72"/>
      <c r="O24" s="72"/>
      <c r="P24" s="72"/>
      <c r="Q24" s="72"/>
      <c r="R24" s="72"/>
      <c r="S24" s="72"/>
      <c r="T24" s="72"/>
      <c r="U24" s="72"/>
      <c r="V24" s="72"/>
      <c r="W24" s="72"/>
      <c r="X24" s="1217"/>
    </row>
    <row r="25" spans="1:24" s="7" customFormat="1">
      <c r="A25" s="7" t="s">
        <v>778</v>
      </c>
      <c r="B25" s="34" t="s">
        <v>777</v>
      </c>
      <c r="C25" s="608">
        <f>NPV(0.1,D25:X25)</f>
        <v>61.474387096668984</v>
      </c>
      <c r="D25" s="610">
        <f>NRW!E8</f>
        <v>0</v>
      </c>
      <c r="E25" s="610">
        <f>NRW!E8</f>
        <v>0</v>
      </c>
      <c r="F25" s="610">
        <f>NRW!F8</f>
        <v>2.1444862902911797</v>
      </c>
      <c r="G25" s="610">
        <f>NRW!G8</f>
        <v>4.6409950226088439</v>
      </c>
      <c r="H25" s="610">
        <f>NRW!H8</f>
        <v>8.3217931435828003</v>
      </c>
      <c r="I25" s="610">
        <f>NRW!I8</f>
        <v>10.639745941391466</v>
      </c>
      <c r="J25" s="610">
        <f>NRW!J8</f>
        <v>10.602307402047547</v>
      </c>
      <c r="K25" s="610">
        <f>NRW!K8</f>
        <v>10.602307402047547</v>
      </c>
      <c r="L25" s="610">
        <f>NRW!L8</f>
        <v>10.602307402047547</v>
      </c>
      <c r="M25" s="610">
        <f>NRW!M8</f>
        <v>10.602307402047547</v>
      </c>
      <c r="N25" s="610">
        <f>NRW!N8</f>
        <v>10.602307402047547</v>
      </c>
      <c r="O25" s="610">
        <f>NRW!O8</f>
        <v>10.602307402047547</v>
      </c>
      <c r="P25" s="610">
        <f>NRW!P8</f>
        <v>10.602307402047547</v>
      </c>
      <c r="Q25" s="610">
        <f>NRW!Q8</f>
        <v>10.602307402047547</v>
      </c>
      <c r="R25" s="610">
        <f>NRW!R8</f>
        <v>10.602307402047547</v>
      </c>
      <c r="S25" s="610">
        <f>NRW!S8</f>
        <v>10.602307402047547</v>
      </c>
      <c r="T25" s="610">
        <f>NRW!T8</f>
        <v>10.602307402047547</v>
      </c>
      <c r="U25" s="610">
        <f>NRW!U8</f>
        <v>10.602307402047547</v>
      </c>
      <c r="V25" s="610">
        <f>NRW!V8</f>
        <v>10.602307402047547</v>
      </c>
      <c r="W25" s="610">
        <f>NRW!W8</f>
        <v>10.602307402047547</v>
      </c>
      <c r="X25" s="1216">
        <f>NRW!X8</f>
        <v>10.602307402047547</v>
      </c>
    </row>
    <row r="26" spans="1:24" s="7" customFormat="1">
      <c r="B26" s="34"/>
      <c r="C26" s="608"/>
      <c r="D26" s="610"/>
      <c r="E26" s="610"/>
      <c r="F26" s="610"/>
      <c r="G26" s="610"/>
      <c r="H26" s="610"/>
      <c r="I26" s="610"/>
      <c r="J26" s="610"/>
      <c r="K26" s="610"/>
      <c r="L26" s="610"/>
      <c r="M26" s="610"/>
      <c r="N26" s="610"/>
      <c r="O26" s="610"/>
      <c r="P26" s="610"/>
      <c r="Q26" s="610"/>
      <c r="R26" s="610"/>
      <c r="S26" s="610"/>
      <c r="T26" s="610"/>
      <c r="U26" s="610"/>
      <c r="V26" s="610"/>
      <c r="W26" s="610"/>
      <c r="X26" s="1216"/>
    </row>
    <row r="27" spans="1:24" s="7" customFormat="1">
      <c r="A27" s="7" t="s">
        <v>776</v>
      </c>
      <c r="B27" s="34" t="s">
        <v>774</v>
      </c>
      <c r="C27" s="608">
        <f>NPV(0.1,D27:X27)</f>
        <v>1.3436462796650386</v>
      </c>
      <c r="D27" s="610">
        <f>Drainage!F14</f>
        <v>0</v>
      </c>
      <c r="E27" s="610">
        <f>Drainage!G14</f>
        <v>0</v>
      </c>
      <c r="F27" s="610">
        <f>Drainage!H14</f>
        <v>1.1025030425488554E-2</v>
      </c>
      <c r="G27" s="610">
        <f>Drainage!I14</f>
        <v>5.5951294395337699E-2</v>
      </c>
      <c r="H27" s="610">
        <f>Drainage!J14</f>
        <v>0.13629556404541257</v>
      </c>
      <c r="I27" s="610">
        <f>Drainage!K14</f>
        <v>0.21903545638689959</v>
      </c>
      <c r="J27" s="610">
        <f>Drainage!L14</f>
        <v>0.2340190256957761</v>
      </c>
      <c r="K27" s="610">
        <f>Drainage!M14</f>
        <v>0.23752620031888788</v>
      </c>
      <c r="L27" s="610">
        <f>Drainage!N14</f>
        <v>0.24108593836219644</v>
      </c>
      <c r="M27" s="610">
        <f>Drainage!O14</f>
        <v>0.24469902765070092</v>
      </c>
      <c r="N27" s="610">
        <f>Drainage!P14</f>
        <v>0.24836626781792737</v>
      </c>
      <c r="O27" s="610">
        <f>Drainage!Q14</f>
        <v>0.25208847048293248</v>
      </c>
      <c r="P27" s="610">
        <f>Drainage!R14</f>
        <v>0.25586645942995961</v>
      </c>
      <c r="Q27" s="610">
        <f>Drainage!S14</f>
        <v>0.25970107079078875</v>
      </c>
      <c r="R27" s="610">
        <f>Drainage!T14</f>
        <v>0.26359315322981985</v>
      </c>
      <c r="S27" s="610">
        <f>Drainage!U14</f>
        <v>0.2675435681319302</v>
      </c>
      <c r="T27" s="610">
        <f>Drainage!V14</f>
        <v>0.27155318979314808</v>
      </c>
      <c r="U27" s="610">
        <f>Drainage!W14</f>
        <v>0.27562290561418462</v>
      </c>
      <c r="V27" s="610">
        <f>Drainage!X14</f>
        <v>0.27975361629686657</v>
      </c>
      <c r="W27" s="610">
        <f>Drainage!Y14</f>
        <v>0.2839462360435141</v>
      </c>
      <c r="X27" s="1216">
        <f>Drainage!Z14</f>
        <v>0.28820169275930663</v>
      </c>
    </row>
    <row r="28" spans="1:24" s="7" customFormat="1">
      <c r="B28" s="609" t="s">
        <v>772</v>
      </c>
      <c r="C28" s="608">
        <f>NPV(0.1,D27:I27)</f>
        <v>0.25476738229817492</v>
      </c>
      <c r="D28" s="610"/>
      <c r="E28" s="610"/>
      <c r="F28" s="610"/>
      <c r="G28" s="610"/>
      <c r="H28" s="610"/>
      <c r="I28" s="610"/>
      <c r="J28" s="610"/>
      <c r="K28" s="610"/>
      <c r="L28" s="610"/>
      <c r="M28" s="610"/>
      <c r="N28" s="610"/>
      <c r="O28" s="610"/>
      <c r="P28" s="610"/>
      <c r="Q28" s="610"/>
      <c r="R28" s="610"/>
      <c r="S28" s="610"/>
      <c r="T28" s="610"/>
      <c r="U28" s="610"/>
      <c r="V28" s="610"/>
      <c r="W28" s="610"/>
      <c r="X28" s="1216"/>
    </row>
    <row r="29" spans="1:24" s="7" customFormat="1">
      <c r="A29" s="7" t="s">
        <v>775</v>
      </c>
      <c r="B29" s="611" t="s">
        <v>773</v>
      </c>
      <c r="C29" s="608">
        <f>NPV(0.1,D29:X29)</f>
        <v>4.0845224882762805</v>
      </c>
      <c r="D29" s="610">
        <f>Drainage!F15</f>
        <v>0</v>
      </c>
      <c r="E29" s="610">
        <f>Drainage!G15</f>
        <v>0</v>
      </c>
      <c r="F29" s="610">
        <f>Drainage!H15</f>
        <v>2.4296019782169154E-2</v>
      </c>
      <c r="G29" s="610">
        <f>Drainage!I15</f>
        <v>0.12800883453133996</v>
      </c>
      <c r="H29" s="610">
        <f>Drainage!J15</f>
        <v>0.32373226953194073</v>
      </c>
      <c r="I29" s="610">
        <f>Drainage!K15</f>
        <v>0.5401235998020476</v>
      </c>
      <c r="J29" s="610">
        <f>Drainage!L15</f>
        <v>0.59910694607096682</v>
      </c>
      <c r="K29" s="610">
        <f>Drainage!M15</f>
        <v>0.63130490190379507</v>
      </c>
      <c r="L29" s="610">
        <f>Drainage!N15</f>
        <v>0.66523328060454645</v>
      </c>
      <c r="M29" s="610">
        <f>Drainage!O15</f>
        <v>0.70098508072621524</v>
      </c>
      <c r="N29" s="610">
        <f>Drainage!P15</f>
        <v>0.7386582988665048</v>
      </c>
      <c r="O29" s="610">
        <f>Drainage!Q15</f>
        <v>0.7783561982790056</v>
      </c>
      <c r="P29" s="610">
        <f>Drainage!R15</f>
        <v>0.82018759192041213</v>
      </c>
      <c r="Q29" s="610">
        <f>Drainage!S15</f>
        <v>0.86426714070961785</v>
      </c>
      <c r="R29" s="610">
        <f>Drainage!T15</f>
        <v>0.9107156678162236</v>
      </c>
      <c r="S29" s="610">
        <f>Drainage!U15</f>
        <v>0.95966048983993291</v>
      </c>
      <c r="T29" s="610">
        <f>Drainage!V15</f>
        <v>1.0112357657886053</v>
      </c>
      <c r="U29" s="610">
        <f>Drainage!W15</f>
        <v>1.0655828648115251</v>
      </c>
      <c r="V29" s="610">
        <f>Drainage!X15</f>
        <v>1.1228507536958512</v>
      </c>
      <c r="W29" s="610">
        <f>Drainage!Y15</f>
        <v>1.1831964051883888</v>
      </c>
      <c r="X29" s="1216">
        <f>Drainage!Z15</f>
        <v>1.2467852282618976</v>
      </c>
    </row>
    <row r="30" spans="1:24" ht="15.75" thickBot="1">
      <c r="B30" s="609" t="s">
        <v>772</v>
      </c>
      <c r="C30" s="608">
        <f>NPV(0.1,D29:I29)</f>
        <v>0.61158367586561813</v>
      </c>
      <c r="D30" s="437"/>
      <c r="E30" s="437"/>
      <c r="F30" s="437"/>
      <c r="G30" s="437"/>
      <c r="H30" s="437"/>
      <c r="I30" s="437"/>
      <c r="J30" s="437"/>
      <c r="K30" s="437"/>
      <c r="L30" s="437"/>
      <c r="M30" s="437"/>
      <c r="N30" s="437"/>
      <c r="O30" s="437"/>
      <c r="P30" s="437"/>
      <c r="Q30" s="437"/>
      <c r="R30" s="437"/>
      <c r="S30" s="437"/>
      <c r="T30" s="437"/>
      <c r="U30" s="437"/>
      <c r="V30" s="437"/>
      <c r="W30" s="437"/>
      <c r="X30" s="117"/>
    </row>
    <row r="31" spans="1:24">
      <c r="B31" s="120"/>
      <c r="C31" s="72"/>
      <c r="D31" s="72"/>
      <c r="E31" s="72"/>
      <c r="F31" s="72"/>
      <c r="G31" s="72"/>
      <c r="H31" s="72"/>
      <c r="I31" s="72"/>
      <c r="J31" s="72"/>
      <c r="K31" s="72"/>
      <c r="L31" s="72"/>
      <c r="M31" s="72"/>
      <c r="N31" s="72"/>
      <c r="O31" s="72"/>
      <c r="P31" s="72"/>
      <c r="Q31" s="72"/>
      <c r="R31" s="72"/>
      <c r="S31" s="72"/>
      <c r="T31" s="72"/>
      <c r="U31" s="72"/>
      <c r="V31" s="72"/>
      <c r="W31" s="72"/>
      <c r="X31" s="72"/>
    </row>
    <row r="32" spans="1:24">
      <c r="B32" s="120" t="s">
        <v>902</v>
      </c>
      <c r="C32" s="444">
        <f>C27+C29</f>
        <v>5.4281687679413189</v>
      </c>
      <c r="D32" s="72"/>
      <c r="E32" s="72"/>
      <c r="F32" s="72"/>
      <c r="G32" s="72"/>
      <c r="H32" s="72"/>
      <c r="I32" s="72"/>
      <c r="J32" s="72"/>
      <c r="K32" s="72"/>
      <c r="L32" s="72"/>
      <c r="M32" s="72"/>
      <c r="N32" s="72"/>
      <c r="O32" s="72"/>
      <c r="P32" s="72"/>
      <c r="Q32" s="72"/>
      <c r="R32" s="72"/>
      <c r="S32" s="72"/>
      <c r="T32" s="72"/>
      <c r="U32" s="72"/>
      <c r="V32" s="72"/>
      <c r="W32" s="72"/>
      <c r="X32" s="72"/>
    </row>
    <row r="33" spans="2:24">
      <c r="B33" s="120" t="s">
        <v>903</v>
      </c>
      <c r="C33" s="444">
        <f>C28+C30</f>
        <v>0.86635105816379299</v>
      </c>
      <c r="D33" s="72"/>
      <c r="E33" s="72"/>
      <c r="F33" s="72"/>
      <c r="G33" s="72"/>
      <c r="H33" s="72"/>
      <c r="I33" s="72"/>
      <c r="J33" s="72"/>
      <c r="K33" s="72"/>
      <c r="L33" s="72"/>
      <c r="M33" s="72"/>
      <c r="N33" s="72"/>
      <c r="O33" s="72"/>
      <c r="P33" s="72"/>
      <c r="Q33" s="72"/>
      <c r="R33" s="72"/>
      <c r="S33" s="72"/>
      <c r="T33" s="72"/>
      <c r="U33" s="72"/>
      <c r="V33" s="72"/>
      <c r="W33" s="72"/>
      <c r="X33" s="72"/>
    </row>
    <row r="34" spans="2:24">
      <c r="B34" s="120"/>
    </row>
    <row r="35" spans="2:24">
      <c r="B35" s="120" t="s">
        <v>594</v>
      </c>
      <c r="C35" s="606">
        <f>C14/$C$10</f>
        <v>0.11898137693338118</v>
      </c>
      <c r="D35" s="607"/>
      <c r="E35" s="356"/>
      <c r="F35" s="356"/>
      <c r="G35" s="356"/>
      <c r="H35" s="205"/>
      <c r="I35" s="205"/>
      <c r="J35" s="205"/>
      <c r="K35" s="205"/>
    </row>
    <row r="36" spans="2:24">
      <c r="B36" s="120" t="s">
        <v>914</v>
      </c>
      <c r="C36" s="606">
        <f>C19/$C$10</f>
        <v>0.68806236428587042</v>
      </c>
      <c r="D36" s="572"/>
      <c r="E36" s="572"/>
      <c r="F36" s="572"/>
      <c r="G36" s="572"/>
      <c r="H36" s="501"/>
      <c r="I36" s="501"/>
      <c r="J36" s="205"/>
      <c r="K36" s="205"/>
    </row>
    <row r="37" spans="2:24">
      <c r="B37" s="34" t="s">
        <v>915</v>
      </c>
      <c r="C37" s="606">
        <f>C25/$C$10</f>
        <v>0.17730066649497569</v>
      </c>
      <c r="D37" s="604"/>
      <c r="E37" s="604"/>
      <c r="F37" s="604"/>
      <c r="G37" s="604"/>
      <c r="H37" s="604"/>
      <c r="I37" s="501"/>
      <c r="J37" s="205"/>
      <c r="K37" s="205"/>
    </row>
    <row r="38" spans="2:24">
      <c r="B38" s="34" t="s">
        <v>916</v>
      </c>
      <c r="C38" s="734">
        <f>C27/$C$10</f>
        <v>3.8752624006399309E-3</v>
      </c>
      <c r="D38" s="604"/>
      <c r="E38" s="604"/>
      <c r="F38" s="604"/>
      <c r="G38" s="604"/>
      <c r="H38" s="604"/>
      <c r="I38" s="501"/>
      <c r="J38" s="205"/>
      <c r="K38" s="205"/>
    </row>
    <row r="39" spans="2:24">
      <c r="B39" s="605" t="s">
        <v>917</v>
      </c>
      <c r="C39" s="101">
        <f>C29/$C$10</f>
        <v>1.1780329885132626E-2</v>
      </c>
      <c r="D39" s="604"/>
      <c r="E39" s="604"/>
      <c r="F39" s="604"/>
      <c r="G39" s="604"/>
      <c r="H39" s="604"/>
      <c r="I39" s="501"/>
      <c r="J39" s="205"/>
      <c r="K39" s="205"/>
    </row>
    <row r="40" spans="2:24">
      <c r="B40" s="604" t="s">
        <v>135</v>
      </c>
      <c r="C40" s="4">
        <f>SUM(C35:C39)</f>
        <v>0.99999999999999989</v>
      </c>
      <c r="D40" s="604"/>
      <c r="E40" s="604"/>
      <c r="F40" s="604"/>
      <c r="G40" s="604"/>
      <c r="H40" s="604"/>
      <c r="I40" s="501"/>
      <c r="J40" s="205"/>
      <c r="K40" s="205"/>
    </row>
    <row r="41" spans="2:24">
      <c r="B41" s="604"/>
      <c r="C41" s="604"/>
      <c r="D41" s="474"/>
      <c r="E41" s="604"/>
      <c r="F41" s="604"/>
      <c r="G41" s="604"/>
      <c r="H41" s="604"/>
      <c r="I41" s="501"/>
      <c r="J41" s="205"/>
      <c r="K41" s="205"/>
    </row>
    <row r="42" spans="2:24">
      <c r="B42" s="572"/>
      <c r="C42" s="603"/>
      <c r="D42" s="604"/>
      <c r="E42" s="604"/>
      <c r="F42" s="604"/>
      <c r="G42" s="604"/>
      <c r="H42" s="604"/>
      <c r="I42" s="501"/>
      <c r="J42" s="205"/>
      <c r="K42" s="205"/>
    </row>
    <row r="43" spans="2:24" ht="15.75">
      <c r="B43" s="600"/>
      <c r="C43" s="599"/>
      <c r="D43" s="603"/>
      <c r="E43" s="603"/>
      <c r="F43" s="603"/>
      <c r="G43" s="603"/>
      <c r="H43" s="602"/>
      <c r="I43" s="501"/>
      <c r="J43" s="205"/>
      <c r="K43" s="205"/>
    </row>
    <row r="44" spans="2:24" ht="15.75">
      <c r="B44" s="600"/>
      <c r="C44" s="599"/>
      <c r="D44" s="601"/>
      <c r="E44" s="601"/>
      <c r="F44" s="601"/>
      <c r="G44" s="601"/>
      <c r="H44" s="501"/>
      <c r="I44" s="501"/>
      <c r="J44" s="205"/>
      <c r="K44" s="205"/>
    </row>
    <row r="45" spans="2:24" ht="15" customHeight="1">
      <c r="B45" s="572"/>
      <c r="C45" s="582"/>
      <c r="D45" s="598"/>
      <c r="E45" s="597"/>
      <c r="F45" s="597"/>
      <c r="G45" s="597"/>
      <c r="H45" s="205"/>
      <c r="I45" s="596"/>
      <c r="J45" s="596"/>
      <c r="K45" s="205"/>
    </row>
    <row r="46" spans="2:24">
      <c r="B46" s="572"/>
      <c r="C46" s="582"/>
      <c r="D46" s="592"/>
      <c r="E46" s="594"/>
      <c r="F46" s="594"/>
      <c r="G46" s="591"/>
      <c r="H46" s="205"/>
      <c r="I46" s="595"/>
      <c r="J46" s="205"/>
      <c r="K46" s="205"/>
    </row>
    <row r="47" spans="2:24">
      <c r="B47" s="572"/>
      <c r="C47" s="582"/>
      <c r="D47" s="592"/>
      <c r="E47" s="594"/>
      <c r="F47" s="594"/>
      <c r="G47" s="591"/>
      <c r="H47" s="501"/>
      <c r="I47" s="593"/>
      <c r="J47" s="205"/>
      <c r="K47" s="205"/>
    </row>
    <row r="48" spans="2:24">
      <c r="B48" s="572"/>
      <c r="C48" s="582"/>
      <c r="D48" s="592"/>
      <c r="E48" s="591"/>
      <c r="F48" s="591"/>
      <c r="G48" s="591"/>
      <c r="H48" s="501"/>
      <c r="I48" s="501"/>
      <c r="J48" s="205"/>
      <c r="K48" s="205"/>
    </row>
    <row r="49" spans="2:24">
      <c r="B49" s="572"/>
      <c r="C49" s="582"/>
      <c r="D49" s="590"/>
      <c r="E49" s="588"/>
      <c r="F49" s="589"/>
      <c r="G49" s="588"/>
      <c r="H49" s="501"/>
      <c r="I49" s="587"/>
      <c r="J49" s="205"/>
      <c r="K49" s="205"/>
    </row>
    <row r="50" spans="2:24">
      <c r="B50" s="572"/>
      <c r="C50" s="582"/>
      <c r="D50" s="586"/>
      <c r="E50" s="585"/>
      <c r="F50" s="585"/>
      <c r="G50" s="584"/>
      <c r="H50" s="501"/>
      <c r="I50" s="583"/>
      <c r="J50" s="205"/>
      <c r="K50" s="205"/>
    </row>
    <row r="51" spans="2:24">
      <c r="B51" s="572" t="s">
        <v>1354</v>
      </c>
      <c r="C51" s="582"/>
      <c r="D51" s="586"/>
      <c r="E51" s="585"/>
      <c r="F51" s="585"/>
      <c r="G51" s="584"/>
      <c r="H51" s="501"/>
      <c r="I51" s="583"/>
      <c r="J51" s="583"/>
      <c r="K51" s="205"/>
    </row>
    <row r="52" spans="2:24">
      <c r="B52" s="572" t="s">
        <v>1351</v>
      </c>
      <c r="C52" s="1010">
        <f>NPV(0.1,D52:X52)</f>
        <v>9.532657564722264</v>
      </c>
      <c r="D52" s="1008">
        <f>health!B343/1000000</f>
        <v>0</v>
      </c>
      <c r="E52" s="1008">
        <f>health!C343/1000000</f>
        <v>0</v>
      </c>
      <c r="F52" s="1008">
        <f>health!D343/1000000</f>
        <v>6.6606156985598755E-2</v>
      </c>
      <c r="G52" s="1008">
        <f>health!E343/1000000</f>
        <v>0.34436664188484367</v>
      </c>
      <c r="H52" s="1008">
        <f>health!F343/1000000</f>
        <v>0.85470760642779087</v>
      </c>
      <c r="I52" s="1008">
        <f>health!G343/1000000</f>
        <v>1.3996654193692595</v>
      </c>
      <c r="J52" s="1008">
        <f>health!H343/1000000</f>
        <v>1.5239983200201765</v>
      </c>
      <c r="K52" s="1008">
        <f>health!I343/1000000</f>
        <v>1.576588623160871</v>
      </c>
      <c r="L52" s="1008">
        <f>health!J343/1000000</f>
        <v>1.6311834587334388</v>
      </c>
      <c r="M52" s="1008">
        <f>health!K343/1000000</f>
        <v>1.6878670041435841</v>
      </c>
      <c r="N52" s="1008">
        <f>health!L343/1000000</f>
        <v>1.7467272599676995</v>
      </c>
      <c r="O52" s="1008">
        <f>health!M343/1000000</f>
        <v>1.8078562332973813</v>
      </c>
      <c r="P52" s="1008">
        <f>health!N343/1000000</f>
        <v>1.8713501301784625</v>
      </c>
      <c r="Q52" s="1008">
        <f>health!O343/1000000</f>
        <v>1.9373095576045856</v>
      </c>
      <c r="R52" s="1008">
        <f>health!P343/1000000</f>
        <v>2.0058397355488533</v>
      </c>
      <c r="S52" s="1008">
        <f>health!Q343/1000000</f>
        <v>2.0770507195418513</v>
      </c>
      <c r="T52" s="1008">
        <f>health!R343/1000000</f>
        <v>2.1510576343303027</v>
      </c>
      <c r="U52" s="1008">
        <f>health!S343/1000000</f>
        <v>2.2279809191780036</v>
      </c>
      <c r="V52" s="1008">
        <f>health!T343/1000000</f>
        <v>2.3079465853993875</v>
      </c>
      <c r="W52" s="1008">
        <f>health!U343/1000000</f>
        <v>2.3910864867463526</v>
      </c>
      <c r="X52" s="1008">
        <f>health!V343/1000000</f>
        <v>2.4775386033007192</v>
      </c>
    </row>
    <row r="53" spans="2:24">
      <c r="B53" s="572" t="s">
        <v>1352</v>
      </c>
      <c r="C53" s="1010">
        <f t="shared" ref="C53:C54" si="5">NPV(0.1,D53:X53)</f>
        <v>10.822980718376682</v>
      </c>
      <c r="D53" s="1008">
        <f>health!B366/1000000</f>
        <v>0</v>
      </c>
      <c r="E53" s="1008">
        <f>health!C366/1000000</f>
        <v>0</v>
      </c>
      <c r="F53" s="1008">
        <f>health!D366/1000000</f>
        <v>7.4363157297098151E-2</v>
      </c>
      <c r="G53" s="1008">
        <f>health!E366/1000000</f>
        <v>0.38519171617807557</v>
      </c>
      <c r="H53" s="1008">
        <f>health!F366/1000000</f>
        <v>0.95783956710922669</v>
      </c>
      <c r="I53" s="1008">
        <f>health!G366/1000000</f>
        <v>1.5715404377723838</v>
      </c>
      <c r="J53" s="1008">
        <f>health!H366/1000000</f>
        <v>1.7144253334063477</v>
      </c>
      <c r="K53" s="1008">
        <f>health!I366/1000000</f>
        <v>1.7770175613854642</v>
      </c>
      <c r="L53" s="1008">
        <f>health!J366/1000000</f>
        <v>1.8421360902141426</v>
      </c>
      <c r="M53" s="1008">
        <f>health!K366/1000000</f>
        <v>1.9098922202226496</v>
      </c>
      <c r="N53" s="1008">
        <f>health!L366/1000000</f>
        <v>1.9804024822313095</v>
      </c>
      <c r="O53" s="1008">
        <f>health!M366/1000000</f>
        <v>2.0537888938454056</v>
      </c>
      <c r="P53" s="1008">
        <f>health!N366/1000000</f>
        <v>2.1301792286241525</v>
      </c>
      <c r="Q53" s="1008">
        <f>health!O366/1000000</f>
        <v>2.2097072987795374</v>
      </c>
      <c r="R53" s="1008">
        <f>health!P366/1000000</f>
        <v>2.2925132520944671</v>
      </c>
      <c r="S53" s="1008">
        <f>health!Q366/1000000</f>
        <v>2.3787438837850785</v>
      </c>
      <c r="T53" s="1008">
        <f>health!R366/1000000</f>
        <v>2.4685529640692683</v>
      </c>
      <c r="U53" s="1008">
        <f>health!S366/1000000</f>
        <v>2.5621015822426556</v>
      </c>
      <c r="V53" s="1008">
        <f>health!T366/1000000</f>
        <v>2.6595585081043356</v>
      </c>
      <c r="W53" s="1008">
        <f>health!U366/1000000</f>
        <v>2.7611005716180657</v>
      </c>
      <c r="X53" s="1008">
        <f>health!V366/1000000</f>
        <v>2.8669130617400458</v>
      </c>
    </row>
    <row r="54" spans="2:24">
      <c r="B54" s="572" t="s">
        <v>1353</v>
      </c>
      <c r="C54" s="1010">
        <f t="shared" si="5"/>
        <v>20.898054483502282</v>
      </c>
      <c r="D54" s="1009">
        <f>('Health--Stunting'!E223+'Health--Stunting'!E198+'Health--Stunting'!E173)/1000000</f>
        <v>0</v>
      </c>
      <c r="E54" s="1009">
        <f>('Health--Stunting'!F223+'Health--Stunting'!F198+'Health--Stunting'!F173)/1000000</f>
        <v>0</v>
      </c>
      <c r="F54" s="1009">
        <f>('Health--Stunting'!G223+'Health--Stunting'!G198+'Health--Stunting'!G173)/1000000</f>
        <v>0</v>
      </c>
      <c r="G54" s="1009">
        <f>('Health--Stunting'!H223+'Health--Stunting'!H198+'Health--Stunting'!H173)/1000000</f>
        <v>0</v>
      </c>
      <c r="H54" s="1009">
        <f>('Health--Stunting'!I223+'Health--Stunting'!I198+'Health--Stunting'!I173)/1000000</f>
        <v>0</v>
      </c>
      <c r="I54" s="1009">
        <f>('Health--Stunting'!J223+'Health--Stunting'!J198+'Health--Stunting'!J173)/1000000</f>
        <v>0</v>
      </c>
      <c r="J54" s="1009">
        <f>('Health--Stunting'!K223+'Health--Stunting'!K198+'Health--Stunting'!K173)/1000000</f>
        <v>0</v>
      </c>
      <c r="K54" s="1009">
        <f>('Health--Stunting'!L223+'Health--Stunting'!L198+'Health--Stunting'!L173)/1000000</f>
        <v>0</v>
      </c>
      <c r="L54" s="1009">
        <f>('Health--Stunting'!M223+'Health--Stunting'!M198+'Health--Stunting'!M173)/1000000</f>
        <v>0</v>
      </c>
      <c r="M54" s="1009">
        <f>('Health--Stunting'!N223+'Health--Stunting'!N198+'Health--Stunting'!N173)/1000000</f>
        <v>0</v>
      </c>
      <c r="N54" s="1009">
        <f>('Health--Stunting'!O223+'Health--Stunting'!O198+'Health--Stunting'!O173)/1000000</f>
        <v>0</v>
      </c>
      <c r="O54" s="1009">
        <f>('Health--Stunting'!P223+'Health--Stunting'!P198+'Health--Stunting'!P173)/1000000</f>
        <v>0</v>
      </c>
      <c r="P54" s="1009">
        <f>('Health--Stunting'!Q223+'Health--Stunting'!Q198+'Health--Stunting'!Q173)/1000000</f>
        <v>0</v>
      </c>
      <c r="Q54" s="1009">
        <f>('Health--Stunting'!R223+'Health--Stunting'!R198+'Health--Stunting'!R173)/1000000</f>
        <v>0</v>
      </c>
      <c r="R54" s="1009">
        <f>('Health--Stunting'!S223+'Health--Stunting'!S198+'Health--Stunting'!S173)/1000000</f>
        <v>0</v>
      </c>
      <c r="S54" s="1009">
        <f>('Health--Stunting'!T223+'Health--Stunting'!T198+'Health--Stunting'!T173)/1000000</f>
        <v>2.0679421310973098E-2</v>
      </c>
      <c r="T54" s="1009">
        <f>('Health--Stunting'!U223+'Health--Stunting'!U198+'Health--Stunting'!U173)/1000000</f>
        <v>0.13223687575877957</v>
      </c>
      <c r="U54" s="1009">
        <f>('Health--Stunting'!V223+'Health--Stunting'!V198+'Health--Stunting'!V173)/1000000</f>
        <v>0.42565835927455087</v>
      </c>
      <c r="V54" s="1009">
        <f>('Health--Stunting'!W223+'Health--Stunting'!W198+'Health--Stunting'!W173)/1000000</f>
        <v>0.94439425576332559</v>
      </c>
      <c r="W54" s="1009">
        <f>('Health--Stunting'!X223+'Health--Stunting'!X198+'Health--Stunting'!X173)/1000000</f>
        <v>1.5890925308588189</v>
      </c>
      <c r="X54" s="1009">
        <f>('Health--Stunting'!Y223+'Health--Stunting'!Y198+'Health--Stunting'!Y173)/1000000</f>
        <v>150.96664399241527</v>
      </c>
    </row>
    <row r="55" spans="2:24">
      <c r="B55" s="578"/>
      <c r="C55" s="578"/>
      <c r="D55" s="581"/>
      <c r="E55" s="579"/>
      <c r="F55" s="580"/>
      <c r="G55" s="579"/>
      <c r="H55" s="501"/>
      <c r="I55" s="501"/>
      <c r="J55" s="205"/>
      <c r="K55" s="205"/>
    </row>
    <row r="56" spans="2:24">
      <c r="B56" s="578"/>
      <c r="C56" s="578"/>
      <c r="D56" s="578"/>
      <c r="E56" s="578"/>
      <c r="F56" s="578"/>
      <c r="G56" s="578"/>
      <c r="H56" s="501"/>
      <c r="I56" s="501"/>
      <c r="J56" s="205"/>
      <c r="K56" s="205"/>
    </row>
    <row r="57" spans="2:24" ht="15.75">
      <c r="B57" s="575"/>
      <c r="C57" s="574"/>
      <c r="D57" s="578"/>
      <c r="E57" s="578"/>
      <c r="F57" s="578"/>
      <c r="G57" s="578"/>
      <c r="H57" s="501"/>
      <c r="I57" s="577"/>
      <c r="J57" s="205"/>
      <c r="K57" s="205"/>
    </row>
    <row r="58" spans="2:24" ht="15.75">
      <c r="B58" s="575"/>
      <c r="C58" s="574"/>
      <c r="D58" s="576"/>
      <c r="E58" s="572"/>
      <c r="F58" s="572"/>
      <c r="G58" s="572"/>
      <c r="H58" s="501"/>
      <c r="I58" s="501"/>
      <c r="J58" s="205"/>
      <c r="K58" s="205"/>
    </row>
    <row r="59" spans="2:24" ht="15.75">
      <c r="B59" s="575"/>
      <c r="C59" s="574"/>
      <c r="D59" s="573"/>
      <c r="E59" s="572"/>
      <c r="F59" s="572"/>
      <c r="G59" s="572"/>
      <c r="H59" s="501"/>
      <c r="I59" s="501"/>
      <c r="J59" s="205"/>
      <c r="K59" s="205"/>
    </row>
    <row r="60" spans="2:24">
      <c r="B60" s="501"/>
      <c r="C60" s="501"/>
      <c r="D60" s="573"/>
      <c r="E60" s="572"/>
      <c r="F60" s="572"/>
      <c r="G60" s="572"/>
      <c r="H60" s="501"/>
      <c r="I60" s="501"/>
      <c r="J60" s="205"/>
      <c r="K60" s="205"/>
    </row>
    <row r="61" spans="2:24">
      <c r="B61" s="501"/>
      <c r="C61" s="501"/>
      <c r="D61" s="501"/>
      <c r="E61" s="501"/>
      <c r="F61" s="501"/>
      <c r="G61" s="501"/>
      <c r="H61" s="501"/>
      <c r="I61" s="501"/>
      <c r="J61" s="205"/>
      <c r="K61" s="205"/>
    </row>
    <row r="62" spans="2:24">
      <c r="B62" s="501"/>
      <c r="C62" s="501"/>
      <c r="D62" s="501"/>
      <c r="E62" s="501"/>
      <c r="F62" s="501"/>
      <c r="G62" s="501"/>
      <c r="H62" s="501"/>
      <c r="I62" s="501"/>
      <c r="J62" s="205"/>
      <c r="K62" s="205"/>
    </row>
    <row r="63" spans="2:24">
      <c r="B63" s="501"/>
      <c r="C63" s="501"/>
      <c r="D63" s="501"/>
      <c r="E63" s="501"/>
      <c r="F63" s="501"/>
      <c r="G63" s="501"/>
      <c r="H63" s="501"/>
      <c r="I63" s="501"/>
      <c r="J63" s="205"/>
      <c r="K63" s="205"/>
    </row>
    <row r="64" spans="2:24">
      <c r="B64" s="501"/>
      <c r="C64" s="501"/>
      <c r="D64" s="501"/>
      <c r="E64" s="501"/>
      <c r="F64" s="501"/>
      <c r="G64" s="501"/>
      <c r="H64" s="501"/>
      <c r="I64" s="501"/>
      <c r="J64" s="205"/>
      <c r="K64" s="205"/>
    </row>
    <row r="65" spans="2:11">
      <c r="B65" s="501"/>
      <c r="C65" s="501"/>
      <c r="D65" s="501"/>
      <c r="E65" s="501"/>
      <c r="F65" s="501"/>
      <c r="G65" s="501"/>
      <c r="H65" s="501"/>
      <c r="I65" s="501"/>
      <c r="J65" s="205"/>
      <c r="K65" s="205"/>
    </row>
    <row r="66" spans="2:11">
      <c r="B66" s="501"/>
      <c r="C66" s="501"/>
      <c r="D66" s="571"/>
      <c r="E66" s="501"/>
      <c r="F66" s="501"/>
      <c r="G66" s="501"/>
      <c r="H66" s="501"/>
      <c r="I66" s="501"/>
      <c r="J66" s="205"/>
      <c r="K66" s="205"/>
    </row>
    <row r="67" spans="2:11">
      <c r="B67" s="501"/>
      <c r="C67" s="501"/>
      <c r="D67" s="571"/>
      <c r="E67" s="501"/>
      <c r="F67" s="501"/>
      <c r="G67" s="501"/>
      <c r="H67" s="501"/>
      <c r="I67" s="501"/>
      <c r="J67" s="205"/>
      <c r="K67" s="205"/>
    </row>
    <row r="68" spans="2:11">
      <c r="B68" s="501"/>
      <c r="C68" s="501"/>
      <c r="D68" s="571"/>
      <c r="E68" s="501"/>
      <c r="F68" s="501"/>
      <c r="G68" s="501"/>
      <c r="H68" s="501"/>
      <c r="I68" s="501"/>
      <c r="J68" s="205"/>
      <c r="K68" s="205"/>
    </row>
    <row r="69" spans="2:11">
      <c r="B69" s="501"/>
      <c r="C69" s="501"/>
      <c r="D69" s="571"/>
      <c r="E69" s="501"/>
      <c r="F69" s="501"/>
      <c r="G69" s="501"/>
      <c r="H69" s="501"/>
      <c r="I69" s="501"/>
      <c r="J69" s="205"/>
      <c r="K69" s="205"/>
    </row>
    <row r="70" spans="2:11">
      <c r="B70" s="501"/>
      <c r="C70" s="501"/>
      <c r="D70" s="571"/>
      <c r="E70" s="501"/>
      <c r="F70" s="501"/>
      <c r="G70" s="501"/>
      <c r="H70" s="501"/>
      <c r="I70" s="501"/>
      <c r="J70" s="205"/>
      <c r="K70" s="205"/>
    </row>
    <row r="71" spans="2:11">
      <c r="B71" s="501"/>
      <c r="C71" s="501"/>
      <c r="D71" s="571"/>
      <c r="E71" s="501"/>
      <c r="F71" s="501"/>
      <c r="G71" s="501"/>
      <c r="H71" s="501"/>
      <c r="I71" s="501"/>
      <c r="J71" s="205"/>
      <c r="K71" s="205"/>
    </row>
    <row r="72" spans="2:11">
      <c r="B72" s="501"/>
      <c r="C72" s="501"/>
      <c r="D72" s="571"/>
      <c r="E72" s="501"/>
      <c r="F72" s="501"/>
      <c r="G72" s="501"/>
      <c r="H72" s="501"/>
      <c r="I72" s="501"/>
      <c r="J72" s="205"/>
      <c r="K72" s="205"/>
    </row>
    <row r="73" spans="2:11">
      <c r="B73" s="501"/>
      <c r="C73" s="501"/>
      <c r="D73" s="571"/>
      <c r="E73" s="501"/>
      <c r="F73" s="501"/>
      <c r="G73" s="501"/>
      <c r="H73" s="501"/>
      <c r="I73" s="501"/>
      <c r="J73" s="205"/>
      <c r="K73" s="205"/>
    </row>
    <row r="74" spans="2:11">
      <c r="B74" s="501"/>
      <c r="C74" s="501"/>
      <c r="D74" s="571"/>
      <c r="E74" s="501"/>
      <c r="F74" s="501"/>
      <c r="G74" s="501"/>
      <c r="H74" s="501"/>
      <c r="I74" s="501"/>
      <c r="J74" s="205"/>
      <c r="K74" s="205"/>
    </row>
    <row r="75" spans="2:11">
      <c r="B75" s="501"/>
      <c r="C75" s="501"/>
      <c r="D75" s="571"/>
      <c r="E75" s="501"/>
      <c r="F75" s="501"/>
      <c r="G75" s="501"/>
      <c r="H75" s="501"/>
      <c r="I75" s="501"/>
      <c r="J75" s="205"/>
      <c r="K75" s="205"/>
    </row>
    <row r="76" spans="2:11">
      <c r="B76" s="501"/>
      <c r="C76" s="501"/>
      <c r="D76" s="501"/>
      <c r="E76" s="501"/>
      <c r="F76" s="501"/>
      <c r="G76" s="501"/>
      <c r="H76" s="501"/>
      <c r="I76" s="501"/>
      <c r="J76" s="205"/>
      <c r="K76" s="205"/>
    </row>
    <row r="77" spans="2:11">
      <c r="B77" s="501"/>
      <c r="C77" s="501"/>
      <c r="D77" s="501"/>
      <c r="E77" s="501"/>
      <c r="F77" s="501"/>
      <c r="G77" s="501"/>
      <c r="H77" s="501"/>
      <c r="I77" s="501"/>
      <c r="J77" s="205"/>
      <c r="K77" s="205"/>
    </row>
    <row r="78" spans="2:11">
      <c r="B78" s="501"/>
      <c r="C78" s="501"/>
      <c r="D78" s="501"/>
      <c r="E78" s="501"/>
      <c r="F78" s="501"/>
      <c r="G78" s="501"/>
      <c r="H78" s="501"/>
      <c r="I78" s="501"/>
      <c r="J78" s="205"/>
      <c r="K78" s="205"/>
    </row>
    <row r="79" spans="2:11" ht="15.75">
      <c r="B79" s="501"/>
      <c r="C79" s="570"/>
      <c r="D79" s="501"/>
      <c r="E79" s="501"/>
      <c r="F79" s="501"/>
      <c r="G79" s="501"/>
      <c r="H79" s="501"/>
      <c r="I79" s="501"/>
      <c r="J79" s="205"/>
      <c r="K79" s="205"/>
    </row>
    <row r="80" spans="2:11" ht="15.75">
      <c r="B80" s="501"/>
      <c r="C80" s="501"/>
      <c r="D80" s="570"/>
      <c r="E80" s="501"/>
      <c r="F80" s="501"/>
      <c r="G80" s="501"/>
      <c r="H80" s="501"/>
      <c r="I80" s="501"/>
      <c r="J80" s="205"/>
      <c r="K80" s="205"/>
    </row>
    <row r="81" spans="2:11">
      <c r="B81" s="501"/>
      <c r="C81" s="501"/>
      <c r="D81" s="501"/>
      <c r="E81" s="501"/>
      <c r="F81" s="501"/>
      <c r="G81" s="501"/>
      <c r="H81" s="501"/>
      <c r="I81" s="501"/>
      <c r="J81" s="205"/>
      <c r="K81" s="205"/>
    </row>
    <row r="82" spans="2:11">
      <c r="B82" s="501"/>
      <c r="C82" s="501"/>
      <c r="D82" s="501"/>
      <c r="E82" s="501"/>
      <c r="F82" s="501"/>
      <c r="G82" s="501"/>
      <c r="H82" s="501"/>
      <c r="I82" s="501"/>
      <c r="J82" s="205"/>
      <c r="K82" s="205"/>
    </row>
    <row r="83" spans="2:11">
      <c r="B83" s="501"/>
      <c r="C83" s="501"/>
      <c r="D83" s="501"/>
      <c r="E83" s="501"/>
      <c r="F83" s="501"/>
      <c r="G83" s="501"/>
      <c r="H83" s="501"/>
      <c r="I83" s="501"/>
      <c r="J83" s="501"/>
      <c r="K83" s="205"/>
    </row>
    <row r="84" spans="2:11">
      <c r="B84" s="501"/>
      <c r="C84" s="501"/>
      <c r="D84" s="501"/>
      <c r="E84" s="501"/>
      <c r="F84" s="501"/>
      <c r="G84" s="501"/>
      <c r="H84" s="501"/>
      <c r="I84" s="501"/>
      <c r="J84" s="501"/>
      <c r="K84" s="205"/>
    </row>
    <row r="85" spans="2:11">
      <c r="B85" s="501"/>
      <c r="C85" s="205"/>
      <c r="D85" s="501"/>
      <c r="E85" s="501"/>
      <c r="F85" s="501"/>
      <c r="G85" s="501"/>
      <c r="H85" s="501"/>
      <c r="I85" s="501"/>
      <c r="J85" s="501"/>
      <c r="K85" s="205"/>
    </row>
    <row r="86" spans="2:11">
      <c r="B86" s="501"/>
      <c r="C86" s="205"/>
      <c r="D86" s="205"/>
      <c r="E86" s="205"/>
      <c r="F86" s="205"/>
      <c r="G86" s="205"/>
      <c r="H86" s="501"/>
      <c r="I86" s="501"/>
      <c r="J86" s="501"/>
      <c r="K86" s="205"/>
    </row>
    <row r="87" spans="2:11">
      <c r="B87" s="501"/>
      <c r="C87" s="205"/>
      <c r="D87" s="205"/>
      <c r="E87" s="205"/>
      <c r="F87" s="205"/>
      <c r="G87" s="205"/>
      <c r="H87" s="501"/>
      <c r="I87" s="501"/>
      <c r="J87" s="501"/>
      <c r="K87" s="205"/>
    </row>
    <row r="88" spans="2:11">
      <c r="B88" s="501"/>
      <c r="C88" s="205"/>
      <c r="D88" s="205"/>
      <c r="E88" s="205"/>
      <c r="F88" s="205"/>
      <c r="G88" s="205"/>
      <c r="H88" s="501"/>
      <c r="I88" s="501"/>
      <c r="J88" s="501"/>
      <c r="K88" s="205"/>
    </row>
    <row r="89" spans="2:11">
      <c r="B89" s="501"/>
      <c r="C89" s="205"/>
      <c r="D89" s="205"/>
      <c r="E89" s="205"/>
      <c r="F89" s="205"/>
      <c r="G89" s="205"/>
      <c r="H89" s="501"/>
      <c r="I89" s="501"/>
      <c r="J89" s="501"/>
      <c r="K89" s="205"/>
    </row>
    <row r="90" spans="2:11">
      <c r="B90" s="501"/>
      <c r="C90" s="205"/>
      <c r="D90" s="205"/>
      <c r="E90" s="205"/>
      <c r="F90" s="205"/>
      <c r="G90" s="205"/>
      <c r="H90" s="501"/>
      <c r="I90" s="501"/>
      <c r="J90" s="501"/>
      <c r="K90" s="205"/>
    </row>
    <row r="91" spans="2:11">
      <c r="B91" s="501"/>
      <c r="C91" s="205"/>
      <c r="D91" s="205"/>
      <c r="E91" s="205"/>
      <c r="F91" s="205"/>
      <c r="G91" s="205"/>
      <c r="H91" s="501"/>
      <c r="I91" s="501"/>
      <c r="J91" s="501"/>
      <c r="K91" s="205"/>
    </row>
    <row r="92" spans="2:11">
      <c r="B92" s="501"/>
      <c r="C92" s="205"/>
      <c r="D92" s="205"/>
      <c r="E92" s="205"/>
      <c r="F92" s="205"/>
      <c r="G92" s="205"/>
      <c r="H92" s="501"/>
      <c r="I92" s="501"/>
      <c r="J92" s="501"/>
      <c r="K92" s="205"/>
    </row>
    <row r="93" spans="2:11">
      <c r="B93" s="501"/>
      <c r="C93" s="205"/>
      <c r="D93" s="205"/>
      <c r="E93" s="205"/>
      <c r="F93" s="205"/>
      <c r="G93" s="205"/>
      <c r="H93" s="501"/>
      <c r="I93" s="501"/>
      <c r="J93" s="501"/>
      <c r="K93" s="205"/>
    </row>
    <row r="94" spans="2:11">
      <c r="B94" s="501"/>
      <c r="C94" s="205"/>
      <c r="D94" s="205"/>
      <c r="E94" s="205"/>
      <c r="F94" s="205"/>
      <c r="G94" s="205"/>
      <c r="H94" s="501"/>
      <c r="I94" s="501"/>
      <c r="J94" s="501"/>
      <c r="K94" s="205"/>
    </row>
    <row r="95" spans="2:11">
      <c r="B95" s="501"/>
      <c r="C95" s="205"/>
      <c r="D95" s="205"/>
      <c r="E95" s="205"/>
      <c r="F95" s="205"/>
      <c r="G95" s="205"/>
      <c r="H95" s="501"/>
      <c r="I95" s="501"/>
      <c r="J95" s="501"/>
      <c r="K95" s="205"/>
    </row>
    <row r="96" spans="2:11">
      <c r="B96" s="501"/>
      <c r="C96" s="205"/>
      <c r="D96" s="205"/>
      <c r="E96" s="205"/>
      <c r="F96" s="205"/>
      <c r="G96" s="205"/>
      <c r="H96" s="501"/>
      <c r="I96" s="501"/>
      <c r="J96" s="501"/>
      <c r="K96" s="205"/>
    </row>
    <row r="97" spans="2:11">
      <c r="B97" s="501"/>
      <c r="C97" s="205"/>
      <c r="D97" s="205"/>
      <c r="E97" s="205"/>
      <c r="F97" s="205"/>
      <c r="G97" s="205"/>
      <c r="H97" s="501"/>
      <c r="I97" s="501"/>
      <c r="J97" s="501"/>
      <c r="K97" s="205"/>
    </row>
    <row r="98" spans="2:11">
      <c r="B98" s="501"/>
      <c r="C98" s="205"/>
      <c r="D98" s="205"/>
      <c r="E98" s="205"/>
      <c r="F98" s="205"/>
      <c r="G98" s="205"/>
      <c r="H98" s="501"/>
      <c r="I98" s="501"/>
      <c r="J98" s="501"/>
      <c r="K98" s="205"/>
    </row>
    <row r="99" spans="2:11">
      <c r="B99" s="501"/>
      <c r="C99" s="205"/>
      <c r="D99" s="205"/>
      <c r="E99" s="205"/>
      <c r="F99" s="205"/>
      <c r="G99" s="205"/>
      <c r="H99" s="501"/>
      <c r="I99" s="501"/>
      <c r="J99" s="501"/>
      <c r="K99" s="205"/>
    </row>
    <row r="100" spans="2:11">
      <c r="B100" s="501"/>
      <c r="C100" s="205"/>
      <c r="D100" s="205"/>
      <c r="E100" s="205"/>
      <c r="F100" s="205"/>
      <c r="G100" s="205"/>
      <c r="H100" s="501"/>
      <c r="I100" s="501"/>
      <c r="J100" s="501"/>
      <c r="K100" s="205"/>
    </row>
    <row r="101" spans="2:11">
      <c r="B101" s="501"/>
      <c r="C101" s="205"/>
      <c r="D101" s="205"/>
      <c r="E101" s="205"/>
      <c r="F101" s="205"/>
      <c r="G101" s="205"/>
      <c r="H101" s="501"/>
      <c r="I101" s="501"/>
      <c r="J101" s="501"/>
      <c r="K101" s="205"/>
    </row>
    <row r="102" spans="2:11">
      <c r="B102" s="501"/>
      <c r="C102" s="205"/>
      <c r="D102" s="205"/>
      <c r="E102" s="205"/>
      <c r="F102" s="205"/>
      <c r="G102" s="205"/>
      <c r="H102" s="501"/>
      <c r="I102" s="501"/>
      <c r="J102" s="501"/>
      <c r="K102" s="205"/>
    </row>
    <row r="103" spans="2:11">
      <c r="B103" s="233"/>
      <c r="D103" s="205"/>
      <c r="E103" s="205"/>
      <c r="F103" s="205"/>
      <c r="G103" s="205"/>
      <c r="H103" s="501"/>
      <c r="I103" s="501"/>
      <c r="J103" s="501"/>
      <c r="K103" s="205"/>
    </row>
    <row r="104" spans="2:11">
      <c r="B104" s="233"/>
      <c r="H104" s="233"/>
      <c r="I104" s="233"/>
      <c r="J104" s="233"/>
    </row>
    <row r="105" spans="2:11">
      <c r="H105" s="233"/>
      <c r="I105" s="233"/>
      <c r="J105" s="233"/>
    </row>
  </sheetData>
  <conditionalFormatting sqref="B55:B56">
    <cfRule type="cellIs" dxfId="1" priority="1" stopIfTrue="1" operator="equal">
      <formula>0</formula>
    </cfRule>
    <cfRule type="cellIs" dxfId="0" priority="2" stopIfTrue="1" operator="notEqual">
      <formula>0</formula>
    </cfRule>
  </conditionalFormatting>
  <pageMargins left="0.25" right="0.25" top="0.75" bottom="0.75" header="0.3" footer="0.3"/>
  <pageSetup paperSize="3" scale="8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70"/>
  <sheetViews>
    <sheetView zoomScale="90" zoomScaleNormal="90" workbookViewId="0">
      <pane xSplit="1" topLeftCell="B1" activePane="topRight" state="frozenSplit"/>
      <selection activeCell="A250" sqref="A250"/>
      <selection pane="topRight" activeCell="F101" sqref="F101"/>
    </sheetView>
  </sheetViews>
  <sheetFormatPr defaultRowHeight="15"/>
  <cols>
    <col min="1" max="1" width="58.85546875" customWidth="1"/>
    <col min="2" max="2" width="14.7109375" bestFit="1" customWidth="1"/>
    <col min="3" max="4" width="14.28515625" bestFit="1" customWidth="1"/>
    <col min="5" max="5" width="11.140625" customWidth="1"/>
    <col min="6" max="6" width="14.28515625" bestFit="1" customWidth="1"/>
    <col min="7" max="7" width="15.85546875" customWidth="1"/>
    <col min="8" max="8" width="13.42578125" customWidth="1"/>
    <col min="9" max="9" width="13.7109375" customWidth="1"/>
    <col min="10" max="11" width="14.28515625" bestFit="1" customWidth="1"/>
    <col min="12" max="12" width="13.140625" customWidth="1"/>
    <col min="13" max="13" width="11.28515625" customWidth="1"/>
    <col min="14" max="16" width="14.28515625" bestFit="1" customWidth="1"/>
    <col min="17" max="17" width="12.140625" customWidth="1"/>
    <col min="18" max="22" width="14.28515625" bestFit="1" customWidth="1"/>
    <col min="25" max="25" width="14" bestFit="1" customWidth="1"/>
  </cols>
  <sheetData>
    <row r="1" spans="1:17">
      <c r="G1" s="1028" t="s">
        <v>1624</v>
      </c>
      <c r="Q1" t="s">
        <v>0</v>
      </c>
    </row>
    <row r="2" spans="1:17" s="914" customFormat="1">
      <c r="G2" s="1028"/>
    </row>
    <row r="3" spans="1:17" ht="33.75" customHeight="1">
      <c r="A3" s="1273" t="s">
        <v>2</v>
      </c>
      <c r="B3" s="1273"/>
      <c r="C3" s="1273"/>
      <c r="D3" s="1273"/>
      <c r="E3" s="1273"/>
      <c r="F3" s="1273"/>
      <c r="G3" s="1273"/>
      <c r="H3" s="1273"/>
      <c r="I3" s="1273"/>
      <c r="J3" s="1273"/>
      <c r="K3" s="1273"/>
      <c r="L3" s="1273"/>
      <c r="M3" s="1273"/>
      <c r="N3" s="1273"/>
      <c r="O3" s="1273"/>
      <c r="P3" s="1273"/>
    </row>
    <row r="4" spans="1:17" ht="60" customHeight="1">
      <c r="A4" s="1273" t="s">
        <v>67</v>
      </c>
      <c r="B4" s="1273"/>
      <c r="C4" s="1273"/>
      <c r="D4" s="1273"/>
      <c r="E4" s="1273"/>
      <c r="F4" s="1273"/>
      <c r="G4" s="1273"/>
      <c r="H4" s="1273"/>
      <c r="I4" s="1273"/>
      <c r="J4" s="1273"/>
      <c r="K4" s="1273"/>
      <c r="L4" s="1273"/>
      <c r="M4" s="1273"/>
      <c r="N4" s="1273"/>
      <c r="O4" s="1273"/>
      <c r="P4" s="1273"/>
    </row>
    <row r="5" spans="1:17" ht="45.75" customHeight="1">
      <c r="A5" s="1273" t="s">
        <v>5</v>
      </c>
      <c r="B5" s="1273"/>
      <c r="C5" s="1273"/>
      <c r="D5" s="1273"/>
      <c r="E5" s="1273"/>
      <c r="F5" s="1273"/>
      <c r="G5" s="1273"/>
      <c r="H5" s="1273"/>
      <c r="I5" s="1273"/>
      <c r="J5" s="1273"/>
      <c r="K5" s="1273"/>
      <c r="L5" s="1273"/>
      <c r="M5" s="1273"/>
      <c r="N5" s="1273"/>
      <c r="O5" s="1273"/>
      <c r="P5" s="1273"/>
      <c r="Q5" t="s">
        <v>3</v>
      </c>
    </row>
    <row r="6" spans="1:17" ht="31.5" customHeight="1">
      <c r="A6" s="1273" t="s">
        <v>68</v>
      </c>
      <c r="B6" s="1273"/>
      <c r="C6" s="1273"/>
      <c r="D6" s="1273"/>
      <c r="E6" s="1273"/>
      <c r="F6" s="1273"/>
      <c r="G6" s="1273"/>
      <c r="H6" s="1273"/>
      <c r="I6" s="1273"/>
      <c r="J6" s="1273"/>
      <c r="K6" s="1273"/>
      <c r="L6" s="1273"/>
      <c r="M6" s="1273"/>
      <c r="N6" s="1273"/>
      <c r="O6" s="1273"/>
      <c r="P6" s="1273"/>
    </row>
    <row r="7" spans="1:17" ht="32.25" customHeight="1">
      <c r="A7" s="1273" t="s">
        <v>347</v>
      </c>
      <c r="B7" s="1273"/>
      <c r="C7" s="1273"/>
      <c r="D7" s="1273"/>
      <c r="E7" s="1273"/>
      <c r="F7" s="1273"/>
      <c r="G7" s="1273"/>
      <c r="H7" s="1273"/>
      <c r="I7" s="1273"/>
      <c r="J7" s="1273"/>
      <c r="K7" s="1273"/>
      <c r="L7" s="1273"/>
      <c r="M7" s="1273"/>
      <c r="N7" s="1273"/>
      <c r="O7" s="1273"/>
      <c r="P7" s="1273"/>
      <c r="Q7" t="s">
        <v>1</v>
      </c>
    </row>
    <row r="8" spans="1:17" ht="30" customHeight="1">
      <c r="A8" s="1273" t="s">
        <v>351</v>
      </c>
      <c r="B8" s="1273"/>
      <c r="C8" s="1273"/>
      <c r="D8" s="1273"/>
      <c r="E8" s="1273"/>
      <c r="F8" s="1273"/>
      <c r="G8" s="1273"/>
      <c r="H8" s="1273"/>
      <c r="I8" s="1273"/>
      <c r="J8" s="1273"/>
      <c r="K8" s="1273"/>
      <c r="L8" s="1273"/>
      <c r="M8" s="1273"/>
      <c r="N8" s="1273"/>
      <c r="O8" s="1273"/>
      <c r="P8" s="1273"/>
      <c r="Q8" t="s">
        <v>348</v>
      </c>
    </row>
    <row r="9" spans="1:17" ht="31.5" customHeight="1">
      <c r="A9" s="1273" t="s">
        <v>349</v>
      </c>
      <c r="B9" s="1273"/>
      <c r="C9" s="1273"/>
      <c r="D9" s="1273"/>
      <c r="E9" s="1273"/>
      <c r="F9" s="1273"/>
      <c r="G9" s="1273"/>
      <c r="H9" s="1273"/>
      <c r="I9" s="1273"/>
      <c r="J9" s="1273"/>
      <c r="K9" s="1273"/>
      <c r="L9" s="1273"/>
      <c r="M9" s="1273"/>
      <c r="N9" s="1273"/>
      <c r="O9" s="1273"/>
      <c r="P9" s="1273"/>
      <c r="Q9" t="s">
        <v>10</v>
      </c>
    </row>
    <row r="11" spans="1:17">
      <c r="A11" s="3" t="s">
        <v>4</v>
      </c>
      <c r="C11" s="731">
        <v>688500</v>
      </c>
    </row>
    <row r="12" spans="1:17" s="914" customFormat="1">
      <c r="A12" s="3" t="s">
        <v>1360</v>
      </c>
      <c r="B12" s="192">
        <f>'ERR &amp; Sensitivity Analysis'!G12</f>
        <v>1330755</v>
      </c>
      <c r="C12" s="125">
        <f>B12/K13</f>
        <v>355.2791109781125</v>
      </c>
      <c r="D12" s="914" t="s">
        <v>1364</v>
      </c>
      <c r="E12" s="914" t="s">
        <v>1365</v>
      </c>
      <c r="F12" s="914" t="s">
        <v>1366</v>
      </c>
      <c r="G12" s="914" t="s">
        <v>1367</v>
      </c>
      <c r="H12" s="914" t="s">
        <v>1368</v>
      </c>
      <c r="I12" s="914" t="s">
        <v>1369</v>
      </c>
      <c r="J12" s="914" t="s">
        <v>1370</v>
      </c>
      <c r="K12" s="914" t="s">
        <v>1371</v>
      </c>
      <c r="L12" s="914" t="s">
        <v>1372</v>
      </c>
      <c r="M12" s="914" t="s">
        <v>1373</v>
      </c>
      <c r="N12" s="914" t="s">
        <v>1374</v>
      </c>
    </row>
    <row r="13" spans="1:17">
      <c r="A13" t="s">
        <v>908</v>
      </c>
      <c r="B13" s="2">
        <v>419000</v>
      </c>
      <c r="D13" s="914" t="s">
        <v>1326</v>
      </c>
      <c r="E13" s="914" t="s">
        <v>1375</v>
      </c>
      <c r="F13" s="914" t="s">
        <v>1376</v>
      </c>
      <c r="G13" s="914" t="s">
        <v>1377</v>
      </c>
      <c r="H13" s="914">
        <v>4463.50331051587</v>
      </c>
      <c r="I13" s="914">
        <v>3603.0720425824902</v>
      </c>
      <c r="J13" s="914">
        <v>4002.5226650364302</v>
      </c>
      <c r="K13" s="914">
        <v>3745.66069008764</v>
      </c>
      <c r="L13" s="914">
        <v>5046.1092452123503</v>
      </c>
      <c r="M13" s="914">
        <v>4797.1368750000001</v>
      </c>
      <c r="N13" s="914">
        <v>4860.6655320934897</v>
      </c>
    </row>
    <row r="14" spans="1:17" s="914" customFormat="1">
      <c r="A14" t="s">
        <v>1378</v>
      </c>
      <c r="B14">
        <v>5292</v>
      </c>
      <c r="C14" s="914" t="s">
        <v>6</v>
      </c>
    </row>
    <row r="15" spans="1:17">
      <c r="A15" t="s">
        <v>1379</v>
      </c>
      <c r="B15">
        <f>AVERAGE(I13:M13)</f>
        <v>4238.9003035837823</v>
      </c>
      <c r="C15">
        <f>B13/B15</f>
        <v>98.846391750651946</v>
      </c>
    </row>
    <row r="16" spans="1:17">
      <c r="A16" t="s">
        <v>7</v>
      </c>
      <c r="B16">
        <v>0.35</v>
      </c>
      <c r="C16" t="s">
        <v>8</v>
      </c>
    </row>
    <row r="17" spans="1:11">
      <c r="A17" t="s">
        <v>9</v>
      </c>
      <c r="B17">
        <f>(1-B16)*(B13/B14)</f>
        <v>51.464474678760389</v>
      </c>
      <c r="H17" t="s">
        <v>1359</v>
      </c>
      <c r="I17" t="s">
        <v>795</v>
      </c>
      <c r="J17" t="s">
        <v>919</v>
      </c>
      <c r="K17" s="292" t="s">
        <v>1406</v>
      </c>
    </row>
    <row r="18" spans="1:11">
      <c r="A18" t="s">
        <v>4</v>
      </c>
      <c r="B18">
        <f>H18*ERR!C36+health!I18*ERR!D36+health!J18*ERR!E36</f>
        <v>1.0628134265014697</v>
      </c>
      <c r="C18" s="209" t="s">
        <v>741</v>
      </c>
      <c r="H18">
        <f>(1-B16)*(B12/B15)/(24*8)</f>
        <v>1.0628134265014697</v>
      </c>
      <c r="I18">
        <f>1.01*0.5</f>
        <v>0.505</v>
      </c>
      <c r="J18">
        <f>(B13/B15)/(24*8)</f>
        <v>0.51482495703464559</v>
      </c>
    </row>
    <row r="19" spans="1:11" s="1" customFormat="1">
      <c r="A19" s="1" t="s">
        <v>383</v>
      </c>
      <c r="B19" s="1">
        <f>B18*8*24*12</f>
        <v>2448.722134659386</v>
      </c>
      <c r="G19" s="115" t="s">
        <v>918</v>
      </c>
      <c r="H19" s="76">
        <f>H18*8*24*12/(6*365)</f>
        <v>1.1181379610316831</v>
      </c>
      <c r="I19" s="76">
        <f t="shared" ref="I19" si="0">I18*8*24*12/(6*365)</f>
        <v>0.53128767123287668</v>
      </c>
      <c r="J19" s="76">
        <f>J18*8*24*12/(6*365)</f>
        <v>0.54162406438713395</v>
      </c>
    </row>
    <row r="21" spans="1:11">
      <c r="A21" s="3" t="s">
        <v>11</v>
      </c>
      <c r="H21">
        <f>(B12/B15)/(24*8)</f>
        <v>1.6350975792330305</v>
      </c>
      <c r="I21">
        <v>1.01</v>
      </c>
      <c r="J21">
        <f>H21/I21</f>
        <v>1.6189084942901291</v>
      </c>
    </row>
    <row r="22" spans="1:11">
      <c r="B22" t="s">
        <v>12</v>
      </c>
      <c r="C22" t="s">
        <v>13</v>
      </c>
      <c r="D22" t="s">
        <v>14</v>
      </c>
      <c r="E22" t="s">
        <v>17</v>
      </c>
      <c r="F22" t="s">
        <v>60</v>
      </c>
    </row>
    <row r="23" spans="1:11">
      <c r="A23" t="s">
        <v>15</v>
      </c>
      <c r="B23" s="4">
        <v>0.44</v>
      </c>
      <c r="C23" s="4">
        <v>0.37</v>
      </c>
      <c r="D23" s="4">
        <v>0.37</v>
      </c>
      <c r="E23" t="s">
        <v>350</v>
      </c>
      <c r="F23" s="66" t="s">
        <v>61</v>
      </c>
    </row>
    <row r="24" spans="1:11">
      <c r="A24" t="s">
        <v>16</v>
      </c>
      <c r="B24" s="5">
        <f>AVERAGE(4%,29%)/2</f>
        <v>8.249999999999999E-2</v>
      </c>
      <c r="C24" s="6">
        <f>AVERAGE(4%,29%)/2</f>
        <v>8.249999999999999E-2</v>
      </c>
      <c r="E24" t="s">
        <v>19</v>
      </c>
      <c r="F24" s="66"/>
    </row>
    <row r="25" spans="1:11">
      <c r="A25" s="7" t="s">
        <v>18</v>
      </c>
      <c r="B25" s="8"/>
      <c r="C25" s="9"/>
      <c r="D25" s="10">
        <v>0.2</v>
      </c>
      <c r="E25" t="s">
        <v>20</v>
      </c>
      <c r="F25" s="66" t="s">
        <v>59</v>
      </c>
    </row>
    <row r="26" spans="1:11">
      <c r="A26" t="s">
        <v>21</v>
      </c>
      <c r="B26" s="11"/>
      <c r="C26" s="12"/>
      <c r="D26" s="13">
        <v>0.2</v>
      </c>
      <c r="E26" t="s">
        <v>22</v>
      </c>
      <c r="F26" s="66" t="s">
        <v>65</v>
      </c>
    </row>
    <row r="27" spans="1:11">
      <c r="A27" t="s">
        <v>23</v>
      </c>
      <c r="B27" s="14">
        <f>77%/2</f>
        <v>0.38500000000000001</v>
      </c>
      <c r="C27" s="15">
        <f>77%/2</f>
        <v>0.38500000000000001</v>
      </c>
      <c r="D27" s="16"/>
      <c r="E27" t="s">
        <v>1610</v>
      </c>
      <c r="F27" s="66"/>
    </row>
    <row r="29" spans="1:11">
      <c r="A29" s="3" t="s">
        <v>58</v>
      </c>
      <c r="B29">
        <f>C30/B30</f>
        <v>0.70909817444105705</v>
      </c>
      <c r="C29" t="s">
        <v>62</v>
      </c>
      <c r="D29" t="s">
        <v>63</v>
      </c>
      <c r="E29" t="s">
        <v>64</v>
      </c>
    </row>
    <row r="30" spans="1:11">
      <c r="A30" t="s">
        <v>24</v>
      </c>
      <c r="B30" s="53">
        <f>C30+0.15*D30</f>
        <v>214717.8</v>
      </c>
      <c r="C30" s="53">
        <f>E42+G42+I42</f>
        <v>152256</v>
      </c>
      <c r="D30" s="53">
        <f>E41+G41+I41</f>
        <v>416412</v>
      </c>
      <c r="F30" t="s">
        <v>1335</v>
      </c>
      <c r="G30">
        <f>E42+0.15*E41</f>
        <v>136414.5</v>
      </c>
      <c r="H30">
        <f>G30/$B$30</f>
        <v>0.63531994087122734</v>
      </c>
    </row>
    <row r="31" spans="1:11">
      <c r="A31" t="s">
        <v>13</v>
      </c>
      <c r="B31" s="53">
        <f>C31+0.15*D31</f>
        <v>106888.65</v>
      </c>
      <c r="C31" s="53">
        <f>F42+H42+J42</f>
        <v>98349</v>
      </c>
      <c r="D31">
        <f>F41+H41+J41</f>
        <v>56931</v>
      </c>
      <c r="F31" t="s">
        <v>1336</v>
      </c>
      <c r="G31">
        <f>I42+0.15*I41</f>
        <v>78303.299999999988</v>
      </c>
      <c r="H31" s="914">
        <f>G31/$B$30</f>
        <v>0.36468005912877272</v>
      </c>
      <c r="I31" s="914"/>
    </row>
    <row r="32" spans="1:11">
      <c r="A32" t="s">
        <v>14</v>
      </c>
      <c r="B32" s="53">
        <f>C56</f>
        <v>136221.99981725443</v>
      </c>
    </row>
    <row r="33" spans="1:13" ht="15.75" thickBot="1"/>
    <row r="34" spans="1:13">
      <c r="A34" s="1274" t="s">
        <v>25</v>
      </c>
      <c r="B34" s="1270" t="s">
        <v>26</v>
      </c>
      <c r="C34" s="1271" t="s">
        <v>26</v>
      </c>
      <c r="D34" s="1271" t="s">
        <v>26</v>
      </c>
      <c r="E34" s="1271" t="s">
        <v>26</v>
      </c>
      <c r="F34" s="1272" t="s">
        <v>26</v>
      </c>
      <c r="G34" s="1277" t="s">
        <v>27</v>
      </c>
      <c r="H34" s="1278" t="s">
        <v>27</v>
      </c>
      <c r="I34" s="1279" t="s">
        <v>28</v>
      </c>
      <c r="J34" s="1278" t="s">
        <v>28</v>
      </c>
    </row>
    <row r="35" spans="1:13">
      <c r="A35" s="1275"/>
      <c r="B35" s="1280" t="s">
        <v>29</v>
      </c>
      <c r="C35" s="1281"/>
      <c r="D35" s="1281"/>
      <c r="E35" s="1284" t="s">
        <v>30</v>
      </c>
      <c r="F35" s="1287" t="s">
        <v>31</v>
      </c>
      <c r="G35" s="1289" t="s">
        <v>30</v>
      </c>
      <c r="H35" s="1291" t="s">
        <v>31</v>
      </c>
      <c r="I35" s="1294" t="s">
        <v>30</v>
      </c>
      <c r="J35" s="1291" t="s">
        <v>31</v>
      </c>
    </row>
    <row r="36" spans="1:13">
      <c r="A36" s="1275"/>
      <c r="B36" s="1280"/>
      <c r="C36" s="1281"/>
      <c r="D36" s="1281"/>
      <c r="E36" s="1285"/>
      <c r="F36" s="1287"/>
      <c r="G36" s="1289"/>
      <c r="H36" s="1292"/>
      <c r="I36" s="1294"/>
      <c r="J36" s="1292"/>
    </row>
    <row r="37" spans="1:13">
      <c r="A37" s="1275"/>
      <c r="B37" s="1282"/>
      <c r="C37" s="1283"/>
      <c r="D37" s="1283"/>
      <c r="E37" s="1286"/>
      <c r="F37" s="1288"/>
      <c r="G37" s="1290"/>
      <c r="H37" s="1293"/>
      <c r="I37" s="1295"/>
      <c r="J37" s="1293"/>
    </row>
    <row r="38" spans="1:13" ht="45.75" thickBot="1">
      <c r="A38" s="1276"/>
      <c r="B38" s="17" t="s">
        <v>32</v>
      </c>
      <c r="C38" s="18" t="s">
        <v>33</v>
      </c>
      <c r="D38" s="18" t="s">
        <v>34</v>
      </c>
      <c r="E38" s="19" t="s">
        <v>43</v>
      </c>
      <c r="F38" s="20" t="s">
        <v>35</v>
      </c>
      <c r="G38" s="21" t="s">
        <v>46</v>
      </c>
      <c r="H38" s="22" t="s">
        <v>36</v>
      </c>
      <c r="I38" s="23" t="s">
        <v>37</v>
      </c>
      <c r="J38" s="24" t="str">
        <f ca="1">IF(J47=1,CELL("contents",I47),IF(J48=1,CELL("contents",I48),""))</f>
        <v/>
      </c>
    </row>
    <row r="39" spans="1:13" ht="16.5" thickTop="1" thickBot="1">
      <c r="A39" s="25"/>
      <c r="B39" s="1265" t="s">
        <v>50</v>
      </c>
      <c r="C39" s="1266"/>
      <c r="D39" s="1267"/>
      <c r="E39" s="26"/>
      <c r="F39" s="27"/>
      <c r="G39" s="28"/>
      <c r="H39" s="27"/>
      <c r="I39" s="28"/>
      <c r="J39" s="27"/>
    </row>
    <row r="40" spans="1:13" ht="15.75" thickTop="1">
      <c r="A40" s="29" t="s">
        <v>38</v>
      </c>
      <c r="B40" s="1268">
        <v>860000</v>
      </c>
      <c r="C40" s="1269"/>
      <c r="D40" s="1269"/>
      <c r="E40" s="30">
        <v>250102</v>
      </c>
      <c r="F40" s="31">
        <v>155280</v>
      </c>
      <c r="G40" s="32">
        <v>0</v>
      </c>
      <c r="H40" s="31">
        <v>0</v>
      </c>
      <c r="I40" s="33">
        <v>318566</v>
      </c>
      <c r="J40" s="31">
        <v>0</v>
      </c>
      <c r="K40" t="s">
        <v>1437</v>
      </c>
      <c r="L40" t="s">
        <v>1438</v>
      </c>
      <c r="M40" t="s">
        <v>1439</v>
      </c>
    </row>
    <row r="41" spans="1:13">
      <c r="A41" s="34" t="s">
        <v>39</v>
      </c>
      <c r="B41" s="32">
        <v>0</v>
      </c>
      <c r="C41" s="35">
        <v>0</v>
      </c>
      <c r="D41" s="30">
        <v>0</v>
      </c>
      <c r="E41" s="36">
        <v>133750</v>
      </c>
      <c r="F41" s="37">
        <v>56931</v>
      </c>
      <c r="G41" s="38">
        <v>0</v>
      </c>
      <c r="H41" s="37">
        <v>0</v>
      </c>
      <c r="I41" s="36">
        <v>282662</v>
      </c>
      <c r="J41" s="37">
        <v>0</v>
      </c>
      <c r="L41">
        <f>F41/F40</f>
        <v>0.36663446676970635</v>
      </c>
      <c r="M41" s="1017">
        <v>1</v>
      </c>
    </row>
    <row r="42" spans="1:13">
      <c r="A42" s="34" t="s">
        <v>48</v>
      </c>
      <c r="B42" s="32">
        <v>0</v>
      </c>
      <c r="C42" s="36">
        <v>0</v>
      </c>
      <c r="D42" s="33">
        <v>0</v>
      </c>
      <c r="E42" s="36">
        <v>116352</v>
      </c>
      <c r="F42" s="37">
        <v>98349</v>
      </c>
      <c r="G42" s="38">
        <v>0</v>
      </c>
      <c r="H42" s="37">
        <v>0</v>
      </c>
      <c r="I42" s="36">
        <v>35904</v>
      </c>
      <c r="J42" s="37">
        <v>0</v>
      </c>
    </row>
    <row r="43" spans="1:13">
      <c r="A43" s="29" t="s">
        <v>40</v>
      </c>
      <c r="B43" s="32">
        <v>860000</v>
      </c>
      <c r="C43" s="30">
        <v>0</v>
      </c>
      <c r="D43" s="30">
        <v>0</v>
      </c>
      <c r="E43" s="30">
        <v>0</v>
      </c>
      <c r="F43" s="39">
        <v>0</v>
      </c>
      <c r="G43" s="40">
        <v>0</v>
      </c>
      <c r="H43" s="41">
        <v>0</v>
      </c>
      <c r="I43" s="42">
        <v>0</v>
      </c>
      <c r="J43" s="41">
        <v>0</v>
      </c>
    </row>
    <row r="44" spans="1:13">
      <c r="A44" s="29" t="s">
        <v>41</v>
      </c>
      <c r="B44" s="32">
        <v>0</v>
      </c>
      <c r="C44" s="30">
        <v>860000</v>
      </c>
      <c r="D44" s="30">
        <v>0</v>
      </c>
      <c r="E44" s="30">
        <v>0</v>
      </c>
      <c r="F44" s="31">
        <v>0</v>
      </c>
      <c r="G44" s="40">
        <v>0</v>
      </c>
      <c r="H44" s="41">
        <v>0</v>
      </c>
      <c r="I44" s="42">
        <v>0</v>
      </c>
      <c r="J44" s="41">
        <v>0</v>
      </c>
    </row>
    <row r="45" spans="1:13" ht="15.75" thickBot="1">
      <c r="A45" s="43" t="s">
        <v>42</v>
      </c>
      <c r="B45" s="44">
        <v>860000</v>
      </c>
      <c r="C45" s="45">
        <v>0</v>
      </c>
      <c r="D45" s="46">
        <v>860000</v>
      </c>
      <c r="E45" s="47">
        <v>0</v>
      </c>
      <c r="F45" s="48">
        <v>0</v>
      </c>
      <c r="G45" s="49">
        <v>0</v>
      </c>
      <c r="H45" s="50">
        <v>0</v>
      </c>
      <c r="I45" s="51">
        <v>0</v>
      </c>
      <c r="J45" s="50">
        <v>0</v>
      </c>
    </row>
    <row r="46" spans="1:13">
      <c r="A46" s="52"/>
    </row>
    <row r="47" spans="1:13">
      <c r="A47" s="52" t="s">
        <v>44</v>
      </c>
    </row>
    <row r="48" spans="1:13">
      <c r="A48" s="52" t="s">
        <v>45</v>
      </c>
      <c r="E48" s="53">
        <f>E42/6</f>
        <v>19392</v>
      </c>
      <c r="F48">
        <f>F42/6</f>
        <v>16391.5</v>
      </c>
      <c r="I48" s="914">
        <f>I42/6</f>
        <v>5984</v>
      </c>
    </row>
    <row r="49" spans="1:7">
      <c r="A49" s="52" t="s">
        <v>47</v>
      </c>
    </row>
    <row r="50" spans="1:7">
      <c r="A50" s="52" t="s">
        <v>49</v>
      </c>
    </row>
    <row r="51" spans="1:7" ht="15.75" thickBot="1"/>
    <row r="52" spans="1:7">
      <c r="A52" s="1270" t="s">
        <v>14</v>
      </c>
      <c r="B52" s="1271"/>
      <c r="C52" s="1272"/>
    </row>
    <row r="53" spans="1:7" ht="15.75" thickBot="1">
      <c r="B53" s="54" t="s">
        <v>51</v>
      </c>
      <c r="C53" s="55" t="s">
        <v>52</v>
      </c>
    </row>
    <row r="54" spans="1:7" ht="16.5" thickTop="1" thickBot="1">
      <c r="A54" s="25"/>
      <c r="B54" s="56"/>
      <c r="C54" s="57"/>
    </row>
    <row r="55" spans="1:7" ht="15.75" thickTop="1">
      <c r="A55" s="29" t="s">
        <v>53</v>
      </c>
      <c r="B55" s="58">
        <v>0</v>
      </c>
      <c r="C55" s="59">
        <v>160768.55740410168</v>
      </c>
      <c r="D55" t="s">
        <v>57</v>
      </c>
    </row>
    <row r="56" spans="1:7">
      <c r="A56" s="34" t="s">
        <v>54</v>
      </c>
      <c r="B56" s="38">
        <v>0</v>
      </c>
      <c r="C56" s="37">
        <v>136221.99981725443</v>
      </c>
      <c r="D56" t="s">
        <v>56</v>
      </c>
    </row>
    <row r="57" spans="1:7">
      <c r="A57" s="34" t="s">
        <v>55</v>
      </c>
      <c r="B57" s="60"/>
      <c r="C57" s="37">
        <v>24546.557586847244</v>
      </c>
      <c r="D57" t="s">
        <v>66</v>
      </c>
    </row>
    <row r="58" spans="1:7">
      <c r="A58" s="32"/>
      <c r="B58" s="61"/>
      <c r="C58" s="62"/>
    </row>
    <row r="59" spans="1:7">
      <c r="A59" s="32"/>
      <c r="B59" s="61"/>
      <c r="C59" s="62"/>
    </row>
    <row r="60" spans="1:7" ht="15.75" thickBot="1">
      <c r="A60" s="63"/>
      <c r="B60" s="64"/>
      <c r="C60" s="65"/>
    </row>
    <row r="62" spans="1:7">
      <c r="A62" s="3" t="s">
        <v>69</v>
      </c>
    </row>
    <row r="63" spans="1:7">
      <c r="A63" s="78" t="s">
        <v>94</v>
      </c>
      <c r="B63" s="1"/>
      <c r="C63" s="1"/>
      <c r="D63" s="1"/>
      <c r="E63" s="1"/>
      <c r="F63" s="79">
        <v>0.25</v>
      </c>
      <c r="G63" t="s">
        <v>96</v>
      </c>
    </row>
    <row r="64" spans="1:7">
      <c r="A64" s="108" t="s">
        <v>95</v>
      </c>
      <c r="C64" t="s">
        <v>78</v>
      </c>
    </row>
    <row r="65" spans="1:27">
      <c r="A65" s="67" t="s">
        <v>70</v>
      </c>
      <c r="B65" s="1"/>
      <c r="C65" s="1" t="s">
        <v>77</v>
      </c>
      <c r="D65" s="1"/>
    </row>
    <row r="66" spans="1:27">
      <c r="A66" s="68" t="s">
        <v>71</v>
      </c>
      <c r="B66" s="70"/>
      <c r="C66" s="1" t="s">
        <v>79</v>
      </c>
      <c r="D66" s="69"/>
    </row>
    <row r="67" spans="1:27">
      <c r="A67" s="71" t="s">
        <v>72</v>
      </c>
      <c r="B67" s="73">
        <f>$K$97*B68+$K$98*B69</f>
        <v>138.2663574709207</v>
      </c>
      <c r="D67" s="72"/>
    </row>
    <row r="68" spans="1:27">
      <c r="A68" s="74" t="s">
        <v>73</v>
      </c>
      <c r="B68" s="75">
        <v>483.33333333333331</v>
      </c>
      <c r="C68" t="s">
        <v>1286</v>
      </c>
      <c r="D68" s="1"/>
    </row>
    <row r="69" spans="1:27">
      <c r="A69" s="74" t="s">
        <v>74</v>
      </c>
      <c r="B69" s="75">
        <v>59.333333333333336</v>
      </c>
      <c r="C69" t="s">
        <v>1287</v>
      </c>
      <c r="D69" s="1"/>
    </row>
    <row r="70" spans="1:27">
      <c r="A70" s="68" t="s">
        <v>75</v>
      </c>
      <c r="B70" s="69"/>
      <c r="C70" s="1" t="s">
        <v>97</v>
      </c>
      <c r="D70" s="69"/>
      <c r="N70" s="1" t="s">
        <v>359</v>
      </c>
      <c r="R70" s="66" t="s">
        <v>101</v>
      </c>
      <c r="AA70" s="7"/>
    </row>
    <row r="71" spans="1:27">
      <c r="A71" s="74" t="s">
        <v>73</v>
      </c>
      <c r="B71" s="76">
        <v>1</v>
      </c>
      <c r="C71" s="1" t="s">
        <v>1288</v>
      </c>
      <c r="D71" s="1"/>
      <c r="J71" s="1296" t="s">
        <v>98</v>
      </c>
      <c r="K71" s="1296"/>
      <c r="L71" s="1296"/>
      <c r="M71" s="7"/>
      <c r="N71" s="1296" t="s">
        <v>99</v>
      </c>
      <c r="O71" s="1296"/>
      <c r="P71" s="1296"/>
      <c r="Q71" s="80" t="s">
        <v>100</v>
      </c>
      <c r="R71" s="84" t="s">
        <v>107</v>
      </c>
      <c r="AA71" s="7"/>
    </row>
    <row r="72" spans="1:27">
      <c r="A72" s="74" t="s">
        <v>74</v>
      </c>
      <c r="B72" s="76">
        <v>2.5</v>
      </c>
      <c r="C72" s="1" t="s">
        <v>1289</v>
      </c>
      <c r="D72" s="1"/>
      <c r="J72" s="81" t="s">
        <v>102</v>
      </c>
      <c r="K72" s="81" t="s">
        <v>103</v>
      </c>
      <c r="L72" s="81" t="s">
        <v>104</v>
      </c>
      <c r="M72" s="82" t="s">
        <v>105</v>
      </c>
      <c r="N72" s="81" t="s">
        <v>102</v>
      </c>
      <c r="O72" s="81" t="s">
        <v>103</v>
      </c>
      <c r="P72" s="81" t="s">
        <v>104</v>
      </c>
      <c r="Q72" s="83" t="s">
        <v>106</v>
      </c>
      <c r="R72" s="914" t="s">
        <v>1337</v>
      </c>
      <c r="AA72" s="7"/>
    </row>
    <row r="73" spans="1:27" ht="15" customHeight="1">
      <c r="A73" s="68" t="s">
        <v>76</v>
      </c>
      <c r="B73" s="77">
        <f>B71*K97+B72*K98</f>
        <v>2.2207558108340071</v>
      </c>
      <c r="D73" s="69"/>
      <c r="J73" s="85" t="s">
        <v>108</v>
      </c>
      <c r="K73" s="86">
        <v>1245.433</v>
      </c>
      <c r="L73" s="87">
        <v>1263.1030000000001</v>
      </c>
      <c r="M73" s="7">
        <v>0.5</v>
      </c>
      <c r="N73" s="1">
        <v>0</v>
      </c>
      <c r="O73" s="88">
        <f>K73/K$94*0.2</f>
        <v>3.7064720924539989E-2</v>
      </c>
      <c r="P73" s="89">
        <f>L73/L$94*0.2</f>
        <v>3.739954318836048E-2</v>
      </c>
      <c r="Q73" s="90">
        <f>0.2*(K73+L73)/($K$94+$L$94)</f>
        <v>3.7232558555465735E-2</v>
      </c>
      <c r="R73" s="93" t="s">
        <v>111</v>
      </c>
      <c r="AA73" s="7"/>
    </row>
    <row r="74" spans="1:27">
      <c r="A74" s="74" t="s">
        <v>73</v>
      </c>
      <c r="B74" s="76">
        <f>B71*B68/1000</f>
        <v>0.48333333333333334</v>
      </c>
      <c r="D74" s="1"/>
      <c r="J74" s="85" t="s">
        <v>109</v>
      </c>
      <c r="K74" s="91">
        <v>1009.4</v>
      </c>
      <c r="L74" s="87">
        <v>1018.342</v>
      </c>
      <c r="M74" s="7">
        <v>2.5</v>
      </c>
      <c r="N74" s="85" t="s">
        <v>110</v>
      </c>
      <c r="O74" s="92">
        <f>K73/K$94*0.8</f>
        <v>0.14825888369815995</v>
      </c>
      <c r="P74" s="90">
        <f>L73/L$94*0.8</f>
        <v>0.14959817275344192</v>
      </c>
      <c r="Q74" s="90">
        <f>0.8*(K73+L73)/($K$94+$L$94)</f>
        <v>0.14893023422186294</v>
      </c>
      <c r="R74" s="94" t="s">
        <v>113</v>
      </c>
      <c r="AA74" s="1"/>
    </row>
    <row r="75" spans="1:27">
      <c r="A75" s="74" t="s">
        <v>74</v>
      </c>
      <c r="B75" s="76">
        <f>B72*B69/1000</f>
        <v>0.14833333333333334</v>
      </c>
      <c r="D75" s="1"/>
      <c r="J75" s="85" t="s">
        <v>112</v>
      </c>
      <c r="K75" s="91">
        <v>863.76599999999996</v>
      </c>
      <c r="L75" s="87">
        <v>870.38800000000003</v>
      </c>
      <c r="M75" s="1">
        <v>7</v>
      </c>
      <c r="N75" s="85" t="s">
        <v>109</v>
      </c>
      <c r="O75" s="92">
        <f t="shared" ref="O75:O90" si="1">K74/K$94</f>
        <v>0.15020129264774046</v>
      </c>
      <c r="P75" s="90">
        <f t="shared" ref="P75:P90" si="2">L74/L$94</f>
        <v>0.15076175739239547</v>
      </c>
      <c r="Q75" s="90">
        <f t="shared" ref="Q75:Q91" si="3">(K74+L74)/($K$94+$L$94)</f>
        <v>0.15048223894410362</v>
      </c>
      <c r="R75" s="95" t="s">
        <v>115</v>
      </c>
      <c r="AA75" s="1"/>
    </row>
    <row r="76" spans="1:27" s="1" customFormat="1">
      <c r="A76" s="74"/>
      <c r="B76" s="76"/>
      <c r="J76" s="85" t="s">
        <v>114</v>
      </c>
      <c r="K76" s="91">
        <v>718.82299999999998</v>
      </c>
      <c r="L76" s="87">
        <v>722.87599999999998</v>
      </c>
      <c r="M76" s="1">
        <f>M75+5</f>
        <v>12</v>
      </c>
      <c r="N76" s="85" t="s">
        <v>112</v>
      </c>
      <c r="O76" s="92">
        <f t="shared" si="1"/>
        <v>0.12853058227181313</v>
      </c>
      <c r="P76" s="90">
        <f t="shared" si="2"/>
        <v>0.12885771626158238</v>
      </c>
      <c r="Q76" s="90">
        <f t="shared" si="3"/>
        <v>0.12869456597233428</v>
      </c>
      <c r="R76" s="94" t="s">
        <v>117</v>
      </c>
    </row>
    <row r="77" spans="1:27">
      <c r="A77" s="1" t="s">
        <v>1611</v>
      </c>
      <c r="B77" s="1"/>
      <c r="C77" s="1"/>
      <c r="D77" s="1"/>
      <c r="E77" s="1"/>
      <c r="J77" s="85" t="s">
        <v>116</v>
      </c>
      <c r="K77" s="91">
        <v>615.03899999999999</v>
      </c>
      <c r="L77" s="87">
        <v>617.50599999999997</v>
      </c>
      <c r="M77" s="1">
        <f t="shared" ref="M77:M90" si="4">M76+5</f>
        <v>17</v>
      </c>
      <c r="N77" s="85" t="s">
        <v>114</v>
      </c>
      <c r="O77" s="92">
        <f t="shared" si="1"/>
        <v>0.10696269445703065</v>
      </c>
      <c r="P77" s="90">
        <f t="shared" si="2"/>
        <v>0.10701911159196545</v>
      </c>
      <c r="Q77" s="96">
        <f t="shared" si="3"/>
        <v>0.1069909748890516</v>
      </c>
      <c r="R77" s="7"/>
    </row>
    <row r="78" spans="1:27">
      <c r="A78" s="1" t="s">
        <v>143</v>
      </c>
      <c r="B78" s="1"/>
      <c r="C78" s="109">
        <f>4/16</f>
        <v>0.25</v>
      </c>
      <c r="D78" s="1" t="s">
        <v>144</v>
      </c>
      <c r="E78" s="1"/>
      <c r="J78" s="85" t="s">
        <v>118</v>
      </c>
      <c r="K78" s="91">
        <v>518.68200000000002</v>
      </c>
      <c r="L78" s="87">
        <v>525.83500000000004</v>
      </c>
      <c r="M78" s="1">
        <f t="shared" si="4"/>
        <v>22</v>
      </c>
      <c r="N78" s="85" t="s">
        <v>116</v>
      </c>
      <c r="O78" s="92">
        <f t="shared" si="1"/>
        <v>9.1519370743782094E-2</v>
      </c>
      <c r="P78" s="90">
        <f t="shared" si="2"/>
        <v>9.1419473772414925E-2</v>
      </c>
      <c r="Q78" s="96">
        <f t="shared" si="3"/>
        <v>9.14692950086156E-2</v>
      </c>
      <c r="R78" s="7"/>
      <c r="S78" s="1"/>
      <c r="T78" s="1"/>
    </row>
    <row r="79" spans="1:27" s="1" customFormat="1">
      <c r="A79" s="1" t="s">
        <v>153</v>
      </c>
      <c r="J79" s="85" t="s">
        <v>119</v>
      </c>
      <c r="K79" s="91">
        <v>425.65899999999999</v>
      </c>
      <c r="L79" s="87">
        <v>442.17200000000003</v>
      </c>
      <c r="M79" s="1">
        <f t="shared" si="4"/>
        <v>27</v>
      </c>
      <c r="N79" s="85" t="s">
        <v>118</v>
      </c>
      <c r="O79" s="92">
        <f t="shared" si="1"/>
        <v>7.7181203559654563E-2</v>
      </c>
      <c r="P79" s="90">
        <f t="shared" si="2"/>
        <v>7.7847922111069057E-2</v>
      </c>
      <c r="Q79" s="96">
        <f t="shared" si="3"/>
        <v>7.7515412106263171E-2</v>
      </c>
      <c r="R79" s="7"/>
    </row>
    <row r="80" spans="1:27" s="1" customFormat="1">
      <c r="A80" s="67" t="s">
        <v>146</v>
      </c>
      <c r="J80" s="85" t="s">
        <v>120</v>
      </c>
      <c r="K80" s="91">
        <v>315.34399999999999</v>
      </c>
      <c r="L80" s="87">
        <v>343.899</v>
      </c>
      <c r="M80" s="1">
        <f t="shared" si="4"/>
        <v>32</v>
      </c>
      <c r="N80" s="85" t="s">
        <v>119</v>
      </c>
      <c r="O80" s="92">
        <f t="shared" si="1"/>
        <v>6.3339144072859677E-2</v>
      </c>
      <c r="P80" s="90">
        <f t="shared" si="2"/>
        <v>6.5461925158453935E-2</v>
      </c>
      <c r="Q80" s="96">
        <f t="shared" si="3"/>
        <v>6.4403238629520118E-2</v>
      </c>
      <c r="R80" s="7"/>
    </row>
    <row r="81" spans="1:20" s="1" customFormat="1">
      <c r="A81" s="1" t="s">
        <v>147</v>
      </c>
      <c r="D81" s="113">
        <v>5.2597147916215468</v>
      </c>
      <c r="E81" s="1" t="s">
        <v>148</v>
      </c>
      <c r="J81" s="85" t="s">
        <v>121</v>
      </c>
      <c r="K81" s="91">
        <v>217.04400000000001</v>
      </c>
      <c r="L81" s="87">
        <v>248.87</v>
      </c>
      <c r="M81" s="1">
        <f t="shared" si="4"/>
        <v>37</v>
      </c>
      <c r="N81" s="85" t="s">
        <v>120</v>
      </c>
      <c r="O81" s="92">
        <f t="shared" si="1"/>
        <v>4.6923990914116372E-2</v>
      </c>
      <c r="P81" s="90">
        <f t="shared" si="2"/>
        <v>5.0912971875349752E-2</v>
      </c>
      <c r="Q81" s="96">
        <f t="shared" si="3"/>
        <v>4.8923562587463144E-2</v>
      </c>
      <c r="R81" s="7"/>
    </row>
    <row r="82" spans="1:20" s="1" customFormat="1">
      <c r="A82" s="66" t="s">
        <v>149</v>
      </c>
      <c r="D82" s="98">
        <v>36.210018105009055</v>
      </c>
      <c r="E82" s="1" t="s">
        <v>148</v>
      </c>
      <c r="J82" s="85" t="s">
        <v>122</v>
      </c>
      <c r="K82" s="91">
        <v>164.589</v>
      </c>
      <c r="L82" s="87">
        <v>177.02099999999999</v>
      </c>
      <c r="M82" s="1">
        <f t="shared" si="4"/>
        <v>42</v>
      </c>
      <c r="N82" s="85" t="s">
        <v>121</v>
      </c>
      <c r="O82" s="92">
        <f t="shared" si="1"/>
        <v>3.2296700377884069E-2</v>
      </c>
      <c r="P82" s="90">
        <f t="shared" si="2"/>
        <v>3.6844280764463673E-2</v>
      </c>
      <c r="Q82" s="96">
        <f t="shared" si="3"/>
        <v>3.4576283311882429E-2</v>
      </c>
      <c r="R82" s="7"/>
    </row>
    <row r="83" spans="1:20">
      <c r="A83" s="108" t="s">
        <v>139</v>
      </c>
      <c r="C83" s="69"/>
      <c r="D83" s="69"/>
      <c r="E83" s="69"/>
      <c r="F83" s="69"/>
      <c r="G83" s="1"/>
      <c r="H83" s="108" t="s">
        <v>140</v>
      </c>
      <c r="I83" s="69"/>
      <c r="J83" s="85" t="s">
        <v>123</v>
      </c>
      <c r="K83" s="91">
        <v>145.637</v>
      </c>
      <c r="L83" s="87">
        <v>133.49100000000001</v>
      </c>
      <c r="M83" s="1">
        <f t="shared" si="4"/>
        <v>47</v>
      </c>
      <c r="N83" s="85" t="s">
        <v>122</v>
      </c>
      <c r="O83" s="92">
        <f t="shared" si="1"/>
        <v>2.4491262686347291E-2</v>
      </c>
      <c r="P83" s="90">
        <f t="shared" si="2"/>
        <v>2.6207302709069485E-2</v>
      </c>
      <c r="Q83" s="96">
        <f t="shared" si="3"/>
        <v>2.5351468601871065E-2</v>
      </c>
      <c r="R83" s="7"/>
      <c r="T83" s="1"/>
    </row>
    <row r="84" spans="1:20">
      <c r="A84" s="67"/>
      <c r="B84" s="67" t="s">
        <v>141</v>
      </c>
      <c r="C84" s="1"/>
      <c r="D84" s="1"/>
      <c r="E84" s="67" t="s">
        <v>142</v>
      </c>
      <c r="F84" s="67" t="s">
        <v>72</v>
      </c>
      <c r="G84" s="1"/>
      <c r="H84" s="1"/>
      <c r="I84" s="1"/>
      <c r="J84" s="85" t="s">
        <v>124</v>
      </c>
      <c r="K84" s="91">
        <v>133.87200000000001</v>
      </c>
      <c r="L84" s="87">
        <v>108.724</v>
      </c>
      <c r="M84" s="1">
        <f t="shared" si="4"/>
        <v>52</v>
      </c>
      <c r="N84" s="85" t="s">
        <v>123</v>
      </c>
      <c r="O84" s="92">
        <f t="shared" si="1"/>
        <v>2.1671156783573387E-2</v>
      </c>
      <c r="P84" s="90">
        <f t="shared" si="2"/>
        <v>1.9762847605292001E-2</v>
      </c>
      <c r="Q84" s="96">
        <f t="shared" si="3"/>
        <v>2.0714571376432386E-2</v>
      </c>
      <c r="R84" s="97" t="s">
        <v>125</v>
      </c>
      <c r="T84" s="98">
        <f>SUMPRODUCT(M77:M84,Q77:Q84)/SUM(Q77:Q84)</f>
        <v>28.760916366666056</v>
      </c>
    </row>
    <row r="85" spans="1:20">
      <c r="A85" s="68" t="s">
        <v>71</v>
      </c>
      <c r="B85" s="69"/>
      <c r="C85" s="69"/>
      <c r="D85" s="69"/>
      <c r="E85" s="69"/>
      <c r="F85" s="110" t="s">
        <v>145</v>
      </c>
      <c r="G85" s="1"/>
      <c r="H85" s="1"/>
      <c r="I85" s="1"/>
      <c r="J85" s="85" t="s">
        <v>126</v>
      </c>
      <c r="K85" s="91">
        <v>119.526</v>
      </c>
      <c r="L85" s="87">
        <v>97.790999999999997</v>
      </c>
      <c r="M85" s="1">
        <f t="shared" si="4"/>
        <v>57</v>
      </c>
      <c r="N85" s="85" t="s">
        <v>124</v>
      </c>
      <c r="O85" s="92">
        <f t="shared" si="1"/>
        <v>1.9920494798234906E-2</v>
      </c>
      <c r="P85" s="90">
        <f t="shared" si="2"/>
        <v>1.6096185083921518E-2</v>
      </c>
      <c r="Q85" s="90">
        <f t="shared" si="3"/>
        <v>1.8003468507770595E-2</v>
      </c>
      <c r="R85" s="1"/>
      <c r="T85" s="1"/>
    </row>
    <row r="86" spans="1:20">
      <c r="A86" s="71" t="s">
        <v>72</v>
      </c>
      <c r="B86" s="72"/>
      <c r="C86" s="72"/>
      <c r="D86" s="72"/>
      <c r="E86" s="72"/>
      <c r="F86" s="73">
        <f>$K$97*F87+$K$98*F88</f>
        <v>138.2663574709207</v>
      </c>
      <c r="G86" s="1"/>
      <c r="H86" s="1"/>
      <c r="I86" s="1"/>
      <c r="J86" s="85" t="s">
        <v>127</v>
      </c>
      <c r="K86" s="91">
        <v>93.48</v>
      </c>
      <c r="L86" s="87">
        <v>77.844999999999999</v>
      </c>
      <c r="M86" s="1">
        <f t="shared" si="4"/>
        <v>62</v>
      </c>
      <c r="N86" s="85" t="s">
        <v>126</v>
      </c>
      <c r="O86" s="92">
        <f t="shared" si="1"/>
        <v>1.7785773434727387E-2</v>
      </c>
      <c r="P86" s="90">
        <f t="shared" si="2"/>
        <v>1.4477594970216045E-2</v>
      </c>
      <c r="Q86" s="90">
        <f t="shared" si="3"/>
        <v>1.612747022087414E-2</v>
      </c>
      <c r="R86" s="1"/>
      <c r="S86" s="1"/>
      <c r="T86" s="1"/>
    </row>
    <row r="87" spans="1:20">
      <c r="A87" s="74" t="s">
        <v>73</v>
      </c>
      <c r="B87" s="75">
        <f>F87-E87</f>
        <v>464.94711466729416</v>
      </c>
      <c r="C87" s="1"/>
      <c r="D87" s="1"/>
      <c r="E87" s="111">
        <f>(F87/F88)*E88</f>
        <v>18.386218666039131</v>
      </c>
      <c r="F87" s="75">
        <f>B68</f>
        <v>483.33333333333331</v>
      </c>
      <c r="G87" s="1" t="s">
        <v>242</v>
      </c>
      <c r="H87" s="1"/>
      <c r="I87" s="1"/>
      <c r="J87" s="85" t="s">
        <v>128</v>
      </c>
      <c r="K87" s="91">
        <v>65.031000000000006</v>
      </c>
      <c r="L87" s="87">
        <v>54.375999999999998</v>
      </c>
      <c r="M87" s="1">
        <f t="shared" si="4"/>
        <v>67</v>
      </c>
      <c r="N87" s="85" t="s">
        <v>127</v>
      </c>
      <c r="O87" s="92">
        <f t="shared" si="1"/>
        <v>1.3910062251546245E-2</v>
      </c>
      <c r="P87" s="90">
        <f t="shared" si="2"/>
        <v>1.1524663624019266E-2</v>
      </c>
      <c r="Q87" s="90">
        <f t="shared" si="3"/>
        <v>1.2714324399799654E-2</v>
      </c>
      <c r="R87" s="1"/>
      <c r="S87" s="1"/>
      <c r="T87" s="1"/>
    </row>
    <row r="88" spans="1:20">
      <c r="A88" s="74" t="s">
        <v>74</v>
      </c>
      <c r="B88" s="75">
        <f>F88-E88</f>
        <v>57.076266490191983</v>
      </c>
      <c r="C88" s="1"/>
      <c r="D88" s="1"/>
      <c r="E88" s="111">
        <f>G88</f>
        <v>2.2570668431413559</v>
      </c>
      <c r="F88" s="75">
        <f>B69</f>
        <v>59.333333333333336</v>
      </c>
      <c r="G88" s="112">
        <f>IFERROR(D81/(K98+K97*(F87/F88)),0)</f>
        <v>2.2570668431413559</v>
      </c>
      <c r="H88" s="1" t="s">
        <v>244</v>
      </c>
      <c r="I88" s="1"/>
      <c r="J88" s="85" t="s">
        <v>129</v>
      </c>
      <c r="K88" s="91">
        <v>39.71</v>
      </c>
      <c r="L88" s="87">
        <v>31.702000000000002</v>
      </c>
      <c r="M88" s="1">
        <f t="shared" si="4"/>
        <v>72</v>
      </c>
      <c r="N88" s="85" t="s">
        <v>128</v>
      </c>
      <c r="O88" s="92">
        <f t="shared" si="1"/>
        <v>9.6767785438628996E-3</v>
      </c>
      <c r="P88" s="90">
        <f t="shared" si="2"/>
        <v>8.0501651900529454E-3</v>
      </c>
      <c r="Q88" s="90">
        <f t="shared" si="3"/>
        <v>8.8613998751313448E-3</v>
      </c>
      <c r="R88" s="1"/>
      <c r="S88" s="1"/>
      <c r="T88" s="1"/>
    </row>
    <row r="89" spans="1:20">
      <c r="A89" s="68" t="s">
        <v>75</v>
      </c>
      <c r="B89" s="69"/>
      <c r="C89" s="69"/>
      <c r="D89" s="69"/>
      <c r="E89" s="69"/>
      <c r="F89" s="69"/>
      <c r="G89" s="112"/>
      <c r="H89" s="1" t="s">
        <v>245</v>
      </c>
      <c r="I89" s="1"/>
      <c r="J89" s="85" t="s">
        <v>130</v>
      </c>
      <c r="K89" s="91">
        <v>19.734000000000002</v>
      </c>
      <c r="L89" s="87">
        <v>14.645</v>
      </c>
      <c r="M89" s="1">
        <f t="shared" si="4"/>
        <v>77</v>
      </c>
      <c r="N89" s="85" t="s">
        <v>129</v>
      </c>
      <c r="O89" s="92">
        <f t="shared" si="1"/>
        <v>5.9089492084820425E-3</v>
      </c>
      <c r="P89" s="90">
        <f t="shared" si="2"/>
        <v>4.6933635584643684E-3</v>
      </c>
      <c r="Q89" s="90">
        <f t="shared" si="3"/>
        <v>5.2996079617014039E-3</v>
      </c>
      <c r="R89" s="1"/>
      <c r="S89" s="1"/>
      <c r="T89" s="1"/>
    </row>
    <row r="90" spans="1:20">
      <c r="A90" s="74" t="s">
        <v>73</v>
      </c>
      <c r="B90" s="76">
        <f>B71</f>
        <v>1</v>
      </c>
      <c r="C90" s="1"/>
      <c r="D90" s="1"/>
      <c r="E90" s="75">
        <f>(B90/B91)*E91</f>
        <v>16.305267750897091</v>
      </c>
      <c r="F90" s="114">
        <f>(B87*B90+E87*E90)/(B87+E87)</f>
        <v>1.5822193095384913</v>
      </c>
      <c r="G90" s="112"/>
      <c r="H90" s="1" t="s">
        <v>243</v>
      </c>
      <c r="I90" s="1"/>
      <c r="J90" s="85" t="s">
        <v>131</v>
      </c>
      <c r="K90" s="91">
        <v>7.4119999999999999</v>
      </c>
      <c r="L90" s="87">
        <v>4.8890000000000002</v>
      </c>
      <c r="M90" s="1">
        <f t="shared" si="4"/>
        <v>82</v>
      </c>
      <c r="N90" s="85" t="s">
        <v>130</v>
      </c>
      <c r="O90" s="92">
        <f t="shared" si="1"/>
        <v>2.9364694958495248E-3</v>
      </c>
      <c r="P90" s="90">
        <f t="shared" si="2"/>
        <v>2.168137950719534E-3</v>
      </c>
      <c r="Q90" s="90">
        <f t="shared" si="3"/>
        <v>2.5513250170186045E-3</v>
      </c>
      <c r="R90" s="1"/>
      <c r="S90" s="1"/>
      <c r="T90" s="1"/>
    </row>
    <row r="91" spans="1:20">
      <c r="A91" s="74" t="s">
        <v>74</v>
      </c>
      <c r="B91" s="76">
        <f>B72</f>
        <v>2.5</v>
      </c>
      <c r="C91" s="1"/>
      <c r="D91" s="1"/>
      <c r="E91" s="75">
        <f>G91</f>
        <v>40.763169377242725</v>
      </c>
      <c r="F91" s="114">
        <f>(B88*B91+E88*E91)/(B88+E88)</f>
        <v>3.9555482738462286</v>
      </c>
      <c r="G91" s="112">
        <f>IFERROR(D82/(K98+K97*(B90/B91)),0)</f>
        <v>40.763169377242725</v>
      </c>
      <c r="H91" s="1" t="s">
        <v>246</v>
      </c>
      <c r="I91" s="1"/>
      <c r="J91" s="85" t="s">
        <v>132</v>
      </c>
      <c r="K91" s="91">
        <v>1.8620000000000001</v>
      </c>
      <c r="L91" s="87">
        <v>1.052</v>
      </c>
      <c r="M91" s="1">
        <v>88</v>
      </c>
      <c r="N91" s="99" t="s">
        <v>133</v>
      </c>
      <c r="O91" s="100">
        <f>SUM(K90:K93)/K$94</f>
        <v>1.4204691297952552E-3</v>
      </c>
      <c r="P91" s="101">
        <f>SUM(L90:L93)/L$94</f>
        <v>8.9686443874762312E-4</v>
      </c>
      <c r="Q91" s="90">
        <f t="shared" si="3"/>
        <v>9.1287847332225628E-4</v>
      </c>
      <c r="R91" s="1"/>
      <c r="S91" s="1"/>
      <c r="T91" s="1"/>
    </row>
    <row r="92" spans="1:20">
      <c r="A92" s="68" t="s">
        <v>76</v>
      </c>
      <c r="B92" s="69"/>
      <c r="C92" s="69"/>
      <c r="D92" s="69"/>
      <c r="E92" s="69"/>
      <c r="F92" s="69"/>
      <c r="G92" s="1"/>
      <c r="H92" s="1" t="s">
        <v>247</v>
      </c>
      <c r="J92" s="85" t="s">
        <v>134</v>
      </c>
      <c r="K92" s="91">
        <v>0.252</v>
      </c>
      <c r="L92" s="87">
        <v>0.111</v>
      </c>
      <c r="M92" s="1"/>
      <c r="N92" s="102" t="s">
        <v>135</v>
      </c>
      <c r="O92" s="103">
        <f>SUM(O73:O91)</f>
        <v>0.99999999999999989</v>
      </c>
      <c r="P92" s="103">
        <f>SUM(P73:P91)</f>
        <v>0.99999999999999978</v>
      </c>
      <c r="Q92" s="103">
        <f>SUM(Q73:Q91)</f>
        <v>0.99975487866048407</v>
      </c>
      <c r="R92" s="1"/>
      <c r="S92" s="1"/>
      <c r="T92" s="1"/>
    </row>
    <row r="93" spans="1:20">
      <c r="A93" s="74" t="s">
        <v>73</v>
      </c>
      <c r="B93" s="1"/>
      <c r="C93" s="1"/>
      <c r="D93" s="1"/>
      <c r="E93" s="1"/>
      <c r="F93" s="76">
        <f>F90*F87/1000</f>
        <v>0.76473933294360419</v>
      </c>
      <c r="G93" s="1"/>
      <c r="H93" s="1" t="s">
        <v>248</v>
      </c>
      <c r="J93" s="99" t="s">
        <v>136</v>
      </c>
      <c r="K93" s="104">
        <v>0.02</v>
      </c>
      <c r="L93" s="105">
        <v>6.0000000000000001E-3</v>
      </c>
      <c r="M93" s="66" t="s">
        <v>137</v>
      </c>
      <c r="N93" s="85"/>
      <c r="O93" s="90"/>
      <c r="P93" s="90"/>
      <c r="Q93" s="1"/>
      <c r="R93" s="1"/>
      <c r="S93" s="1"/>
      <c r="T93" s="1"/>
    </row>
    <row r="94" spans="1:20">
      <c r="A94" s="74" t="s">
        <v>74</v>
      </c>
      <c r="B94" s="1"/>
      <c r="C94" s="1"/>
      <c r="D94" s="1"/>
      <c r="E94" s="1"/>
      <c r="F94" s="76">
        <f>F91*F88/1000</f>
        <v>0.23469586424820957</v>
      </c>
      <c r="G94" s="1"/>
      <c r="J94" s="102" t="s">
        <v>135</v>
      </c>
      <c r="K94" s="106">
        <f>SUM(K73:K93)</f>
        <v>6720.3150000000005</v>
      </c>
      <c r="L94" s="106">
        <f>SUM(L73:L93)</f>
        <v>6754.6440000000011</v>
      </c>
      <c r="M94" s="53">
        <f>SUM(K94:L94)</f>
        <v>13474.959000000003</v>
      </c>
      <c r="N94" s="85"/>
      <c r="O94" s="90"/>
      <c r="P94" s="158" t="s">
        <v>224</v>
      </c>
      <c r="Q94" s="159">
        <v>13881336</v>
      </c>
      <c r="R94" s="158" t="s">
        <v>225</v>
      </c>
      <c r="S94" s="1" t="s">
        <v>229</v>
      </c>
      <c r="T94" s="1"/>
    </row>
    <row r="95" spans="1:20">
      <c r="B95" s="1"/>
      <c r="C95" s="1"/>
      <c r="D95" s="1"/>
      <c r="E95" s="1"/>
      <c r="F95" s="1"/>
      <c r="G95" s="1"/>
      <c r="J95" s="102" t="s">
        <v>138</v>
      </c>
      <c r="K95" s="107">
        <f>K94/$M$94</f>
        <v>0.49872619278470526</v>
      </c>
      <c r="L95" s="107">
        <f>L94/$M$94</f>
        <v>0.50127380721529469</v>
      </c>
      <c r="M95" s="1"/>
      <c r="N95" s="1"/>
      <c r="O95" s="1"/>
      <c r="P95" s="158" t="s">
        <v>226</v>
      </c>
      <c r="Q95" s="160">
        <v>2.4665054805529722E-2</v>
      </c>
      <c r="R95" s="161" t="s">
        <v>227</v>
      </c>
      <c r="S95" s="1"/>
      <c r="T95" s="1"/>
    </row>
    <row r="96" spans="1:20" s="1" customFormat="1">
      <c r="A96" s="129" t="s">
        <v>172</v>
      </c>
      <c r="B96" s="68" t="s">
        <v>76</v>
      </c>
      <c r="C96" s="69"/>
      <c r="H96" s="76"/>
      <c r="I96" s="66"/>
      <c r="J96"/>
      <c r="K96"/>
      <c r="M96" s="12">
        <v>0</v>
      </c>
      <c r="N96" s="103">
        <f>Q73</f>
        <v>3.7232558555465735E-2</v>
      </c>
      <c r="O96"/>
      <c r="P96" s="158" t="s">
        <v>228</v>
      </c>
      <c r="Q96" s="162">
        <v>4.9000000000000002E-2</v>
      </c>
      <c r="R96" s="158"/>
      <c r="S96"/>
      <c r="T96"/>
    </row>
    <row r="97" spans="1:20" s="1" customFormat="1">
      <c r="A97" s="74" t="s">
        <v>73</v>
      </c>
      <c r="B97" s="76">
        <f>$C$78*F93+(1-$C$78)*B74</f>
        <v>0.55368483323590101</v>
      </c>
      <c r="H97" s="76"/>
      <c r="I97" s="66"/>
      <c r="J97" s="115" t="s">
        <v>151</v>
      </c>
      <c r="K97" s="103">
        <f>Q73+Q74</f>
        <v>0.18616279277732867</v>
      </c>
      <c r="M97" s="138" t="s">
        <v>110</v>
      </c>
      <c r="N97" s="103">
        <f>Q74</f>
        <v>0.14893023422186294</v>
      </c>
      <c r="O97" s="157"/>
      <c r="P97"/>
      <c r="Q97"/>
      <c r="R97"/>
      <c r="S97"/>
      <c r="T97"/>
    </row>
    <row r="98" spans="1:20" s="1" customFormat="1">
      <c r="A98" s="74" t="s">
        <v>74</v>
      </c>
      <c r="B98" s="76">
        <f>$C$78*F94+(1-$C$78)*B75</f>
        <v>0.1699239660620524</v>
      </c>
      <c r="H98" s="76"/>
      <c r="I98" s="66"/>
      <c r="J98" s="115" t="s">
        <v>152</v>
      </c>
      <c r="K98" s="103">
        <f>1-K97</f>
        <v>0.81383720722267139</v>
      </c>
      <c r="M98" s="12" t="s">
        <v>192</v>
      </c>
      <c r="N98" s="103">
        <f>K98</f>
        <v>0.81383720722267139</v>
      </c>
      <c r="O98"/>
      <c r="P98"/>
      <c r="Q98"/>
      <c r="R98"/>
      <c r="S98"/>
      <c r="T98"/>
    </row>
    <row r="99" spans="1:20" s="1" customFormat="1">
      <c r="B99" s="76">
        <f>K97*B97+K98*B98</f>
        <v>0.24136596085378553</v>
      </c>
      <c r="C99" s="66" t="s">
        <v>150</v>
      </c>
      <c r="H99" s="76"/>
      <c r="I99" s="66"/>
    </row>
    <row r="101" spans="1:20">
      <c r="A101" s="3" t="s">
        <v>16</v>
      </c>
    </row>
    <row r="102" spans="1:20">
      <c r="A102" s="67" t="s">
        <v>16</v>
      </c>
      <c r="B102" s="1"/>
      <c r="C102" s="1"/>
      <c r="D102" s="1"/>
      <c r="E102" s="1"/>
    </row>
    <row r="103" spans="1:20">
      <c r="A103" s="84" t="s">
        <v>76</v>
      </c>
      <c r="B103" s="1"/>
      <c r="C103" s="1"/>
      <c r="D103" s="1"/>
      <c r="E103" s="76">
        <v>8.7680618885505063E-3</v>
      </c>
      <c r="F103" s="1" t="s">
        <v>1614</v>
      </c>
    </row>
    <row r="104" spans="1:20">
      <c r="A104" s="84" t="s">
        <v>173</v>
      </c>
      <c r="B104" s="1"/>
      <c r="C104" s="1"/>
      <c r="D104" s="1"/>
      <c r="E104" s="76">
        <v>51.277043999999997</v>
      </c>
      <c r="F104" s="1" t="s">
        <v>1615</v>
      </c>
    </row>
    <row r="105" spans="1:20">
      <c r="A105" s="84" t="s">
        <v>174</v>
      </c>
      <c r="B105" s="1"/>
      <c r="C105" s="1"/>
      <c r="D105" s="1"/>
      <c r="E105" s="76">
        <v>78.107288229700217</v>
      </c>
    </row>
    <row r="107" spans="1:20">
      <c r="A107" s="67" t="s">
        <v>23</v>
      </c>
      <c r="B107" s="1"/>
      <c r="C107" s="1"/>
      <c r="D107" s="1"/>
      <c r="E107" s="1"/>
      <c r="F107" s="1"/>
      <c r="G107" s="1"/>
      <c r="H107" s="1"/>
      <c r="I107" s="1"/>
      <c r="J107" s="66" t="s">
        <v>93</v>
      </c>
      <c r="K107" s="66" t="s">
        <v>181</v>
      </c>
      <c r="L107" s="1" t="s">
        <v>216</v>
      </c>
      <c r="M107" s="66" t="s">
        <v>217</v>
      </c>
      <c r="N107" s="130">
        <f>K110-K108</f>
        <v>414560</v>
      </c>
      <c r="O107" s="66" t="s">
        <v>182</v>
      </c>
      <c r="P107" s="1"/>
      <c r="Q107" s="1"/>
    </row>
    <row r="108" spans="1:20">
      <c r="A108" s="84" t="s">
        <v>76</v>
      </c>
      <c r="B108" s="1"/>
      <c r="C108" s="1"/>
      <c r="D108" s="1"/>
      <c r="E108" s="76">
        <v>4.498753965716764E-2</v>
      </c>
      <c r="F108" s="1" t="s">
        <v>1616</v>
      </c>
      <c r="G108" s="1"/>
      <c r="H108" s="1"/>
      <c r="I108" s="1"/>
      <c r="J108" s="1">
        <v>2006</v>
      </c>
      <c r="K108" s="131">
        <v>3105981</v>
      </c>
      <c r="L108" s="1"/>
      <c r="M108" s="130">
        <v>12019481</v>
      </c>
      <c r="N108" s="1">
        <v>0</v>
      </c>
      <c r="O108" s="66" t="s">
        <v>218</v>
      </c>
      <c r="P108" s="1"/>
      <c r="Q108" s="1"/>
    </row>
    <row r="109" spans="1:20">
      <c r="A109" s="84" t="s">
        <v>173</v>
      </c>
      <c r="B109" s="1"/>
      <c r="C109" s="1"/>
      <c r="D109" s="1"/>
      <c r="E109" s="76">
        <f>1000*N114/(1-C78)</f>
        <v>89.177613662181457</v>
      </c>
      <c r="F109" s="1" t="s">
        <v>1617</v>
      </c>
      <c r="G109" s="132"/>
      <c r="H109" s="1"/>
      <c r="I109" s="1"/>
      <c r="J109" s="1">
        <v>2008</v>
      </c>
      <c r="K109" s="1"/>
      <c r="L109" s="1"/>
      <c r="M109" s="130">
        <v>12620219</v>
      </c>
      <c r="N109" s="133">
        <v>2.0000000000000001E-4</v>
      </c>
      <c r="O109" s="66" t="s">
        <v>219</v>
      </c>
      <c r="P109" s="1"/>
      <c r="Q109" s="1"/>
    </row>
    <row r="110" spans="1:20">
      <c r="A110" s="84" t="s">
        <v>174</v>
      </c>
      <c r="B110" s="1"/>
      <c r="C110" s="1"/>
      <c r="D110" s="1"/>
      <c r="E110" s="76">
        <f>K110/M110*1000</f>
        <v>265.61261199637414</v>
      </c>
      <c r="F110" s="1"/>
      <c r="G110" s="1"/>
      <c r="H110" s="1"/>
      <c r="I110" s="1"/>
      <c r="J110" s="1">
        <v>2010</v>
      </c>
      <c r="K110" s="131">
        <v>3520541</v>
      </c>
      <c r="L110" s="1"/>
      <c r="M110" s="130">
        <v>13254419.560649697</v>
      </c>
      <c r="N110" s="133">
        <f>536/1000-N109</f>
        <v>0.53580000000000005</v>
      </c>
      <c r="O110" s="66" t="s">
        <v>220</v>
      </c>
      <c r="P110" s="1"/>
      <c r="Q110" s="1"/>
    </row>
    <row r="111" spans="1:20">
      <c r="A111" s="1"/>
      <c r="B111" s="1"/>
      <c r="C111" s="1"/>
      <c r="D111" s="1"/>
      <c r="E111" s="1"/>
      <c r="F111" s="1"/>
      <c r="G111" s="1"/>
      <c r="H111" s="132"/>
      <c r="I111" s="1"/>
      <c r="J111" s="1"/>
      <c r="K111" s="1"/>
      <c r="L111" s="1"/>
      <c r="M111" s="1"/>
      <c r="N111" s="133">
        <f>1-(1-N110)^4</f>
        <v>0.95356766282291039</v>
      </c>
      <c r="O111" s="66" t="s">
        <v>183</v>
      </c>
      <c r="P111" s="1"/>
      <c r="Q111" s="1"/>
    </row>
    <row r="112" spans="1:20">
      <c r="A112" s="67" t="s">
        <v>18</v>
      </c>
      <c r="B112" s="1"/>
      <c r="C112" s="1"/>
      <c r="D112" s="1"/>
      <c r="E112" s="1"/>
      <c r="F112" s="156" t="s">
        <v>221</v>
      </c>
      <c r="G112" s="72"/>
      <c r="H112" s="1294" t="s">
        <v>184</v>
      </c>
      <c r="I112" s="1294" t="s">
        <v>185</v>
      </c>
      <c r="J112" s="1"/>
      <c r="K112" s="1"/>
      <c r="L112" s="1"/>
      <c r="M112" s="1"/>
      <c r="N112" s="131">
        <f>K108*N111</f>
        <v>2961763.0429423661</v>
      </c>
      <c r="O112" s="66" t="s">
        <v>186</v>
      </c>
      <c r="P112" s="1"/>
      <c r="Q112" s="1"/>
    </row>
    <row r="113" spans="1:17">
      <c r="A113" s="84" t="s">
        <v>76</v>
      </c>
      <c r="B113" s="1"/>
      <c r="C113" s="1"/>
      <c r="D113" s="1"/>
      <c r="E113" s="112">
        <f>1.80398095334242*E114/ERR!C30</f>
        <v>7.4946493961466978E-2</v>
      </c>
      <c r="F113" s="1" t="s">
        <v>1618</v>
      </c>
      <c r="G113" s="134" t="s">
        <v>187</v>
      </c>
      <c r="H113" s="1295"/>
      <c r="I113" s="1295"/>
      <c r="J113" s="1"/>
      <c r="K113" s="1"/>
      <c r="L113" s="1"/>
      <c r="M113" s="1"/>
      <c r="N113" s="131">
        <f>N112+N107</f>
        <v>3376323.0429423661</v>
      </c>
      <c r="O113" s="66" t="s">
        <v>188</v>
      </c>
      <c r="P113" s="1"/>
      <c r="Q113" s="1"/>
    </row>
    <row r="114" spans="1:17">
      <c r="A114" s="84" t="s">
        <v>173</v>
      </c>
      <c r="B114" s="1"/>
      <c r="C114" s="1"/>
      <c r="D114" s="1"/>
      <c r="E114" s="75">
        <f>ERR!C30*ERR!D30+ERR!C31*ERR!D31</f>
        <v>5</v>
      </c>
      <c r="F114" s="1"/>
      <c r="G114" s="12">
        <v>0</v>
      </c>
      <c r="H114" s="13">
        <v>0.15</v>
      </c>
      <c r="I114" s="113">
        <f>IFERROR((H114/Q73)*$E$113,0)</f>
        <v>0.30193933832059272</v>
      </c>
      <c r="J114" s="1"/>
      <c r="K114" s="1"/>
      <c r="L114" s="1"/>
      <c r="M114" s="1"/>
      <c r="N114" s="135">
        <f>N113/(4*M109)</f>
        <v>6.6883210246636099E-2</v>
      </c>
      <c r="O114" s="66" t="s">
        <v>189</v>
      </c>
      <c r="P114" s="1"/>
      <c r="Q114" s="1"/>
    </row>
    <row r="115" spans="1:17">
      <c r="A115" s="93" t="s">
        <v>190</v>
      </c>
      <c r="B115" s="136" t="s">
        <v>223</v>
      </c>
      <c r="C115" s="136"/>
      <c r="D115" s="136"/>
      <c r="E115" s="137">
        <v>0.5</v>
      </c>
      <c r="F115" s="1"/>
      <c r="G115" s="138" t="s">
        <v>110</v>
      </c>
      <c r="H115" s="13">
        <v>0.75</v>
      </c>
      <c r="I115" s="113">
        <f>IFERROR((H115/Q74)*$E$113,0)</f>
        <v>0.37742417290074093</v>
      </c>
      <c r="J115" s="1"/>
      <c r="K115" s="158" t="s">
        <v>224</v>
      </c>
      <c r="L115" s="159">
        <v>13881336</v>
      </c>
      <c r="M115" s="158" t="s">
        <v>225</v>
      </c>
      <c r="N115" s="1" t="s">
        <v>229</v>
      </c>
      <c r="O115" s="1"/>
      <c r="P115" s="1"/>
      <c r="Q115" s="1"/>
    </row>
    <row r="116" spans="1:17">
      <c r="A116" s="84" t="s">
        <v>191</v>
      </c>
      <c r="B116" s="1"/>
      <c r="C116" s="1"/>
      <c r="D116" s="1"/>
      <c r="E116" s="75">
        <v>221.90234427003278</v>
      </c>
      <c r="F116" s="1"/>
      <c r="G116" s="12" t="s">
        <v>192</v>
      </c>
      <c r="H116" s="139">
        <v>0.1</v>
      </c>
      <c r="I116" s="140">
        <f>IFERROR((H116/K98)*$E$113,0)</f>
        <v>9.2090277141827839E-3</v>
      </c>
      <c r="J116" s="1"/>
      <c r="K116" s="1"/>
      <c r="L116" s="1"/>
      <c r="M116" s="1"/>
      <c r="N116" s="1"/>
      <c r="O116" s="1"/>
      <c r="P116" s="1"/>
      <c r="Q116" s="1"/>
    </row>
    <row r="117" spans="1:17">
      <c r="A117" s="84" t="s">
        <v>174</v>
      </c>
      <c r="B117" s="1"/>
      <c r="C117" s="1"/>
      <c r="D117" s="1"/>
      <c r="E117" s="66" t="s">
        <v>193</v>
      </c>
      <c r="F117" s="1"/>
      <c r="G117" s="1"/>
      <c r="H117" s="13">
        <f>SUM(H114:H116)</f>
        <v>1</v>
      </c>
      <c r="I117" s="113">
        <f>SUMPRODUCT(N96:N98,I114:I116)</f>
        <v>7.4946493961466992E-2</v>
      </c>
      <c r="J117" s="66" t="s">
        <v>194</v>
      </c>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67" t="s">
        <v>180</v>
      </c>
      <c r="B119" s="1"/>
      <c r="C119" s="1"/>
      <c r="D119" s="1"/>
      <c r="E119" s="1"/>
      <c r="F119" s="1"/>
      <c r="G119" s="1"/>
      <c r="H119" s="1"/>
      <c r="I119" s="1"/>
      <c r="J119" s="1"/>
      <c r="K119" s="1"/>
      <c r="L119" s="1"/>
      <c r="M119" s="1"/>
      <c r="N119" s="1"/>
      <c r="O119" s="1"/>
      <c r="P119" s="1"/>
      <c r="Q119" s="1"/>
    </row>
    <row r="120" spans="1:17">
      <c r="A120" s="84" t="s">
        <v>76</v>
      </c>
      <c r="B120" s="1"/>
      <c r="C120" s="1"/>
      <c r="D120" s="1"/>
      <c r="E120" s="1">
        <v>0</v>
      </c>
      <c r="F120" s="1" t="s">
        <v>230</v>
      </c>
      <c r="G120" s="1"/>
      <c r="H120" s="1"/>
      <c r="I120" s="1"/>
      <c r="J120" s="1"/>
      <c r="K120" s="1"/>
      <c r="L120" s="1"/>
      <c r="M120" s="1"/>
      <c r="N120" s="1"/>
      <c r="O120" s="1"/>
      <c r="P120" s="1"/>
      <c r="Q120" s="1"/>
    </row>
    <row r="121" spans="1:17">
      <c r="A121" s="84" t="s">
        <v>173</v>
      </c>
      <c r="B121" s="1"/>
      <c r="C121" s="1"/>
      <c r="D121" s="1"/>
      <c r="E121" s="75">
        <f>10%*(1548811/Q94)*1000/(1-F63)</f>
        <v>14.876675655234726</v>
      </c>
      <c r="F121" s="1" t="s">
        <v>231</v>
      </c>
      <c r="G121" s="1"/>
      <c r="H121" s="1"/>
      <c r="I121" s="1"/>
      <c r="J121" s="1"/>
      <c r="K121" s="1"/>
      <c r="L121" s="1"/>
      <c r="M121" s="1"/>
      <c r="N121" s="1"/>
      <c r="O121" s="1"/>
      <c r="P121" s="1"/>
      <c r="Q121" s="1"/>
    </row>
    <row r="122" spans="1:17">
      <c r="A122" s="84" t="s">
        <v>174</v>
      </c>
      <c r="B122" s="1"/>
      <c r="C122" s="1"/>
      <c r="D122" s="1"/>
      <c r="E122" s="66" t="s">
        <v>193</v>
      </c>
      <c r="F122" s="1"/>
      <c r="G122" s="66" t="s">
        <v>233</v>
      </c>
      <c r="H122" s="1"/>
      <c r="I122" s="72"/>
      <c r="J122" s="141" t="s">
        <v>195</v>
      </c>
      <c r="K122" s="142">
        <v>0.13638095238095246</v>
      </c>
      <c r="L122" s="72" t="s">
        <v>1290</v>
      </c>
      <c r="M122" s="1297" t="s">
        <v>196</v>
      </c>
      <c r="N122" s="1299" t="s">
        <v>197</v>
      </c>
      <c r="O122" s="1" t="s">
        <v>236</v>
      </c>
      <c r="P122" s="1"/>
      <c r="Q122" s="1"/>
    </row>
    <row r="123" spans="1:17">
      <c r="A123" s="84" t="s">
        <v>198</v>
      </c>
      <c r="B123" s="1"/>
      <c r="C123" s="1"/>
      <c r="D123" s="1"/>
      <c r="E123" s="4">
        <f>1/3</f>
        <v>0.33333333333333331</v>
      </c>
      <c r="F123" s="1" t="s">
        <v>232</v>
      </c>
      <c r="G123" s="1"/>
      <c r="H123" s="1"/>
      <c r="I123" s="72"/>
      <c r="J123" s="72"/>
      <c r="K123" s="72"/>
      <c r="L123" s="72"/>
      <c r="M123" s="1297"/>
      <c r="N123" s="1299"/>
      <c r="O123" s="1"/>
      <c r="P123" s="1"/>
      <c r="Q123" s="1"/>
    </row>
    <row r="124" spans="1:17">
      <c r="A124" s="93"/>
      <c r="B124" s="1"/>
      <c r="C124" s="1"/>
      <c r="D124" s="1"/>
      <c r="E124" s="1"/>
      <c r="F124" s="1"/>
      <c r="G124" s="66" t="s">
        <v>199</v>
      </c>
      <c r="H124" s="1" t="s">
        <v>234</v>
      </c>
      <c r="I124" s="143" t="s">
        <v>200</v>
      </c>
      <c r="J124" s="143" t="s">
        <v>201</v>
      </c>
      <c r="K124" s="143" t="s">
        <v>202</v>
      </c>
      <c r="L124" s="143" t="s">
        <v>203</v>
      </c>
      <c r="M124" s="1298"/>
      <c r="N124" s="1300"/>
      <c r="O124" s="1"/>
      <c r="P124" s="1"/>
      <c r="Q124" s="1"/>
    </row>
    <row r="125" spans="1:17">
      <c r="A125" s="1"/>
      <c r="B125" s="1"/>
      <c r="C125" s="1"/>
      <c r="D125" s="1"/>
      <c r="E125" s="1"/>
      <c r="F125" s="1"/>
      <c r="G125" s="66" t="s">
        <v>204</v>
      </c>
      <c r="H125" s="1" t="s">
        <v>234</v>
      </c>
      <c r="I125" s="13">
        <v>0.06</v>
      </c>
      <c r="J125" s="13">
        <v>0.06</v>
      </c>
      <c r="K125" s="13">
        <v>0.03</v>
      </c>
      <c r="L125" s="13">
        <v>0.85</v>
      </c>
      <c r="M125" s="123"/>
      <c r="N125" s="144"/>
      <c r="O125" s="1"/>
      <c r="P125" s="1"/>
      <c r="Q125" s="1"/>
    </row>
    <row r="126" spans="1:17">
      <c r="A126" s="145" t="s">
        <v>205</v>
      </c>
      <c r="B126" s="1"/>
      <c r="C126" s="1"/>
      <c r="D126" s="1"/>
      <c r="E126" s="1"/>
      <c r="F126" s="1"/>
      <c r="G126" s="66" t="s">
        <v>206</v>
      </c>
      <c r="H126" s="1" t="s">
        <v>235</v>
      </c>
      <c r="I126" s="146">
        <f>(3+8)/2/52</f>
        <v>0.10576923076923077</v>
      </c>
      <c r="J126" s="146">
        <f>(2+3)/2/52</f>
        <v>4.807692307692308E-2</v>
      </c>
      <c r="K126" s="146">
        <f>(3+24)/2/52</f>
        <v>0.25961538461538464</v>
      </c>
      <c r="L126" s="146">
        <f>(2+3)/2/52</f>
        <v>4.807692307692308E-2</v>
      </c>
      <c r="M126" s="123"/>
      <c r="N126" s="144"/>
      <c r="O126" s="1"/>
      <c r="P126" s="1"/>
      <c r="Q126" s="1"/>
    </row>
    <row r="127" spans="1:17">
      <c r="A127" s="147" t="s">
        <v>178</v>
      </c>
      <c r="B127" s="1"/>
      <c r="C127" s="1"/>
      <c r="D127" s="147" t="s">
        <v>207</v>
      </c>
      <c r="E127" s="1"/>
      <c r="F127" s="1"/>
      <c r="G127" s="148" t="s">
        <v>208</v>
      </c>
      <c r="H127" s="1"/>
      <c r="I127" s="1"/>
      <c r="J127" s="1"/>
      <c r="K127" s="1"/>
      <c r="L127" s="1"/>
      <c r="M127" s="123"/>
      <c r="N127" s="144"/>
      <c r="O127" s="1"/>
      <c r="P127" s="1"/>
      <c r="Q127" s="1"/>
    </row>
    <row r="128" spans="1:17">
      <c r="A128" s="67" t="s">
        <v>70</v>
      </c>
      <c r="B128" s="1"/>
      <c r="C128" s="1"/>
      <c r="D128" s="175">
        <f>6/365.25</f>
        <v>1.6427104722792608E-2</v>
      </c>
      <c r="E128" s="1" t="s">
        <v>240</v>
      </c>
      <c r="F128" s="1"/>
      <c r="G128" s="148" t="s">
        <v>209</v>
      </c>
      <c r="H128" s="1"/>
      <c r="I128" s="1"/>
      <c r="J128" s="1"/>
      <c r="K128" s="1"/>
      <c r="L128" s="1"/>
      <c r="M128" s="1"/>
      <c r="N128" s="1"/>
      <c r="O128" s="1"/>
      <c r="P128" s="1"/>
      <c r="Q128" s="1"/>
    </row>
    <row r="129" spans="1:17">
      <c r="A129" s="67" t="s">
        <v>16</v>
      </c>
      <c r="B129" s="1"/>
      <c r="C129" s="1"/>
      <c r="D129" s="76">
        <f>E105/E104</f>
        <v>1.5232408527624999</v>
      </c>
      <c r="E129" s="1"/>
      <c r="F129" s="1"/>
      <c r="G129" s="66" t="s">
        <v>210</v>
      </c>
      <c r="H129" s="1" t="s">
        <v>235</v>
      </c>
      <c r="I129" s="146">
        <f>(5+8)/2</f>
        <v>6.5</v>
      </c>
      <c r="J129" s="146">
        <f>(12+20)/2/12</f>
        <v>1.3333333333333333</v>
      </c>
      <c r="K129" s="146">
        <f>(20+50)/2</f>
        <v>35</v>
      </c>
      <c r="L129" s="146">
        <f>(6+17)/2/12</f>
        <v>0.95833333333333337</v>
      </c>
      <c r="M129" s="149">
        <f>SUMPRODUCT($I$125:$L$125,I129:L129)</f>
        <v>2.3345833333333332</v>
      </c>
      <c r="N129" s="150">
        <f>M129*(1-$K$122)</f>
        <v>2.0161906349206347</v>
      </c>
      <c r="O129" s="1"/>
      <c r="P129" s="1"/>
      <c r="Q129" s="1"/>
    </row>
    <row r="130" spans="1:17">
      <c r="A130" s="67" t="s">
        <v>23</v>
      </c>
      <c r="B130" s="1"/>
      <c r="C130" s="1"/>
      <c r="D130" s="76">
        <f>E110/E109</f>
        <v>2.9784673651680751</v>
      </c>
      <c r="E130" s="1"/>
      <c r="F130" s="1"/>
      <c r="G130" s="66" t="s">
        <v>211</v>
      </c>
      <c r="H130" s="1"/>
      <c r="I130" s="1"/>
      <c r="J130" s="1"/>
      <c r="K130" s="1"/>
      <c r="L130" s="1"/>
      <c r="M130" s="123"/>
      <c r="N130" s="144"/>
      <c r="O130" s="1"/>
      <c r="P130" s="1"/>
      <c r="Q130" s="1"/>
    </row>
    <row r="131" spans="1:17">
      <c r="A131" s="67" t="s">
        <v>18</v>
      </c>
      <c r="B131" s="1"/>
      <c r="C131" s="1"/>
      <c r="D131" s="76">
        <f>N129</f>
        <v>2.0161906349206347</v>
      </c>
      <c r="E131" s="1"/>
      <c r="F131" s="1"/>
      <c r="G131" s="84" t="s">
        <v>212</v>
      </c>
      <c r="H131" s="1" t="s">
        <v>237</v>
      </c>
      <c r="I131" s="13">
        <v>0.2</v>
      </c>
      <c r="J131" s="13">
        <v>0.1</v>
      </c>
      <c r="K131" s="13">
        <v>0.2</v>
      </c>
      <c r="L131" s="13">
        <v>0.4</v>
      </c>
      <c r="M131" s="151">
        <f>SUMPRODUCT($I$125:$L$125,I131:L131)</f>
        <v>0.36400000000000005</v>
      </c>
      <c r="N131" s="152">
        <f>M131*(1-$K$122)</f>
        <v>0.31435733333333332</v>
      </c>
      <c r="O131" s="1"/>
      <c r="P131" s="1"/>
      <c r="Q131" s="1"/>
    </row>
    <row r="132" spans="1:17">
      <c r="A132" s="67" t="s">
        <v>180</v>
      </c>
      <c r="B132" s="1"/>
      <c r="C132" s="1"/>
      <c r="D132" s="66" t="s">
        <v>213</v>
      </c>
      <c r="E132" s="1" t="s">
        <v>239</v>
      </c>
      <c r="F132" s="1"/>
      <c r="G132" s="66" t="s">
        <v>214</v>
      </c>
      <c r="H132" s="1" t="s">
        <v>238</v>
      </c>
      <c r="I132" s="1"/>
      <c r="J132" s="1"/>
      <c r="K132" s="132"/>
      <c r="L132" s="132" t="s">
        <v>215</v>
      </c>
      <c r="M132" s="123"/>
      <c r="N132" s="144"/>
      <c r="O132" s="1"/>
      <c r="P132" s="1"/>
      <c r="Q132" s="1"/>
    </row>
    <row r="133" spans="1:17">
      <c r="A133" s="1"/>
      <c r="B133" s="1"/>
      <c r="C133" s="1"/>
      <c r="D133" s="1"/>
      <c r="E133" s="1"/>
      <c r="F133" s="153"/>
      <c r="G133" s="84" t="s">
        <v>212</v>
      </c>
      <c r="H133" s="1"/>
      <c r="I133" s="13"/>
      <c r="J133" s="1"/>
      <c r="K133" s="154"/>
      <c r="L133" s="155">
        <f>23.3%+8.6%+4.4%</f>
        <v>0.36299999999999999</v>
      </c>
      <c r="M133" s="151">
        <f>SUMPRODUCT($I$125:$L$125,I133:L133)</f>
        <v>0.30854999999999999</v>
      </c>
      <c r="N133" s="152">
        <f>M133*(1-$K$122)</f>
        <v>0.26646965714285709</v>
      </c>
      <c r="O133" s="1"/>
      <c r="P133" s="1"/>
      <c r="Q133" s="1"/>
    </row>
    <row r="134" spans="1:17">
      <c r="A134" t="s">
        <v>334</v>
      </c>
      <c r="L134" t="s">
        <v>241</v>
      </c>
    </row>
    <row r="135" spans="1:17">
      <c r="B135" t="s">
        <v>177</v>
      </c>
      <c r="C135" t="s">
        <v>176</v>
      </c>
    </row>
    <row r="136" spans="1:17">
      <c r="A136" s="1">
        <v>0</v>
      </c>
      <c r="B136" s="1">
        <v>47</v>
      </c>
      <c r="C136">
        <v>49.3</v>
      </c>
      <c r="D136" t="s">
        <v>333</v>
      </c>
    </row>
    <row r="137" spans="1:17">
      <c r="A137" t="s">
        <v>110</v>
      </c>
      <c r="B137">
        <v>51.3</v>
      </c>
      <c r="C137">
        <v>52.7</v>
      </c>
    </row>
    <row r="138" spans="1:17">
      <c r="A138" t="s">
        <v>109</v>
      </c>
      <c r="B138">
        <v>50.8</v>
      </c>
      <c r="C138">
        <v>51.7</v>
      </c>
      <c r="E138" s="145" t="s">
        <v>335</v>
      </c>
      <c r="F138" s="1"/>
      <c r="G138" s="1"/>
      <c r="H138" s="1"/>
    </row>
    <row r="139" spans="1:17">
      <c r="A139" s="1" t="s">
        <v>112</v>
      </c>
      <c r="B139" s="1">
        <v>46.7</v>
      </c>
      <c r="C139">
        <v>47.4</v>
      </c>
      <c r="D139" s="1"/>
      <c r="E139" s="168">
        <v>0.1</v>
      </c>
      <c r="F139" s="169" t="s">
        <v>336</v>
      </c>
      <c r="G139" s="170"/>
      <c r="H139" s="1" t="s">
        <v>337</v>
      </c>
      <c r="L139" t="s">
        <v>342</v>
      </c>
    </row>
    <row r="140" spans="1:17">
      <c r="A140" s="1" t="s">
        <v>114</v>
      </c>
      <c r="B140" s="1">
        <v>42.2</v>
      </c>
      <c r="C140" s="1">
        <v>43</v>
      </c>
      <c r="E140" s="171">
        <v>0.04</v>
      </c>
      <c r="F140" s="172" t="s">
        <v>338</v>
      </c>
      <c r="G140" s="173"/>
      <c r="H140" s="1" t="s">
        <v>339</v>
      </c>
    </row>
    <row r="141" spans="1:17">
      <c r="A141" s="1" t="s">
        <v>116</v>
      </c>
      <c r="B141" s="1">
        <v>37.700000000000003</v>
      </c>
      <c r="C141">
        <v>38.700000000000003</v>
      </c>
      <c r="E141" s="171">
        <v>0.1658</v>
      </c>
      <c r="F141" s="172" t="s">
        <v>340</v>
      </c>
      <c r="G141" s="173"/>
      <c r="H141" s="1" t="s">
        <v>341</v>
      </c>
      <c r="L141" t="s">
        <v>343</v>
      </c>
    </row>
    <row r="142" spans="1:17">
      <c r="A142" s="1" t="s">
        <v>118</v>
      </c>
      <c r="B142" s="1">
        <v>33.4</v>
      </c>
      <c r="C142">
        <v>34.700000000000003</v>
      </c>
      <c r="D142" s="1"/>
    </row>
    <row r="143" spans="1:17">
      <c r="A143" t="s">
        <v>119</v>
      </c>
      <c r="B143">
        <v>29.5</v>
      </c>
      <c r="C143" s="1">
        <v>31.6</v>
      </c>
      <c r="D143" s="1"/>
      <c r="E143" s="1"/>
    </row>
    <row r="144" spans="1:17">
      <c r="A144" t="s">
        <v>120</v>
      </c>
      <c r="B144">
        <v>26.3</v>
      </c>
      <c r="C144" s="1">
        <v>29.2</v>
      </c>
      <c r="D144" s="1"/>
    </row>
    <row r="145" spans="1:27">
      <c r="A145" t="s">
        <v>121</v>
      </c>
      <c r="B145">
        <v>23.7</v>
      </c>
      <c r="C145" s="1">
        <v>27.3</v>
      </c>
      <c r="D145" s="1"/>
    </row>
    <row r="146" spans="1:27">
      <c r="A146" t="s">
        <v>122</v>
      </c>
      <c r="B146">
        <v>21.4</v>
      </c>
      <c r="C146" s="1">
        <v>25.1</v>
      </c>
    </row>
    <row r="147" spans="1:27">
      <c r="A147" t="s">
        <v>123</v>
      </c>
      <c r="B147">
        <v>18.8</v>
      </c>
      <c r="C147">
        <v>22.2</v>
      </c>
    </row>
    <row r="148" spans="1:27">
      <c r="A148" t="s">
        <v>124</v>
      </c>
      <c r="B148">
        <v>16.2</v>
      </c>
      <c r="C148">
        <v>19.100000000000001</v>
      </c>
    </row>
    <row r="149" spans="1:27">
      <c r="A149" t="s">
        <v>126</v>
      </c>
      <c r="B149">
        <v>13.7</v>
      </c>
      <c r="C149">
        <v>15.9</v>
      </c>
    </row>
    <row r="150" spans="1:27">
      <c r="A150" t="s">
        <v>127</v>
      </c>
      <c r="B150">
        <v>11.2</v>
      </c>
      <c r="C150">
        <v>12.8</v>
      </c>
    </row>
    <row r="151" spans="1:27">
      <c r="A151" t="s">
        <v>128</v>
      </c>
      <c r="B151">
        <v>8.8000000000000007</v>
      </c>
      <c r="C151">
        <v>10</v>
      </c>
    </row>
    <row r="152" spans="1:27">
      <c r="A152" t="s">
        <v>129</v>
      </c>
      <c r="B152">
        <v>6.8</v>
      </c>
      <c r="C152">
        <v>7.6</v>
      </c>
    </row>
    <row r="153" spans="1:27">
      <c r="A153" t="s">
        <v>130</v>
      </c>
      <c r="B153">
        <v>5.0999999999999996</v>
      </c>
      <c r="C153">
        <v>5.7</v>
      </c>
    </row>
    <row r="154" spans="1:27">
      <c r="A154" t="s">
        <v>133</v>
      </c>
      <c r="B154">
        <v>2.5999999999999996</v>
      </c>
      <c r="C154">
        <v>2.8250000000000002</v>
      </c>
    </row>
    <row r="156" spans="1:27">
      <c r="A156" s="67" t="s">
        <v>332</v>
      </c>
      <c r="D156" s="1"/>
      <c r="E156" t="s">
        <v>330</v>
      </c>
      <c r="L156" s="1" t="s">
        <v>16</v>
      </c>
      <c r="O156" s="1"/>
      <c r="T156" t="s">
        <v>23</v>
      </c>
    </row>
    <row r="157" spans="1:27">
      <c r="A157" s="67" t="s">
        <v>329</v>
      </c>
      <c r="B157" t="s">
        <v>344</v>
      </c>
      <c r="C157" t="s">
        <v>366</v>
      </c>
      <c r="D157" s="1" t="s">
        <v>367</v>
      </c>
      <c r="E157" t="s">
        <v>345</v>
      </c>
      <c r="F157" t="s">
        <v>362</v>
      </c>
      <c r="G157" t="s">
        <v>331</v>
      </c>
      <c r="H157" t="s">
        <v>364</v>
      </c>
      <c r="I157" s="1" t="s">
        <v>365</v>
      </c>
      <c r="J157" s="1" t="s">
        <v>363</v>
      </c>
      <c r="K157" s="1" t="s">
        <v>331</v>
      </c>
      <c r="L157" t="s">
        <v>345</v>
      </c>
      <c r="M157" s="1" t="s">
        <v>362</v>
      </c>
      <c r="N157" s="1" t="s">
        <v>331</v>
      </c>
      <c r="O157" s="1" t="s">
        <v>367</v>
      </c>
      <c r="P157" s="1" t="s">
        <v>364</v>
      </c>
      <c r="Q157" s="1" t="s">
        <v>365</v>
      </c>
      <c r="R157" s="1" t="s">
        <v>363</v>
      </c>
      <c r="S157" s="1" t="s">
        <v>331</v>
      </c>
      <c r="T157" s="1" t="s">
        <v>345</v>
      </c>
      <c r="U157" s="1" t="s">
        <v>362</v>
      </c>
      <c r="V157" s="1" t="s">
        <v>331</v>
      </c>
      <c r="W157" s="1" t="s">
        <v>367</v>
      </c>
      <c r="X157" s="1" t="s">
        <v>364</v>
      </c>
      <c r="Y157" s="1" t="s">
        <v>365</v>
      </c>
      <c r="Z157" s="1" t="s">
        <v>363</v>
      </c>
      <c r="AA157" s="1" t="s">
        <v>331</v>
      </c>
    </row>
    <row r="158" spans="1:27" ht="15.75">
      <c r="A158" s="164">
        <v>0</v>
      </c>
      <c r="B158" s="174">
        <v>0.1</v>
      </c>
      <c r="C158">
        <f>($E$141*EXP($E$139*$B158)/($E$140+$E$139)^2)*(EXP(-($E$140+$E$139)*($B158+AVERAGE($B136:$C136)))*(-($E$140+$E$139)*($B158+AVERAGE($B136:$C136))-1)-EXP(-($E$140+$E$139)*$B158)*(-($E$140+$E$139)*$B158-1))</f>
        <v>8.4661744713244396</v>
      </c>
      <c r="D158" s="1">
        <f>($E$141*EXP($E$139*$B158)/($E$140+$E$139)^2)*(EXP(-($E$140+$E$139)*($B158+$D$128))*(-($E$140+$E$139)*($B158+$D$128)-1)-EXP(-($E$140+$E$139)*$B158)*(-($E$140+$E$139)*$B158-1))</f>
        <v>2.9320953866862495E-4</v>
      </c>
      <c r="E158" s="1">
        <f>($B$30*$Q73)*(B$97/1000)</f>
        <v>4.4264295575072587</v>
      </c>
      <c r="F158">
        <f>E158*C158</f>
        <v>37.474924918883886</v>
      </c>
      <c r="G158">
        <f>F158*(1-$B$23)</f>
        <v>20.985957954574978</v>
      </c>
      <c r="H158">
        <v>0.11935374999999998</v>
      </c>
      <c r="I158" s="125">
        <f>($F$87/1000)*$B$30*$Q73*H158</f>
        <v>461.18348434312884</v>
      </c>
      <c r="J158" s="125">
        <f>I158*D158</f>
        <v>0.13522339668583783</v>
      </c>
      <c r="K158">
        <f>J158*(1-B$23)</f>
        <v>7.572510214406919E-2</v>
      </c>
      <c r="L158" s="1">
        <f t="shared" ref="L158:L176" si="5">($B$30*$Q73)*(E$103/1000)</f>
        <v>7.0096209929949638E-2</v>
      </c>
      <c r="M158">
        <f t="shared" ref="M158:M176" si="6">L158*C158</f>
        <v>0.59344674304553835</v>
      </c>
      <c r="N158">
        <f>M158*(1-$B$24)</f>
        <v>0.54448738674428143</v>
      </c>
      <c r="O158" s="1">
        <f>($E$141*EXP($E$139*$B158)/($E$140+$E$139)^2)*(EXP(-($E$140+$E$139)*($B158+$D$129))*(-($E$140+$E$139)*($B158+$D$129)-1)-EXP(-($E$140+$E$139)*$B158)*(-($E$140+$E$139)*$B158-1))</f>
        <v>0.18905774945969325</v>
      </c>
      <c r="P158">
        <v>8.2637500000000003E-2</v>
      </c>
      <c r="Q158" s="1">
        <f>P158*($B$30*$Q73)*(E$104/1000)</f>
        <v>33.87591864975348</v>
      </c>
      <c r="R158">
        <f>Q158*O158</f>
        <v>6.4045049408020436</v>
      </c>
      <c r="S158">
        <f>R158*(1-$B$24)</f>
        <v>5.876133283185875</v>
      </c>
      <c r="T158" s="1">
        <f t="shared" ref="T158:T176" si="7">($B$30*$Q73)*(E$108/1000)</f>
        <v>0.35965257363871911</v>
      </c>
      <c r="U158">
        <f>T158*C158</f>
        <v>3.0448814374862567</v>
      </c>
      <c r="V158">
        <f>U158*(1-$B$27)</f>
        <v>1.8726020840540478</v>
      </c>
      <c r="W158" s="1">
        <f>($E$141*EXP($E$139*$B158)/($E$140+$E$139)^2)*(EXP(-($E$140+$E$139)*($B158+$D$130))*(-($E$140+$E$139)*($B158+$D$130)-1)-EXP(-($E$140+$E$139)*$B158)*(-($E$140+$E$139)*$B158-1))</f>
        <v>0.59767300213457875</v>
      </c>
      <c r="X158">
        <v>5.1999999999999998E-3</v>
      </c>
      <c r="Y158" s="1">
        <f>X158*($B$30*$Q73)*(E$109/1000)</f>
        <v>3.7072350310038624</v>
      </c>
      <c r="Z158">
        <f>Y158*W158</f>
        <v>2.2157142905985565</v>
      </c>
      <c r="AA158">
        <f>Z158*(1-$B$27)</f>
        <v>1.3626642887181122</v>
      </c>
    </row>
    <row r="159" spans="1:27" ht="15.75">
      <c r="A159" s="165" t="s">
        <v>110</v>
      </c>
      <c r="B159" s="174">
        <v>2.6</v>
      </c>
      <c r="C159" s="1">
        <f t="shared" ref="C159:C176" si="8">($E$141*EXP($E$139*$B159)/($E$140+$E$139)^2)*(EXP(-($E$140+$E$139)*($B159+AVERAGE($B137:$C137)))*(-($E$140+$E$139)*($B159+AVERAGE($B137:$C137))-1)-EXP(-($E$140+$E$139)*$B159)*(-($E$140+$E$139)*$B159-1))</f>
        <v>10.353215353808007</v>
      </c>
      <c r="D159" s="1">
        <f t="shared" ref="D159:D176" si="9">($E$141*EXP($E$139*$B159)/($E$140+$E$139)^2)*(EXP(-($E$140+$E$139)*($B159+$D$128))*(-($E$140+$E$139)*($B159+$D$128)-1)-EXP(-($E$140+$E$139)*$B159)*(-($E$140+$E$139)*$B159-1))</f>
        <v>6.3947305622559921E-3</v>
      </c>
      <c r="E159" s="1">
        <f>($B$30*$Q74)*(B$97/1000)</f>
        <v>17.705718230029035</v>
      </c>
      <c r="F159" s="1">
        <f t="shared" ref="F159:F176" si="10">E159*C159</f>
        <v>183.31111382933494</v>
      </c>
      <c r="G159" s="1">
        <f t="shared" ref="G159:G161" si="11">F159*(1-$B$23)</f>
        <v>102.65422374442758</v>
      </c>
      <c r="H159">
        <f>H158</f>
        <v>0.11935374999999998</v>
      </c>
      <c r="I159" s="125">
        <f>($F$87/1000)*$B$30*$Q74*H159</f>
        <v>1844.7339373725154</v>
      </c>
      <c r="J159" s="125">
        <f t="shared" ref="J159:J176" si="12">I159*D159</f>
        <v>11.796576488546854</v>
      </c>
      <c r="K159" s="1">
        <f>J159*(1-B$23)</f>
        <v>6.6060828335862389</v>
      </c>
      <c r="L159" s="1">
        <f t="shared" si="5"/>
        <v>0.28038483971979855</v>
      </c>
      <c r="M159" s="1">
        <f t="shared" si="6"/>
        <v>2.9028846275620155</v>
      </c>
      <c r="N159" s="1">
        <f t="shared" ref="N159:N176" si="13">M159*(1-$B$24)</f>
        <v>2.6633966457881493</v>
      </c>
      <c r="O159" s="1">
        <f t="shared" ref="O159:O176" si="14">($E$141*EXP($E$139*$B159)/($E$140+$E$139)^2)*(EXP(-($E$140+$E$139)*($B159+$D$129))*(-($E$140+$E$139)*($B159+$D$129)-1)-EXP(-($E$140+$E$139)*$B159)*(-($E$140+$E$139)*$B159-1))</f>
        <v>0.68350491300247407</v>
      </c>
      <c r="P159">
        <f>P158</f>
        <v>8.2637500000000003E-2</v>
      </c>
      <c r="Q159" s="1">
        <f t="shared" ref="Q159:Q176" si="15">P159*($B$30*$Q74)*(E$104/1000)</f>
        <v>135.50367459901392</v>
      </c>
      <c r="R159" s="1">
        <f t="shared" ref="R159:R176" si="16">Q159*O159</f>
        <v>92.617427318314569</v>
      </c>
      <c r="S159" s="1">
        <f t="shared" ref="S159:S176" si="17">R159*(1-$B$24)</f>
        <v>84.976489564553617</v>
      </c>
      <c r="T159" s="1">
        <f t="shared" si="7"/>
        <v>1.4386102945548764</v>
      </c>
      <c r="U159" s="1">
        <f t="shared" ref="U159:U176" si="18">T159*C159</f>
        <v>14.894242189731807</v>
      </c>
      <c r="V159" s="1">
        <f t="shared" ref="V159:V176" si="19">U159*(1-$B$27)</f>
        <v>9.1599589466850606</v>
      </c>
      <c r="W159" s="1">
        <f t="shared" ref="W159:W176" si="20">($E$141*EXP($E$139*$B159)/($E$140+$E$139)^2)*(EXP(-($E$140+$E$139)*($B159+$D$130))*(-($E$140+$E$139)*($B159+$D$130)-1)-EXP(-($E$140+$E$139)*$B159)*(-($E$140+$E$139)*$B159-1))</f>
        <v>1.4505957361759505</v>
      </c>
      <c r="X159">
        <f>X158</f>
        <v>5.1999999999999998E-3</v>
      </c>
      <c r="Y159" s="1">
        <f t="shared" ref="Y159:Y176" si="21">X159*($B$30*$Q74)*(E$109/1000)</f>
        <v>14.82894012401545</v>
      </c>
      <c r="Z159" s="1">
        <f t="shared" ref="Z159:Z176" si="22">Y159*W159</f>
        <v>21.510797315905283</v>
      </c>
      <c r="AA159" s="1">
        <f t="shared" ref="AA159:AA176" si="23">Z159*(1-$B$27)</f>
        <v>13.229140349281749</v>
      </c>
    </row>
    <row r="160" spans="1:27" ht="15.75">
      <c r="A160" s="165" t="s">
        <v>109</v>
      </c>
      <c r="B160" s="174">
        <v>7.29</v>
      </c>
      <c r="C160" s="1">
        <f t="shared" si="8"/>
        <v>12.724858250494215</v>
      </c>
      <c r="D160" s="1">
        <f t="shared" si="9"/>
        <v>1.4832773412562837E-2</v>
      </c>
      <c r="E160" s="1">
        <f t="shared" ref="E160:E176" si="24">($B$30*$Q75)*(B$98/1000)</f>
        <v>5.49044984953788</v>
      </c>
      <c r="F160" s="1">
        <f t="shared" si="10"/>
        <v>69.865196066816807</v>
      </c>
      <c r="G160" s="1">
        <f t="shared" si="11"/>
        <v>39.124509797417417</v>
      </c>
      <c r="H160">
        <v>9.4147624999999999E-2</v>
      </c>
      <c r="I160" s="125">
        <f>($F$88/1000)*$B$30*$Q75*H160</f>
        <v>180.49343467767309</v>
      </c>
      <c r="J160" s="125">
        <f t="shared" si="12"/>
        <v>2.6772182190291365</v>
      </c>
      <c r="K160" s="1">
        <f>J160*(1-B$23)</f>
        <v>1.4992422026563166</v>
      </c>
      <c r="L160" s="1">
        <f t="shared" si="5"/>
        <v>0.28330673531449402</v>
      </c>
      <c r="M160" s="1">
        <f t="shared" si="6"/>
        <v>3.60503804828722</v>
      </c>
      <c r="N160" s="1">
        <f t="shared" si="13"/>
        <v>3.3076224093035242</v>
      </c>
      <c r="O160" s="1">
        <f t="shared" si="14"/>
        <v>1.3634833418606551</v>
      </c>
      <c r="P160">
        <v>7.9825000000000007E-2</v>
      </c>
      <c r="Q160" s="1">
        <f t="shared" si="15"/>
        <v>132.25594449824067</v>
      </c>
      <c r="R160" s="1">
        <f t="shared" si="16"/>
        <v>180.32877718539851</v>
      </c>
      <c r="S160" s="1">
        <f t="shared" si="17"/>
        <v>165.45165306760313</v>
      </c>
      <c r="T160" s="1">
        <f t="shared" si="7"/>
        <v>1.4536020790120683</v>
      </c>
      <c r="U160" s="1">
        <f t="shared" si="18"/>
        <v>18.49688040805226</v>
      </c>
      <c r="V160" s="1">
        <f t="shared" si="19"/>
        <v>11.37558145095214</v>
      </c>
      <c r="W160" s="1">
        <f t="shared" si="20"/>
        <v>2.6172968549407627</v>
      </c>
      <c r="X160" s="1">
        <f t="shared" ref="X160:X176" si="25">X159</f>
        <v>5.1999999999999998E-3</v>
      </c>
      <c r="Y160" s="1">
        <f t="shared" si="21"/>
        <v>14.983472783005373</v>
      </c>
      <c r="Z160" s="1">
        <f t="shared" si="22"/>
        <v>39.216196191050479</v>
      </c>
      <c r="AA160" s="1">
        <f t="shared" si="23"/>
        <v>24.117960657496045</v>
      </c>
    </row>
    <row r="161" spans="1:27" ht="15.75">
      <c r="A161" s="166" t="s">
        <v>112</v>
      </c>
      <c r="B161" s="174">
        <v>12.94</v>
      </c>
      <c r="C161" s="1">
        <f t="shared" si="8"/>
        <v>14.108660311691958</v>
      </c>
      <c r="D161" s="1">
        <f t="shared" si="9"/>
        <v>2.0992549104309782E-2</v>
      </c>
      <c r="E161" s="1">
        <f t="shared" si="24"/>
        <v>4.695511346303185</v>
      </c>
      <c r="F161" s="1">
        <f t="shared" si="10"/>
        <v>66.247374574687015</v>
      </c>
      <c r="G161" s="1">
        <f t="shared" si="11"/>
        <v>37.098529761824729</v>
      </c>
      <c r="H161">
        <f>H160</f>
        <v>9.4147624999999999E-2</v>
      </c>
      <c r="I161" s="125">
        <f t="shared" ref="I161:I176" si="26">($F$88/1000)*$B$30*$Q76*H161</f>
        <v>154.36057038815858</v>
      </c>
      <c r="J161" s="125">
        <f t="shared" si="12"/>
        <v>3.2404218536426854</v>
      </c>
      <c r="K161" s="1">
        <f>J161*(1-B$23)</f>
        <v>1.8146362380399039</v>
      </c>
      <c r="L161" s="1">
        <f t="shared" si="5"/>
        <v>0.24228797759900966</v>
      </c>
      <c r="M161" s="1">
        <f t="shared" si="6"/>
        <v>3.4183587735512577</v>
      </c>
      <c r="N161" s="1">
        <f t="shared" si="13"/>
        <v>3.1363441747332788</v>
      </c>
      <c r="O161" s="1">
        <f t="shared" si="14"/>
        <v>1.8534939199521363</v>
      </c>
      <c r="P161">
        <f>P160</f>
        <v>7.9825000000000007E-2</v>
      </c>
      <c r="Q161" s="1">
        <f t="shared" si="15"/>
        <v>113.10717792273476</v>
      </c>
      <c r="R161" s="1">
        <f t="shared" si="16"/>
        <v>209.6434665827334</v>
      </c>
      <c r="S161" s="1">
        <f t="shared" si="17"/>
        <v>192.34788058965788</v>
      </c>
      <c r="T161" s="1">
        <f t="shared" si="7"/>
        <v>1.2431413166601539</v>
      </c>
      <c r="U161" s="1">
        <f t="shared" si="18"/>
        <v>17.539058556187598</v>
      </c>
      <c r="V161" s="1">
        <f t="shared" si="19"/>
        <v>10.786521012055372</v>
      </c>
      <c r="W161" s="1">
        <f t="shared" si="20"/>
        <v>3.4475228841878658</v>
      </c>
      <c r="X161" s="1">
        <f t="shared" si="25"/>
        <v>5.1999999999999998E-3</v>
      </c>
      <c r="Y161" s="1">
        <f t="shared" si="21"/>
        <v>12.814080519385552</v>
      </c>
      <c r="Z161" s="1">
        <f t="shared" si="22"/>
        <v>44.176835830407626</v>
      </c>
      <c r="AA161" s="1">
        <f t="shared" si="23"/>
        <v>27.16875403570069</v>
      </c>
    </row>
    <row r="162" spans="1:27" ht="15.75">
      <c r="A162" s="167" t="s">
        <v>114</v>
      </c>
      <c r="B162" s="174">
        <v>18.05</v>
      </c>
      <c r="C162" s="1">
        <f t="shared" si="8"/>
        <v>14.393282378976728</v>
      </c>
      <c r="D162" s="1">
        <f t="shared" si="9"/>
        <v>2.3864939986242891E-2</v>
      </c>
      <c r="E162" s="1">
        <f t="shared" si="24"/>
        <v>3.90364062964071</v>
      </c>
      <c r="F162" s="1">
        <f t="shared" si="10"/>
        <v>56.186201888465256</v>
      </c>
      <c r="G162" s="1">
        <f>F162*(1-$B$23/2)</f>
        <v>43.8252374730029</v>
      </c>
      <c r="H162">
        <v>8.5758749999999995E-2</v>
      </c>
      <c r="I162" s="125">
        <f t="shared" si="26"/>
        <v>116.89404394951755</v>
      </c>
      <c r="J162" s="125">
        <f t="shared" si="12"/>
        <v>2.7896693436044755</v>
      </c>
      <c r="K162" s="1">
        <f t="shared" ref="K162:K176" si="27">J162*(1-B$23/2)</f>
        <v>2.175942088011491</v>
      </c>
      <c r="L162" s="1">
        <f t="shared" si="5"/>
        <v>0.20142751740417211</v>
      </c>
      <c r="M162" s="1">
        <f t="shared" si="6"/>
        <v>2.8992031368944988</v>
      </c>
      <c r="N162" s="1">
        <f t="shared" si="13"/>
        <v>2.6600188781007028</v>
      </c>
      <c r="O162" s="1">
        <f t="shared" si="14"/>
        <v>2.0754340742302122</v>
      </c>
      <c r="P162">
        <v>7.9612500000000003E-2</v>
      </c>
      <c r="Q162" s="1">
        <f t="shared" si="15"/>
        <v>93.78198840271962</v>
      </c>
      <c r="R162" s="1">
        <f t="shared" si="16"/>
        <v>194.63833428006689</v>
      </c>
      <c r="S162" s="1">
        <f t="shared" si="17"/>
        <v>178.58067170196136</v>
      </c>
      <c r="T162" s="1">
        <f t="shared" si="7"/>
        <v>1.0334927538659355</v>
      </c>
      <c r="U162" s="1">
        <f t="shared" si="18"/>
        <v>14.875353043018704</v>
      </c>
      <c r="V162" s="1">
        <f t="shared" si="19"/>
        <v>9.1483421214565031</v>
      </c>
      <c r="W162" s="1">
        <f t="shared" si="20"/>
        <v>3.8125806213555706</v>
      </c>
      <c r="X162" s="1">
        <v>5.899999999999999E-3</v>
      </c>
      <c r="Y162" s="1">
        <f t="shared" si="21"/>
        <v>12.087126069855968</v>
      </c>
      <c r="Z162" s="1">
        <f t="shared" si="22"/>
        <v>46.083142621814581</v>
      </c>
      <c r="AA162" s="1">
        <f t="shared" si="23"/>
        <v>28.341132712415966</v>
      </c>
    </row>
    <row r="163" spans="1:27" ht="15.75">
      <c r="A163" s="167" t="s">
        <v>116</v>
      </c>
      <c r="B163" s="174">
        <v>22.54</v>
      </c>
      <c r="C163" s="1">
        <f>($E$141*EXP($E$139*$B163)/($E$140+$E$139)^2)*(EXP(-($E$140+$E$139)*($B163+AVERAGE($B141:$C141)))*(-($E$140+$E$139)*($B163+AVERAGE($B141:$C141))-1)-EXP(-($E$140+$E$139)*$B163)*(-($E$140+$E$139)*$B163-1))</f>
        <v>14.114030970112156</v>
      </c>
      <c r="D163" s="1">
        <f t="shared" si="9"/>
        <v>2.4899947272747327E-2</v>
      </c>
      <c r="E163" s="1">
        <f t="shared" si="24"/>
        <v>3.3373212715417773</v>
      </c>
      <c r="F163" s="1">
        <f t="shared" si="10"/>
        <v>47.103055783754726</v>
      </c>
      <c r="G163" s="1">
        <f t="shared" ref="G163:G176" si="28">F163*(1-$B$23/2)</f>
        <v>36.740383511328687</v>
      </c>
      <c r="H163">
        <f>H162</f>
        <v>8.5758749999999995E-2</v>
      </c>
      <c r="I163" s="125">
        <f t="shared" si="26"/>
        <v>99.935679638924711</v>
      </c>
      <c r="J163" s="125">
        <f t="shared" si="12"/>
        <v>2.488393153675394</v>
      </c>
      <c r="K163" s="1">
        <f t="shared" si="27"/>
        <v>1.9409466598668075</v>
      </c>
      <c r="L163" s="1">
        <f t="shared" si="5"/>
        <v>0.17220548771895194</v>
      </c>
      <c r="M163" s="1">
        <f t="shared" si="6"/>
        <v>2.4305135868885563</v>
      </c>
      <c r="N163" s="1">
        <f t="shared" si="13"/>
        <v>2.2299962159702504</v>
      </c>
      <c r="O163" s="1">
        <f t="shared" si="14"/>
        <v>2.1487706159375377</v>
      </c>
      <c r="P163">
        <f>P162</f>
        <v>7.9612500000000003E-2</v>
      </c>
      <c r="Q163" s="1">
        <f t="shared" si="15"/>
        <v>80.176597816763433</v>
      </c>
      <c r="R163" s="1">
        <f t="shared" si="16"/>
        <v>172.28111747450299</v>
      </c>
      <c r="S163" s="1">
        <f t="shared" si="17"/>
        <v>158.06792528285649</v>
      </c>
      <c r="T163" s="1">
        <f t="shared" si="7"/>
        <v>0.88355913842881861</v>
      </c>
      <c r="U163" s="1">
        <f t="shared" si="18"/>
        <v>12.470581043709959</v>
      </c>
      <c r="V163" s="1">
        <f t="shared" si="19"/>
        <v>7.6694073418816249</v>
      </c>
      <c r="W163" s="1">
        <f t="shared" si="20"/>
        <v>3.9217762444997675</v>
      </c>
      <c r="X163" s="1">
        <f t="shared" si="25"/>
        <v>5.899999999999999E-3</v>
      </c>
      <c r="Y163" s="1">
        <f t="shared" si="21"/>
        <v>10.333590299896596</v>
      </c>
      <c r="Z163" s="1">
        <f t="shared" si="22"/>
        <v>40.526028958527696</v>
      </c>
      <c r="AA163" s="1">
        <f t="shared" si="23"/>
        <v>24.923507809494534</v>
      </c>
    </row>
    <row r="164" spans="1:27" ht="15.75">
      <c r="A164" s="167" t="s">
        <v>118</v>
      </c>
      <c r="B164" s="174">
        <v>27.49</v>
      </c>
      <c r="C164" s="1">
        <f t="shared" si="8"/>
        <v>13.427840707880669</v>
      </c>
      <c r="D164" s="1">
        <f t="shared" si="9"/>
        <v>2.4911534040205515E-2</v>
      </c>
      <c r="E164" s="1">
        <f t="shared" si="24"/>
        <v>2.8282040838971416</v>
      </c>
      <c r="F164" s="1">
        <f t="shared" si="10"/>
        <v>37.976673927948397</v>
      </c>
      <c r="G164" s="1">
        <f t="shared" si="28"/>
        <v>29.621805663799751</v>
      </c>
      <c r="H164" s="1">
        <f t="shared" ref="H164:H168" si="29">H163</f>
        <v>8.5758749999999995E-2</v>
      </c>
      <c r="I164" s="125">
        <f t="shared" si="26"/>
        <v>84.690227366474019</v>
      </c>
      <c r="J164" s="125">
        <f t="shared" si="12"/>
        <v>2.1097634819126623</v>
      </c>
      <c r="K164" s="1">
        <f t="shared" si="27"/>
        <v>1.6456155158918766</v>
      </c>
      <c r="L164" s="1">
        <f t="shared" si="5"/>
        <v>0.14593508506037225</v>
      </c>
      <c r="M164" s="1">
        <f t="shared" si="6"/>
        <v>1.9595930758816946</v>
      </c>
      <c r="N164" s="1">
        <f t="shared" si="13"/>
        <v>1.7979266471214548</v>
      </c>
      <c r="O164" s="1">
        <f t="shared" si="14"/>
        <v>2.1376933845712758</v>
      </c>
      <c r="P164" s="1">
        <f t="shared" ref="P164:P168" si="30">P163</f>
        <v>7.9612500000000003E-2</v>
      </c>
      <c r="Q164" s="1">
        <f t="shared" si="15"/>
        <v>67.945445741755719</v>
      </c>
      <c r="R164" s="1">
        <f t="shared" si="16"/>
        <v>145.24652987389777</v>
      </c>
      <c r="S164" s="1">
        <f t="shared" si="17"/>
        <v>133.2636911593012</v>
      </c>
      <c r="T164" s="1">
        <f t="shared" si="7"/>
        <v>0.74876985472680857</v>
      </c>
      <c r="U164" s="1">
        <f t="shared" si="18"/>
        <v>10.054362336134535</v>
      </c>
      <c r="V164" s="1">
        <f t="shared" si="19"/>
        <v>6.1834328367227389</v>
      </c>
      <c r="W164" s="1">
        <f t="shared" si="20"/>
        <v>3.8829279521177043</v>
      </c>
      <c r="X164" s="1">
        <f t="shared" si="25"/>
        <v>5.899999999999999E-3</v>
      </c>
      <c r="Y164" s="1">
        <f t="shared" si="21"/>
        <v>8.75717376588854</v>
      </c>
      <c r="Z164" s="1">
        <f t="shared" si="22"/>
        <v>34.003474797120475</v>
      </c>
      <c r="AA164" s="1">
        <f t="shared" si="23"/>
        <v>20.912137000229091</v>
      </c>
    </row>
    <row r="165" spans="1:27" ht="15.75">
      <c r="A165" s="167" t="s">
        <v>119</v>
      </c>
      <c r="B165" s="174">
        <v>32.57</v>
      </c>
      <c r="C165" s="1">
        <f t="shared" si="8"/>
        <v>12.467721640650874</v>
      </c>
      <c r="D165" s="1">
        <f t="shared" si="9"/>
        <v>2.4086551524992658E-2</v>
      </c>
      <c r="E165" s="1">
        <f t="shared" si="24"/>
        <v>2.3497972539772354</v>
      </c>
      <c r="F165" s="1">
        <f t="shared" si="10"/>
        <v>29.296618074553976</v>
      </c>
      <c r="G165" s="1">
        <f t="shared" si="28"/>
        <v>22.851362098152102</v>
      </c>
      <c r="H165" s="1">
        <f t="shared" si="29"/>
        <v>8.5758749999999995E-2</v>
      </c>
      <c r="I165" s="125">
        <f t="shared" si="26"/>
        <v>70.364393021534823</v>
      </c>
      <c r="J165" s="125">
        <f t="shared" si="12"/>
        <v>1.6948355780380324</v>
      </c>
      <c r="K165" s="1">
        <f t="shared" si="27"/>
        <v>1.3219717508696653</v>
      </c>
      <c r="L165" s="1">
        <f t="shared" si="5"/>
        <v>0.12124933419276843</v>
      </c>
      <c r="M165" s="1">
        <f t="shared" si="6"/>
        <v>1.5117029478296888</v>
      </c>
      <c r="N165" s="1">
        <f t="shared" si="13"/>
        <v>1.3869874546337395</v>
      </c>
      <c r="O165" s="1">
        <f t="shared" si="14"/>
        <v>2.0586061616382505</v>
      </c>
      <c r="P165" s="1">
        <f t="shared" si="30"/>
        <v>7.9612500000000003E-2</v>
      </c>
      <c r="Q165" s="1">
        <f t="shared" si="15"/>
        <v>56.452086585008765</v>
      </c>
      <c r="R165" s="1">
        <f t="shared" si="16"/>
        <v>116.21261328123506</v>
      </c>
      <c r="S165" s="1">
        <f t="shared" si="17"/>
        <v>106.62507268553317</v>
      </c>
      <c r="T165" s="1">
        <f t="shared" si="7"/>
        <v>0.62211116889186202</v>
      </c>
      <c r="U165" s="1">
        <f t="shared" si="18"/>
        <v>7.7563088832836788</v>
      </c>
      <c r="V165" s="1">
        <f t="shared" si="19"/>
        <v>4.7701299632194623</v>
      </c>
      <c r="W165" s="1">
        <f t="shared" si="20"/>
        <v>3.7264054661368244</v>
      </c>
      <c r="X165" s="1">
        <f t="shared" si="25"/>
        <v>5.899999999999999E-3</v>
      </c>
      <c r="Y165" s="1">
        <f t="shared" si="21"/>
        <v>7.2758479435230043</v>
      </c>
      <c r="Z165" s="1">
        <f t="shared" si="22"/>
        <v>27.112759547524497</v>
      </c>
      <c r="AA165" s="1">
        <f t="shared" si="23"/>
        <v>16.674347121727564</v>
      </c>
    </row>
    <row r="166" spans="1:27" ht="15.75">
      <c r="A166" s="164" t="s">
        <v>120</v>
      </c>
      <c r="B166" s="174">
        <v>37.520000000000003</v>
      </c>
      <c r="C166" s="1">
        <f t="shared" si="8"/>
        <v>11.399845770270314</v>
      </c>
      <c r="D166" s="1">
        <f t="shared" si="9"/>
        <v>2.2762237479151116E-2</v>
      </c>
      <c r="E166" s="1">
        <f t="shared" si="24"/>
        <v>1.7850104353309739</v>
      </c>
      <c r="F166" s="1">
        <f t="shared" si="10"/>
        <v>20.348843661096176</v>
      </c>
      <c r="G166" s="1">
        <f t="shared" si="28"/>
        <v>15.872098055655018</v>
      </c>
      <c r="H166" s="1">
        <f t="shared" si="29"/>
        <v>8.5758749999999995E-2</v>
      </c>
      <c r="I166" s="125">
        <f t="shared" si="26"/>
        <v>53.451920418486651</v>
      </c>
      <c r="J166" s="125">
        <f t="shared" si="12"/>
        <v>1.2166853062822796</v>
      </c>
      <c r="K166" s="1">
        <f t="shared" si="27"/>
        <v>0.94901453890017806</v>
      </c>
      <c r="L166" s="1">
        <f t="shared" si="5"/>
        <v>9.2106383410183817E-2</v>
      </c>
      <c r="M166" s="1">
        <f t="shared" si="6"/>
        <v>1.0499985653334798</v>
      </c>
      <c r="N166" s="1">
        <f t="shared" si="13"/>
        <v>0.96337368369346765</v>
      </c>
      <c r="O166" s="1">
        <f t="shared" si="14"/>
        <v>1.9398245562330187</v>
      </c>
      <c r="P166" s="1">
        <f t="shared" si="30"/>
        <v>7.9612500000000003E-2</v>
      </c>
      <c r="Q166" s="1">
        <f t="shared" si="15"/>
        <v>42.8835140903712</v>
      </c>
      <c r="R166" s="1">
        <f t="shared" si="16"/>
        <v>83.186493690066726</v>
      </c>
      <c r="S166" s="1">
        <f t="shared" si="17"/>
        <v>76.323607960636224</v>
      </c>
      <c r="T166" s="1">
        <f t="shared" si="7"/>
        <v>0.47258329480483846</v>
      </c>
      <c r="U166" s="1">
        <f t="shared" si="18"/>
        <v>5.3873766743813469</v>
      </c>
      <c r="V166" s="1">
        <f t="shared" si="19"/>
        <v>3.3132366547445282</v>
      </c>
      <c r="W166" s="1">
        <f t="shared" si="20"/>
        <v>3.5026746773274895</v>
      </c>
      <c r="X166" s="1">
        <f t="shared" si="25"/>
        <v>5.899999999999999E-3</v>
      </c>
      <c r="Y166" s="1">
        <f t="shared" si="21"/>
        <v>5.5270574868055364</v>
      </c>
      <c r="Z166" s="1">
        <f t="shared" si="22"/>
        <v>19.359484299167068</v>
      </c>
      <c r="AA166" s="1">
        <f t="shared" si="23"/>
        <v>11.906082843987747</v>
      </c>
    </row>
    <row r="167" spans="1:27" ht="15.75">
      <c r="A167" s="164" t="s">
        <v>121</v>
      </c>
      <c r="B167" s="174">
        <v>42.61</v>
      </c>
      <c r="C167" s="1">
        <f t="shared" si="8"/>
        <v>10.26035700156865</v>
      </c>
      <c r="D167" s="1">
        <f t="shared" si="9"/>
        <v>2.1087735605250988E-2</v>
      </c>
      <c r="E167" s="1">
        <f t="shared" si="24"/>
        <v>1.2615399055686531</v>
      </c>
      <c r="F167" s="1">
        <f t="shared" si="10"/>
        <v>12.943849802859583</v>
      </c>
      <c r="G167" s="1">
        <f t="shared" si="28"/>
        <v>10.096202846230476</v>
      </c>
      <c r="H167" s="1">
        <f t="shared" si="29"/>
        <v>8.5758749999999995E-2</v>
      </c>
      <c r="I167" s="125">
        <f t="shared" si="26"/>
        <v>37.776659061770538</v>
      </c>
      <c r="J167" s="125">
        <f t="shared" si="12"/>
        <v>0.79662419834432596</v>
      </c>
      <c r="K167" s="1">
        <f t="shared" si="27"/>
        <v>0.62136687470857432</v>
      </c>
      <c r="L167" s="1">
        <f t="shared" si="5"/>
        <v>6.5095349545118253E-2</v>
      </c>
      <c r="M167" s="1">
        <f t="shared" si="6"/>
        <v>0.66790152547481274</v>
      </c>
      <c r="N167" s="1">
        <f t="shared" si="13"/>
        <v>0.61279964962314071</v>
      </c>
      <c r="O167" s="1">
        <f t="shared" si="14"/>
        <v>1.7930461548934542</v>
      </c>
      <c r="P167" s="1">
        <f t="shared" si="30"/>
        <v>7.9612500000000003E-2</v>
      </c>
      <c r="Q167" s="1">
        <f t="shared" si="15"/>
        <v>30.307533919815928</v>
      </c>
      <c r="R167" s="1">
        <f t="shared" si="16"/>
        <v>54.34280715922889</v>
      </c>
      <c r="S167" s="1">
        <f t="shared" si="17"/>
        <v>49.859525568592503</v>
      </c>
      <c r="T167" s="1">
        <f t="shared" si="7"/>
        <v>0.33399394944762639</v>
      </c>
      <c r="U167" s="1">
        <f t="shared" si="18"/>
        <v>3.4268971576965193</v>
      </c>
      <c r="V167" s="1">
        <f t="shared" si="19"/>
        <v>2.1075417519833595</v>
      </c>
      <c r="W167" s="1">
        <f t="shared" si="20"/>
        <v>3.2312756864633911</v>
      </c>
      <c r="X167" s="1">
        <f t="shared" si="25"/>
        <v>5.899999999999999E-3</v>
      </c>
      <c r="Y167" s="1">
        <f t="shared" si="21"/>
        <v>3.9061976568693417</v>
      </c>
      <c r="Z167" s="1">
        <f t="shared" si="22"/>
        <v>12.622001515162172</v>
      </c>
      <c r="AA167" s="1">
        <f t="shared" si="23"/>
        <v>7.7625309318247355</v>
      </c>
    </row>
    <row r="168" spans="1:27" ht="15.75">
      <c r="A168" s="164" t="s">
        <v>122</v>
      </c>
      <c r="B168" s="174">
        <v>47.68</v>
      </c>
      <c r="C168" s="1">
        <f t="shared" si="8"/>
        <v>9.111499773278128</v>
      </c>
      <c r="D168" s="1">
        <f t="shared" si="9"/>
        <v>1.9265081149608482E-2</v>
      </c>
      <c r="E168" s="1">
        <f t="shared" si="24"/>
        <v>0.92496608202652764</v>
      </c>
      <c r="F168" s="1">
        <f t="shared" si="10"/>
        <v>8.4278282466746646</v>
      </c>
      <c r="G168" s="1">
        <f t="shared" si="28"/>
        <v>6.5737060324062382</v>
      </c>
      <c r="H168" s="914">
        <f t="shared" si="29"/>
        <v>8.5758749999999995E-2</v>
      </c>
      <c r="I168" s="125">
        <f t="shared" si="26"/>
        <v>27.697996845107532</v>
      </c>
      <c r="J168" s="125">
        <f t="shared" si="12"/>
        <v>0.53360415690259633</v>
      </c>
      <c r="K168" s="1">
        <f t="shared" si="27"/>
        <v>0.41621124238402513</v>
      </c>
      <c r="L168" s="1">
        <f t="shared" si="5"/>
        <v>4.7728169486445669E-2</v>
      </c>
      <c r="M168" s="1">
        <f t="shared" si="6"/>
        <v>0.4348752054547298</v>
      </c>
      <c r="N168" s="1">
        <f t="shared" si="13"/>
        <v>0.39899800100471455</v>
      </c>
      <c r="O168" s="1">
        <f t="shared" si="14"/>
        <v>1.6351512353291788</v>
      </c>
      <c r="P168" s="914">
        <f t="shared" si="30"/>
        <v>7.9612500000000003E-2</v>
      </c>
      <c r="Q168" s="1">
        <f t="shared" si="15"/>
        <v>22.221604550085036</v>
      </c>
      <c r="R168" s="1">
        <f t="shared" si="16"/>
        <v>36.335684131068049</v>
      </c>
      <c r="S168" s="1">
        <f t="shared" si="17"/>
        <v>33.337990190254935</v>
      </c>
      <c r="T168" s="1">
        <f t="shared" si="7"/>
        <v>0.24488569364905033</v>
      </c>
      <c r="U168" s="1">
        <f t="shared" si="18"/>
        <v>2.2312759421623793</v>
      </c>
      <c r="V168" s="1">
        <f t="shared" si="19"/>
        <v>1.3722347044298633</v>
      </c>
      <c r="W168" s="1">
        <f t="shared" si="20"/>
        <v>2.9421615669760151</v>
      </c>
      <c r="X168" s="1">
        <f t="shared" si="25"/>
        <v>5.899999999999999E-3</v>
      </c>
      <c r="Y168" s="1">
        <f t="shared" si="21"/>
        <v>2.8640396759125841</v>
      </c>
      <c r="Z168" s="1">
        <f t="shared" si="22"/>
        <v>8.4264674607644476</v>
      </c>
      <c r="AA168" s="1">
        <f t="shared" si="23"/>
        <v>5.1822774883701355</v>
      </c>
    </row>
    <row r="169" spans="1:27" ht="15.75">
      <c r="A169" s="164" t="s">
        <v>123</v>
      </c>
      <c r="B169" s="174">
        <v>52.64</v>
      </c>
      <c r="C169" s="1">
        <f t="shared" si="8"/>
        <v>7.9650442244023312</v>
      </c>
      <c r="D169" s="1">
        <f t="shared" si="9"/>
        <v>1.744132223653971E-2</v>
      </c>
      <c r="E169" s="1">
        <f t="shared" si="24"/>
        <v>0.75578564018588634</v>
      </c>
      <c r="F169" s="1">
        <f t="shared" si="10"/>
        <v>6.0198660482488124</v>
      </c>
      <c r="G169" s="1">
        <f t="shared" si="28"/>
        <v>4.6954955176340736</v>
      </c>
      <c r="H169">
        <f>H168</f>
        <v>8.5758749999999995E-2</v>
      </c>
      <c r="I169" s="125">
        <f t="shared" si="26"/>
        <v>22.631909087500883</v>
      </c>
      <c r="J169" s="125">
        <f t="shared" si="12"/>
        <v>0.39473041922317431</v>
      </c>
      <c r="K169" s="1">
        <f t="shared" si="27"/>
        <v>0.30788972699407596</v>
      </c>
      <c r="L169" s="1">
        <f t="shared" si="5"/>
        <v>3.8998473383134585E-2</v>
      </c>
      <c r="M169" s="1">
        <f t="shared" si="6"/>
        <v>0.31062456518084419</v>
      </c>
      <c r="N169" s="1">
        <f t="shared" si="13"/>
        <v>0.28499803855342454</v>
      </c>
      <c r="O169" s="1">
        <f t="shared" si="14"/>
        <v>1.4782647154184263</v>
      </c>
      <c r="P169">
        <f>P168</f>
        <v>7.9612500000000003E-2</v>
      </c>
      <c r="Q169" s="1">
        <f t="shared" si="15"/>
        <v>18.157173486888954</v>
      </c>
      <c r="R169" s="1">
        <f t="shared" si="16"/>
        <v>26.841108897398897</v>
      </c>
      <c r="S169" s="1">
        <f t="shared" si="17"/>
        <v>24.626717413363487</v>
      </c>
      <c r="T169" s="1">
        <f t="shared" si="7"/>
        <v>0.20009500277179276</v>
      </c>
      <c r="U169" s="1">
        <f t="shared" si="18"/>
        <v>1.5937655461592364</v>
      </c>
      <c r="V169" s="1">
        <f t="shared" si="19"/>
        <v>0.98016581088793031</v>
      </c>
      <c r="W169" s="1">
        <f t="shared" si="20"/>
        <v>2.6565905580646327</v>
      </c>
      <c r="X169" s="1">
        <f t="shared" si="25"/>
        <v>5.899999999999999E-3</v>
      </c>
      <c r="Y169" s="1">
        <f t="shared" si="21"/>
        <v>2.3401939833673717</v>
      </c>
      <c r="Z169" s="1">
        <f t="shared" si="22"/>
        <v>6.2169372402534222</v>
      </c>
      <c r="AA169" s="1">
        <f t="shared" si="23"/>
        <v>3.8234164027558548</v>
      </c>
    </row>
    <row r="170" spans="1:27" ht="15.75">
      <c r="A170" s="164" t="s">
        <v>124</v>
      </c>
      <c r="B170" s="174">
        <v>57.64</v>
      </c>
      <c r="C170" s="1">
        <f t="shared" si="8"/>
        <v>6.8266022419576435</v>
      </c>
      <c r="D170" s="1">
        <f t="shared" si="9"/>
        <v>1.5635894304453991E-2</v>
      </c>
      <c r="E170" s="1">
        <f t="shared" si="24"/>
        <v>0.65686915381665489</v>
      </c>
      <c r="F170" s="1">
        <f t="shared" si="10"/>
        <v>4.4841844381175964</v>
      </c>
      <c r="G170" s="1">
        <f t="shared" si="28"/>
        <v>3.4976638617317253</v>
      </c>
      <c r="H170" s="1">
        <f>H169</f>
        <v>8.5758749999999995E-2</v>
      </c>
      <c r="I170" s="125">
        <f t="shared" si="26"/>
        <v>19.669866931985911</v>
      </c>
      <c r="J170" s="125">
        <f t="shared" si="12"/>
        <v>0.30755596033120641</v>
      </c>
      <c r="K170" s="1">
        <f t="shared" si="27"/>
        <v>0.23989364905834101</v>
      </c>
      <c r="L170" s="1">
        <f t="shared" si="5"/>
        <v>3.389439127874995E-2</v>
      </c>
      <c r="M170" s="1">
        <f t="shared" si="6"/>
        <v>0.23138352749330401</v>
      </c>
      <c r="N170" s="1">
        <f t="shared" si="13"/>
        <v>0.21229438647510643</v>
      </c>
      <c r="O170" s="1">
        <f t="shared" si="14"/>
        <v>1.3236788171666429</v>
      </c>
      <c r="P170">
        <f>P169</f>
        <v>7.9612500000000003E-2</v>
      </c>
      <c r="Q170" s="1">
        <f t="shared" si="15"/>
        <v>15.780780356056404</v>
      </c>
      <c r="R170" s="1">
        <f t="shared" si="16"/>
        <v>20.888684675671335</v>
      </c>
      <c r="S170" s="1">
        <f t="shared" si="17"/>
        <v>19.165368189928451</v>
      </c>
      <c r="T170" s="1">
        <f t="shared" si="7"/>
        <v>0.17390676425305174</v>
      </c>
      <c r="U170" s="1">
        <f t="shared" si="18"/>
        <v>1.1871923067414825</v>
      </c>
      <c r="V170" s="1">
        <f t="shared" si="19"/>
        <v>0.73012326864601174</v>
      </c>
      <c r="W170" s="1">
        <f t="shared" si="20"/>
        <v>2.3763272285984032</v>
      </c>
      <c r="X170" s="1">
        <f t="shared" si="25"/>
        <v>5.899999999999999E-3</v>
      </c>
      <c r="Y170" s="1">
        <f t="shared" si="21"/>
        <v>2.0339116806231936</v>
      </c>
      <c r="Z170" s="1">
        <f t="shared" si="22"/>
        <v>4.8332397072292341</v>
      </c>
      <c r="AA170" s="1">
        <f t="shared" si="23"/>
        <v>2.9724424199459789</v>
      </c>
    </row>
    <row r="171" spans="1:27" ht="15.75">
      <c r="A171" s="164" t="s">
        <v>126</v>
      </c>
      <c r="B171" s="174">
        <v>62.67</v>
      </c>
      <c r="C171" s="1">
        <f t="shared" si="8"/>
        <v>5.7118272170917006</v>
      </c>
      <c r="D171" s="1">
        <f t="shared" si="9"/>
        <v>1.3901876765442253E-2</v>
      </c>
      <c r="E171" s="1">
        <f t="shared" si="24"/>
        <v>0.58842204282005484</v>
      </c>
      <c r="F171" s="1">
        <f t="shared" si="10"/>
        <v>3.3609650393162873</v>
      </c>
      <c r="G171" s="1">
        <f t="shared" si="28"/>
        <v>2.6215527306667044</v>
      </c>
      <c r="H171">
        <v>8.8346250000000001E-2</v>
      </c>
      <c r="I171" s="125">
        <f t="shared" si="26"/>
        <v>18.151861319174458</v>
      </c>
      <c r="J171" s="125">
        <f t="shared" si="12"/>
        <v>0.25234493912256134</v>
      </c>
      <c r="K171" s="1">
        <f t="shared" si="27"/>
        <v>0.19682905251559785</v>
      </c>
      <c r="L171" s="1">
        <f t="shared" si="5"/>
        <v>3.0362526296905577E-2</v>
      </c>
      <c r="M171" s="1">
        <f t="shared" si="6"/>
        <v>0.17342550408232776</v>
      </c>
      <c r="N171" s="1">
        <f t="shared" si="13"/>
        <v>0.15911789999553572</v>
      </c>
      <c r="O171" s="1">
        <f t="shared" si="14"/>
        <v>1.1757078977029831</v>
      </c>
      <c r="P171">
        <v>8.1412499999999999E-2</v>
      </c>
      <c r="Q171" s="1">
        <f t="shared" si="15"/>
        <v>14.456007662173358</v>
      </c>
      <c r="R171" s="1">
        <f t="shared" si="16"/>
        <v>16.996042377672055</v>
      </c>
      <c r="S171" s="1">
        <f t="shared" si="17"/>
        <v>15.59386888151411</v>
      </c>
      <c r="T171" s="1">
        <f t="shared" si="7"/>
        <v>0.15578532328307332</v>
      </c>
      <c r="U171" s="1">
        <f t="shared" si="18"/>
        <v>0.88981884955168755</v>
      </c>
      <c r="V171" s="1">
        <f t="shared" si="19"/>
        <v>0.54723859247428785</v>
      </c>
      <c r="W171" s="1">
        <f t="shared" si="20"/>
        <v>2.108835174160101</v>
      </c>
      <c r="X171" s="1">
        <f t="shared" si="25"/>
        <v>5.899999999999999E-3</v>
      </c>
      <c r="Y171" s="1">
        <f t="shared" si="21"/>
        <v>1.821973918358055</v>
      </c>
      <c r="Z171" s="1">
        <f t="shared" si="22"/>
        <v>3.8422426854357705</v>
      </c>
      <c r="AA171" s="1">
        <f t="shared" si="23"/>
        <v>2.362979251542999</v>
      </c>
    </row>
    <row r="172" spans="1:27" ht="15.75">
      <c r="A172" s="164" t="s">
        <v>127</v>
      </c>
      <c r="B172" s="174">
        <v>67.680000000000007</v>
      </c>
      <c r="C172" s="1">
        <f t="shared" si="8"/>
        <v>4.6338111000864313</v>
      </c>
      <c r="D172" s="1">
        <f t="shared" si="9"/>
        <v>1.2286756861320193E-2</v>
      </c>
      <c r="E172" s="1">
        <f t="shared" si="24"/>
        <v>0.46389102778956942</v>
      </c>
      <c r="F172" s="1">
        <f t="shared" si="10"/>
        <v>2.1495833938018101</v>
      </c>
      <c r="G172" s="1">
        <f t="shared" si="28"/>
        <v>1.6766750471654119</v>
      </c>
      <c r="H172">
        <f>H171</f>
        <v>8.8346250000000001E-2</v>
      </c>
      <c r="I172" s="125">
        <f t="shared" si="26"/>
        <v>14.310282400859403</v>
      </c>
      <c r="J172" s="125">
        <f t="shared" si="12"/>
        <v>0.1758269604761889</v>
      </c>
      <c r="K172" s="1">
        <f t="shared" si="27"/>
        <v>0.13714502917142735</v>
      </c>
      <c r="L172" s="1">
        <f t="shared" si="5"/>
        <v>2.3936736738577036E-2</v>
      </c>
      <c r="M172" s="1">
        <f t="shared" si="6"/>
        <v>0.11091831639906495</v>
      </c>
      <c r="N172" s="1">
        <f t="shared" si="13"/>
        <v>0.10176755529614209</v>
      </c>
      <c r="O172" s="1">
        <f t="shared" si="14"/>
        <v>1.0382330768594432</v>
      </c>
      <c r="P172">
        <f>P171</f>
        <v>8.1412499999999999E-2</v>
      </c>
      <c r="Q172" s="1">
        <f t="shared" si="15"/>
        <v>11.396602717329293</v>
      </c>
      <c r="R172" s="1">
        <f t="shared" si="16"/>
        <v>11.832329904957483</v>
      </c>
      <c r="S172" s="1">
        <f t="shared" si="17"/>
        <v>10.85616268779849</v>
      </c>
      <c r="T172" s="1">
        <f t="shared" si="7"/>
        <v>0.12281561272920447</v>
      </c>
      <c r="U172" s="1">
        <f t="shared" si="18"/>
        <v>0.56910434952850408</v>
      </c>
      <c r="V172" s="1">
        <f t="shared" si="19"/>
        <v>0.34999917496003002</v>
      </c>
      <c r="W172" s="1">
        <f t="shared" si="20"/>
        <v>1.8608634017172543</v>
      </c>
      <c r="X172" s="1">
        <f t="shared" si="25"/>
        <v>5.899999999999999E-3</v>
      </c>
      <c r="Y172" s="1">
        <f t="shared" si="21"/>
        <v>1.4363794896979696</v>
      </c>
      <c r="Z172" s="1">
        <f t="shared" si="22"/>
        <v>2.6729060233562576</v>
      </c>
      <c r="AA172" s="1">
        <f t="shared" si="23"/>
        <v>1.6438372043640983</v>
      </c>
    </row>
    <row r="173" spans="1:27" ht="15.75">
      <c r="A173" s="164" t="s">
        <v>128</v>
      </c>
      <c r="B173" s="174">
        <v>72.56</v>
      </c>
      <c r="C173" s="1">
        <f t="shared" si="8"/>
        <v>3.627712105557285</v>
      </c>
      <c r="D173" s="1">
        <f t="shared" si="9"/>
        <v>1.0836682828614622E-2</v>
      </c>
      <c r="E173" s="1">
        <f t="shared" si="24"/>
        <v>0.32331437884295422</v>
      </c>
      <c r="F173" s="1">
        <f t="shared" si="10"/>
        <v>1.1728914860293191</v>
      </c>
      <c r="G173" s="1">
        <f t="shared" si="28"/>
        <v>0.91485535910286897</v>
      </c>
      <c r="H173" s="1">
        <f t="shared" ref="H173:H176" si="31">H172</f>
        <v>8.8346250000000001E-2</v>
      </c>
      <c r="I173" s="125">
        <f t="shared" si="26"/>
        <v>9.973721818995589</v>
      </c>
      <c r="J173" s="125">
        <f t="shared" si="12"/>
        <v>0.10808205997328849</v>
      </c>
      <c r="K173" s="1">
        <f t="shared" si="27"/>
        <v>8.4304006779165025E-2</v>
      </c>
      <c r="L173" s="1">
        <f t="shared" si="5"/>
        <v>1.6682993863961881E-2</v>
      </c>
      <c r="M173" s="1">
        <f t="shared" si="6"/>
        <v>6.0521098797232421E-2</v>
      </c>
      <c r="N173" s="1">
        <f t="shared" si="13"/>
        <v>5.5528108146460746E-2</v>
      </c>
      <c r="O173" s="1">
        <f t="shared" si="14"/>
        <v>0.91504779137534453</v>
      </c>
      <c r="P173" s="1">
        <f t="shared" ref="P173:P176" si="32">P172</f>
        <v>8.1412499999999999E-2</v>
      </c>
      <c r="Q173" s="1">
        <f t="shared" si="15"/>
        <v>7.9429980485518117</v>
      </c>
      <c r="R173" s="1">
        <f t="shared" si="16"/>
        <v>7.2682228212260069</v>
      </c>
      <c r="S173" s="1">
        <f t="shared" si="17"/>
        <v>6.6685944384748614</v>
      </c>
      <c r="T173" s="1">
        <f t="shared" si="7"/>
        <v>8.5597804577009329E-2</v>
      </c>
      <c r="U173" s="1">
        <f t="shared" si="18"/>
        <v>0.31052419187314351</v>
      </c>
      <c r="V173" s="1">
        <f t="shared" si="19"/>
        <v>0.19097237800198325</v>
      </c>
      <c r="W173" s="1">
        <f t="shared" si="20"/>
        <v>1.639043876504624</v>
      </c>
      <c r="X173" s="1">
        <f t="shared" si="25"/>
        <v>5.899999999999999E-3</v>
      </c>
      <c r="Y173" s="1">
        <f t="shared" si="21"/>
        <v>1.0011017990740727</v>
      </c>
      <c r="Z173" s="1">
        <f t="shared" si="22"/>
        <v>1.6408497735301213</v>
      </c>
      <c r="AA173" s="1">
        <f t="shared" si="23"/>
        <v>1.0091226107210245</v>
      </c>
    </row>
    <row r="174" spans="1:27" ht="15.75">
      <c r="A174" s="164" t="s">
        <v>129</v>
      </c>
      <c r="B174" s="174">
        <v>77.45</v>
      </c>
      <c r="C174" s="1">
        <f t="shared" si="8"/>
        <v>2.7313382953473297</v>
      </c>
      <c r="D174" s="1">
        <f t="shared" si="9"/>
        <v>9.5119466881682015E-3</v>
      </c>
      <c r="E174" s="1">
        <f t="shared" si="24"/>
        <v>0.19335990705681444</v>
      </c>
      <c r="F174" s="1">
        <f t="shared" si="10"/>
        <v>0.52813131892907772</v>
      </c>
      <c r="G174" s="1">
        <f t="shared" si="28"/>
        <v>0.41194242876468062</v>
      </c>
      <c r="H174" s="1">
        <f t="shared" si="31"/>
        <v>8.8346250000000001E-2</v>
      </c>
      <c r="I174" s="125">
        <f t="shared" si="26"/>
        <v>5.9648380960757148</v>
      </c>
      <c r="J174" s="125">
        <f t="shared" si="12"/>
        <v>5.6737221973426913E-2</v>
      </c>
      <c r="K174" s="1">
        <f t="shared" si="27"/>
        <v>4.4255033139272995E-2</v>
      </c>
      <c r="L174" s="1">
        <f t="shared" si="5"/>
        <v>9.9773544081439586E-3</v>
      </c>
      <c r="M174" s="1">
        <f t="shared" si="6"/>
        <v>2.7251530181216087E-2</v>
      </c>
      <c r="N174" s="1">
        <f t="shared" si="13"/>
        <v>2.500327894126576E-2</v>
      </c>
      <c r="O174" s="1">
        <f t="shared" si="14"/>
        <v>0.8026847771411455</v>
      </c>
      <c r="P174" s="1">
        <f t="shared" si="32"/>
        <v>8.1412499999999999E-2</v>
      </c>
      <c r="Q174" s="1">
        <f t="shared" si="15"/>
        <v>4.7503527987737888</v>
      </c>
      <c r="R174" s="1">
        <f t="shared" si="16"/>
        <v>3.8130358776255555</v>
      </c>
      <c r="S174" s="1">
        <f t="shared" si="17"/>
        <v>3.4984604177214473</v>
      </c>
      <c r="T174" s="1">
        <f t="shared" si="7"/>
        <v>5.1192228432616088E-2</v>
      </c>
      <c r="U174" s="1">
        <f t="shared" si="18"/>
        <v>0.13982329394217274</v>
      </c>
      <c r="V174" s="1">
        <f t="shared" si="19"/>
        <v>8.5991325774436231E-2</v>
      </c>
      <c r="W174" s="1">
        <f t="shared" si="20"/>
        <v>1.4369857480507149</v>
      </c>
      <c r="X174" s="1">
        <f t="shared" si="25"/>
        <v>5.899999999999999E-3</v>
      </c>
      <c r="Y174" s="1">
        <f t="shared" si="21"/>
        <v>0.59871432726287122</v>
      </c>
      <c r="Z174" s="1">
        <f t="shared" si="22"/>
        <v>0.86034395543051756</v>
      </c>
      <c r="AA174" s="1">
        <f t="shared" si="23"/>
        <v>0.52911153258976829</v>
      </c>
    </row>
    <row r="175" spans="1:27" ht="15.75">
      <c r="A175" s="164" t="s">
        <v>130</v>
      </c>
      <c r="B175" s="174">
        <v>82.43</v>
      </c>
      <c r="C175" s="1">
        <f t="shared" si="8"/>
        <v>1.9702106627232505</v>
      </c>
      <c r="D175" s="1">
        <f t="shared" si="9"/>
        <v>8.295050671244697E-3</v>
      </c>
      <c r="E175" s="1">
        <f t="shared" si="24"/>
        <v>9.3086879581950166E-2</v>
      </c>
      <c r="F175" s="1">
        <f t="shared" si="10"/>
        <v>0.18340076271199346</v>
      </c>
      <c r="G175" s="1">
        <f t="shared" si="28"/>
        <v>0.14305259491535491</v>
      </c>
      <c r="H175" s="1">
        <f t="shared" si="31"/>
        <v>8.8346250000000001E-2</v>
      </c>
      <c r="I175" s="125">
        <f t="shared" si="26"/>
        <v>2.8715785708982668</v>
      </c>
      <c r="J175" s="125">
        <f t="shared" si="12"/>
        <v>2.3819889752061556E-2</v>
      </c>
      <c r="K175" s="1">
        <f t="shared" si="27"/>
        <v>1.8579514006608015E-2</v>
      </c>
      <c r="L175" s="1">
        <f t="shared" si="5"/>
        <v>4.8032749005430626E-3</v>
      </c>
      <c r="M175" s="1">
        <f t="shared" si="6"/>
        <v>9.4634634250409019E-3</v>
      </c>
      <c r="N175" s="1">
        <f t="shared" si="13"/>
        <v>8.6827276924750264E-3</v>
      </c>
      <c r="O175" s="1">
        <f t="shared" si="14"/>
        <v>0.69960170605650651</v>
      </c>
      <c r="P175" s="1">
        <f t="shared" si="32"/>
        <v>8.1412499999999999E-2</v>
      </c>
      <c r="Q175" s="1">
        <f t="shared" si="15"/>
        <v>2.2869038658634979</v>
      </c>
      <c r="R175" s="1">
        <f t="shared" si="16"/>
        <v>1.5999218461453233</v>
      </c>
      <c r="S175" s="1">
        <f t="shared" si="17"/>
        <v>1.467928293838334</v>
      </c>
      <c r="T175" s="1">
        <f t="shared" si="7"/>
        <v>2.4644844301866753E-2</v>
      </c>
      <c r="U175" s="1">
        <f t="shared" si="18"/>
        <v>4.8555535024692217E-2</v>
      </c>
      <c r="V175" s="1">
        <f>U175*(1-$B$27)</f>
        <v>2.9861654040185714E-2</v>
      </c>
      <c r="W175" s="1">
        <f t="shared" si="20"/>
        <v>1.2518241882578869</v>
      </c>
      <c r="X175" s="1">
        <f t="shared" si="25"/>
        <v>5.899999999999999E-3</v>
      </c>
      <c r="Y175" s="1">
        <f t="shared" si="21"/>
        <v>0.28823166774450026</v>
      </c>
      <c r="Z175" s="1">
        <f t="shared" si="22"/>
        <v>0.36081537350447601</v>
      </c>
      <c r="AA175" s="1">
        <f t="shared" si="23"/>
        <v>0.22190145470525274</v>
      </c>
    </row>
    <row r="176" spans="1:27" ht="15.75">
      <c r="A176" s="164" t="s">
        <v>133</v>
      </c>
      <c r="B176" s="174">
        <v>89</v>
      </c>
      <c r="C176" s="1">
        <f t="shared" si="8"/>
        <v>0.96063211035281615</v>
      </c>
      <c r="D176" s="1">
        <f t="shared" si="9"/>
        <v>6.8863321654979411E-3</v>
      </c>
      <c r="E176" s="1">
        <f t="shared" si="24"/>
        <v>3.3307010260262629E-2</v>
      </c>
      <c r="F176" s="1">
        <f t="shared" si="10"/>
        <v>3.1995783555858991E-2</v>
      </c>
      <c r="G176" s="1">
        <f t="shared" si="28"/>
        <v>2.4956711173570012E-2</v>
      </c>
      <c r="H176" s="1">
        <f t="shared" si="31"/>
        <v>8.8346250000000001E-2</v>
      </c>
      <c r="I176" s="125">
        <f t="shared" si="26"/>
        <v>1.0274670002216346</v>
      </c>
      <c r="J176" s="125">
        <f t="shared" si="12"/>
        <v>7.0754790526139227E-3</v>
      </c>
      <c r="K176" s="1">
        <f t="shared" si="27"/>
        <v>5.5188736610388596E-3</v>
      </c>
      <c r="L176" s="1">
        <f t="shared" si="5"/>
        <v>1.7186388362541145E-3</v>
      </c>
      <c r="M176" s="1">
        <f t="shared" si="6"/>
        <v>1.650979652205098E-3</v>
      </c>
      <c r="N176" s="1">
        <f t="shared" si="13"/>
        <v>1.5147738308981774E-3</v>
      </c>
      <c r="O176" s="1">
        <f t="shared" si="14"/>
        <v>0.58041644557580474</v>
      </c>
      <c r="P176" s="1">
        <f t="shared" si="32"/>
        <v>8.1412499999999999E-2</v>
      </c>
      <c r="Q176" s="1">
        <f t="shared" si="15"/>
        <v>0.81826709485403559</v>
      </c>
      <c r="R176" s="1">
        <f t="shared" si="16"/>
        <v>0.47493567872681919</v>
      </c>
      <c r="S176" s="1">
        <f t="shared" si="17"/>
        <v>0.43575348523185659</v>
      </c>
      <c r="T176" s="1">
        <f t="shared" si="7"/>
        <v>8.8180642181931671E-3</v>
      </c>
      <c r="U176" s="1">
        <f t="shared" si="18"/>
        <v>8.4709156391495587E-3</v>
      </c>
      <c r="V176" s="1">
        <f t="shared" si="19"/>
        <v>5.2096131180769788E-3</v>
      </c>
      <c r="W176" s="1">
        <f t="shared" si="20"/>
        <v>1.0379704088597159</v>
      </c>
      <c r="X176" s="1">
        <f t="shared" si="25"/>
        <v>5.899999999999999E-3</v>
      </c>
      <c r="Y176" s="1">
        <f t="shared" si="21"/>
        <v>0.10313091552765052</v>
      </c>
      <c r="Z176" s="1">
        <f t="shared" si="22"/>
        <v>0.10704683855631224</v>
      </c>
      <c r="AA176" s="1">
        <f t="shared" si="23"/>
        <v>6.5833805712132029E-2</v>
      </c>
    </row>
    <row r="177" spans="1:27" ht="15.75">
      <c r="A177" s="164" t="s">
        <v>72</v>
      </c>
      <c r="F177">
        <f>SUM(F158:F176)</f>
        <v>587.11269904578626</v>
      </c>
      <c r="G177" s="1">
        <f>SUM(G158:G176)</f>
        <v>379.43021118997422</v>
      </c>
      <c r="J177" s="1">
        <f>SUM(J158:J176)</f>
        <v>30.805188106568803</v>
      </c>
      <c r="K177" s="1">
        <f>SUM(K158:K176)</f>
        <v>20.101169932384675</v>
      </c>
      <c r="M177" s="1">
        <f>SUM(M158:M176)</f>
        <v>22.398755221414731</v>
      </c>
      <c r="N177" s="1">
        <f>SUM(N158:N176)</f>
        <v>20.550857915648017</v>
      </c>
      <c r="O177" s="1"/>
      <c r="R177" s="1">
        <f>SUM(R158:R176)</f>
        <v>1380.9520379967385</v>
      </c>
      <c r="S177" s="1">
        <f>SUM(S158:S176)</f>
        <v>1267.0234948620073</v>
      </c>
      <c r="T177" s="1"/>
      <c r="U177" s="1">
        <f>SUM(U158:U176)</f>
        <v>114.92447266030509</v>
      </c>
      <c r="V177" s="1">
        <f>SUM(V158:V176)</f>
        <v>70.678550686087632</v>
      </c>
      <c r="Z177" s="1">
        <f>SUM(Z158:Z176)</f>
        <v>315.78728442533895</v>
      </c>
      <c r="AA177" s="1">
        <f>SUM(AA158:AA176)</f>
        <v>194.20917992158357</v>
      </c>
    </row>
    <row r="178" spans="1:27">
      <c r="C178" t="s">
        <v>368</v>
      </c>
      <c r="D178" s="1" t="s">
        <v>369</v>
      </c>
      <c r="G178" t="s">
        <v>360</v>
      </c>
      <c r="J178" s="125"/>
      <c r="O178" s="1"/>
    </row>
    <row r="179" spans="1:27">
      <c r="A179" s="67" t="s">
        <v>13</v>
      </c>
      <c r="B179" s="1"/>
      <c r="C179" s="1"/>
      <c r="D179" s="1"/>
      <c r="E179" s="1" t="s">
        <v>330</v>
      </c>
      <c r="F179" s="1"/>
      <c r="G179" s="1"/>
      <c r="L179" s="1" t="s">
        <v>16</v>
      </c>
      <c r="M179" s="1"/>
      <c r="N179" s="1"/>
      <c r="O179" s="1"/>
      <c r="T179" s="1" t="s">
        <v>23</v>
      </c>
      <c r="U179" s="1"/>
      <c r="V179" s="1"/>
    </row>
    <row r="180" spans="1:27">
      <c r="A180" s="67" t="s">
        <v>329</v>
      </c>
      <c r="B180" s="1" t="s">
        <v>344</v>
      </c>
      <c r="C180" s="1" t="s">
        <v>366</v>
      </c>
      <c r="D180" s="1" t="s">
        <v>367</v>
      </c>
      <c r="E180" s="1" t="s">
        <v>345</v>
      </c>
      <c r="F180" s="1" t="s">
        <v>362</v>
      </c>
      <c r="G180" s="1" t="s">
        <v>331</v>
      </c>
      <c r="H180" s="1" t="s">
        <v>364</v>
      </c>
      <c r="I180" s="1" t="s">
        <v>365</v>
      </c>
      <c r="J180" t="s">
        <v>363</v>
      </c>
      <c r="K180" t="s">
        <v>331</v>
      </c>
      <c r="L180" s="1" t="s">
        <v>345</v>
      </c>
      <c r="M180" s="1" t="s">
        <v>362</v>
      </c>
      <c r="N180" s="1" t="s">
        <v>331</v>
      </c>
      <c r="O180" s="1" t="s">
        <v>367</v>
      </c>
      <c r="P180" s="1" t="s">
        <v>364</v>
      </c>
      <c r="Q180" s="1" t="s">
        <v>365</v>
      </c>
      <c r="R180" s="1" t="s">
        <v>363</v>
      </c>
      <c r="S180" s="1" t="s">
        <v>331</v>
      </c>
      <c r="T180" s="1" t="s">
        <v>345</v>
      </c>
      <c r="U180" s="1" t="s">
        <v>362</v>
      </c>
      <c r="V180" s="1" t="s">
        <v>331</v>
      </c>
      <c r="W180" s="1" t="s">
        <v>367</v>
      </c>
      <c r="X180" s="1" t="s">
        <v>364</v>
      </c>
      <c r="Y180" s="1" t="s">
        <v>365</v>
      </c>
      <c r="Z180" s="1" t="s">
        <v>363</v>
      </c>
      <c r="AA180" s="1" t="s">
        <v>331</v>
      </c>
    </row>
    <row r="181" spans="1:27" ht="15.75">
      <c r="A181" s="164">
        <v>0</v>
      </c>
      <c r="B181" s="174">
        <v>0.1</v>
      </c>
      <c r="C181" s="1">
        <f>C158</f>
        <v>8.4661744713244396</v>
      </c>
      <c r="D181" s="1">
        <f>D158</f>
        <v>2.9320953866862495E-4</v>
      </c>
      <c r="E181" s="1">
        <f>($B$31*$Q73)*(B$97/1000)</f>
        <v>2.2035205265797631</v>
      </c>
      <c r="F181" s="1">
        <f t="shared" ref="F181:F199" si="33">E181*C181</f>
        <v>18.655389229168975</v>
      </c>
      <c r="G181" s="1">
        <f>F181*(1-$C$23)</f>
        <v>11.752895214376455</v>
      </c>
      <c r="H181">
        <f>H158</f>
        <v>0.11935374999999998</v>
      </c>
      <c r="I181" s="125">
        <f>($F$87/1000)*$B$31*$Q73*H181</f>
        <v>229.58171164073582</v>
      </c>
      <c r="J181" s="125">
        <f>I181*D181</f>
        <v>6.7315547756933436E-2</v>
      </c>
      <c r="K181">
        <f>J181*(1-$C$23)</f>
        <v>4.2408795086868067E-2</v>
      </c>
      <c r="L181" s="1">
        <f t="shared" ref="L181:L199" si="34">($B$31*$Q73)*(E$103/1000)</f>
        <v>3.48945883831192E-2</v>
      </c>
      <c r="M181" s="1">
        <f t="shared" ref="M181:M199" si="35">L181*C181</f>
        <v>0.29542367335653813</v>
      </c>
      <c r="N181" s="1">
        <f>M181*(1-$B$24)</f>
        <v>0.27105122030462375</v>
      </c>
      <c r="O181" s="1">
        <f>O158</f>
        <v>0.18905774945969325</v>
      </c>
      <c r="P181" s="1">
        <f>P158</f>
        <v>8.2637500000000003E-2</v>
      </c>
      <c r="Q181" s="1">
        <f>P181*($B$31*$Q73)*(E$104/1000)</f>
        <v>16.86376822034304</v>
      </c>
      <c r="R181" s="1">
        <f>Q181*O181</f>
        <v>3.1882260671479514</v>
      </c>
      <c r="S181" s="1">
        <f>R181*(1-$C$24)</f>
        <v>2.9251974166082455</v>
      </c>
      <c r="T181" s="1">
        <f t="shared" ref="T181:T199" si="36">($B$31*$Q73)*(E$108/1000)</f>
        <v>0.17903861750291908</v>
      </c>
      <c r="U181" s="1">
        <f t="shared" ref="U181:U199" si="37">T181*C181</f>
        <v>1.5157721728844344</v>
      </c>
      <c r="V181" s="1">
        <f>U181*(1-$B$27)</f>
        <v>0.93219988632392714</v>
      </c>
      <c r="W181">
        <f>W158</f>
        <v>0.59767300213457875</v>
      </c>
      <c r="X181" s="1">
        <f>X158</f>
        <v>5.1999999999999998E-3</v>
      </c>
      <c r="Y181" s="1">
        <f>X181*($B$31*$Q73)*(E$109/1000)</f>
        <v>1.8454983596921681</v>
      </c>
      <c r="Z181">
        <f>Y181*W181</f>
        <v>1.1030045450716588</v>
      </c>
      <c r="AA181">
        <f>Z181*(1-$C$27)</f>
        <v>0.67834779521907018</v>
      </c>
    </row>
    <row r="182" spans="1:27" ht="15.75">
      <c r="A182" s="165" t="s">
        <v>110</v>
      </c>
      <c r="B182" s="174">
        <v>2.6</v>
      </c>
      <c r="C182" s="1">
        <f t="shared" ref="C182:D199" si="38">C159</f>
        <v>10.353215353808007</v>
      </c>
      <c r="D182" s="1">
        <f t="shared" si="38"/>
        <v>6.3947305622559921E-3</v>
      </c>
      <c r="E182" s="1">
        <f>($B$31*$Q74)*(B$97/1000)</f>
        <v>8.8140821063190522</v>
      </c>
      <c r="F182" s="1">
        <f t="shared" si="33"/>
        <v>91.254090192866826</v>
      </c>
      <c r="G182" s="1">
        <f>F182*(1-$C$23)</f>
        <v>57.490076821506101</v>
      </c>
      <c r="H182" s="1">
        <f t="shared" ref="H182:H199" si="39">H159</f>
        <v>0.11935374999999998</v>
      </c>
      <c r="I182" s="125">
        <f>($F$87/1000)*$B$31*$Q74*H182</f>
        <v>918.32684656294327</v>
      </c>
      <c r="J182" s="125">
        <f t="shared" ref="J182:J199" si="40">I182*D182</f>
        <v>5.8724527518562226</v>
      </c>
      <c r="K182" s="1">
        <f t="shared" ref="K182:K184" si="41">J182*(1-$C$23)</f>
        <v>3.6996452336694201</v>
      </c>
      <c r="L182" s="1">
        <f t="shared" si="34"/>
        <v>0.1395783535324768</v>
      </c>
      <c r="M182" s="1">
        <f t="shared" si="35"/>
        <v>1.445084752851681</v>
      </c>
      <c r="N182" s="1">
        <f t="shared" ref="N182:N199" si="42">M182*(1-$B$24)</f>
        <v>1.3258652607414174</v>
      </c>
      <c r="O182" s="1">
        <f t="shared" ref="O182:P199" si="43">O159</f>
        <v>0.68350491300247407</v>
      </c>
      <c r="P182" s="1">
        <f t="shared" si="43"/>
        <v>8.2637500000000003E-2</v>
      </c>
      <c r="Q182" s="1">
        <f t="shared" ref="Q182:Q199" si="44">P182*($B$31*$Q74)*(E$104/1000)</f>
        <v>67.455072881372161</v>
      </c>
      <c r="R182" s="1">
        <f t="shared" ref="R182:R198" si="45">Q182*O182</f>
        <v>46.105873721357824</v>
      </c>
      <c r="S182" s="1">
        <f t="shared" ref="S182:S199" si="46">R182*(1-$C$24)</f>
        <v>42.302139139345805</v>
      </c>
      <c r="T182" s="1">
        <f t="shared" si="36"/>
        <v>0.71615447001167631</v>
      </c>
      <c r="U182" s="1">
        <f t="shared" si="37"/>
        <v>7.4145014546231236</v>
      </c>
      <c r="V182" s="1">
        <f t="shared" ref="V182:V199" si="47">U182*(1-$B$27)</f>
        <v>4.5599183945932209</v>
      </c>
      <c r="W182" s="1">
        <f t="shared" ref="W182:X182" si="48">W159</f>
        <v>1.4505957361759505</v>
      </c>
      <c r="X182" s="1">
        <f t="shared" si="48"/>
        <v>5.1999999999999998E-3</v>
      </c>
      <c r="Y182" s="1">
        <f t="shared" ref="Y182:Y199" si="49">X182*($B$31*$Q74)*(E$109/1000)</f>
        <v>7.3819934387686725</v>
      </c>
      <c r="Z182" s="1">
        <f t="shared" ref="Z182:Z198" si="50">Y182*W182</f>
        <v>10.708288206756679</v>
      </c>
      <c r="AA182" s="1">
        <f t="shared" ref="AA182:AA199" si="51">Z182*(1-$C$27)</f>
        <v>6.5855972471553574</v>
      </c>
    </row>
    <row r="183" spans="1:27" ht="15.75">
      <c r="A183" s="165" t="s">
        <v>109</v>
      </c>
      <c r="B183" s="174">
        <v>7.29</v>
      </c>
      <c r="C183" s="1">
        <f t="shared" si="38"/>
        <v>12.724858250494215</v>
      </c>
      <c r="D183" s="1">
        <f t="shared" si="38"/>
        <v>1.4832773412562837E-2</v>
      </c>
      <c r="E183" s="1">
        <f t="shared" ref="E183:E199" si="52">($B$31*$Q75)*(B$98/1000)</f>
        <v>2.7332003788684824</v>
      </c>
      <c r="F183" s="1">
        <f t="shared" si="33"/>
        <v>34.77958739129852</v>
      </c>
      <c r="G183" s="1">
        <f t="shared" ref="G183:G184" si="53">F183*(1-$C$23)</f>
        <v>21.911140056518068</v>
      </c>
      <c r="H183" s="1">
        <f t="shared" si="39"/>
        <v>9.4147624999999999E-2</v>
      </c>
      <c r="I183" s="125">
        <f>($F$88/1000)*$B$31*$Q75*H183</f>
        <v>89.851421570823007</v>
      </c>
      <c r="J183" s="125">
        <f t="shared" si="40"/>
        <v>1.3327457769566784</v>
      </c>
      <c r="K183" s="1">
        <f t="shared" si="41"/>
        <v>0.83962983948270742</v>
      </c>
      <c r="L183" s="1">
        <f t="shared" si="34"/>
        <v>0.14103290213328187</v>
      </c>
      <c r="M183" s="1">
        <f t="shared" si="35"/>
        <v>1.7946236883018349</v>
      </c>
      <c r="N183" s="1">
        <f t="shared" si="42"/>
        <v>1.6465672340169335</v>
      </c>
      <c r="O183" s="1">
        <f t="shared" si="43"/>
        <v>1.3634833418606551</v>
      </c>
      <c r="P183" s="1">
        <f t="shared" si="43"/>
        <v>7.9825000000000007E-2</v>
      </c>
      <c r="Q183" s="1">
        <f t="shared" si="44"/>
        <v>65.838320632438823</v>
      </c>
      <c r="R183" s="1">
        <f t="shared" si="45"/>
        <v>89.769453438411006</v>
      </c>
      <c r="S183" s="1">
        <f t="shared" si="46"/>
        <v>82.363473529742095</v>
      </c>
      <c r="T183" s="1">
        <f t="shared" si="36"/>
        <v>0.72361752897427833</v>
      </c>
      <c r="U183" s="1">
        <f t="shared" si="37"/>
        <v>9.207930483770582</v>
      </c>
      <c r="V183" s="1">
        <f t="shared" si="47"/>
        <v>5.6628772475189075</v>
      </c>
      <c r="W183" s="1">
        <f t="shared" ref="W183:X183" si="54">W160</f>
        <v>2.6172968549407627</v>
      </c>
      <c r="X183" s="1">
        <f t="shared" si="54"/>
        <v>5.1999999999999998E-3</v>
      </c>
      <c r="Y183" s="1">
        <f t="shared" si="49"/>
        <v>7.4589213287728695</v>
      </c>
      <c r="Z183" s="1">
        <f t="shared" si="50"/>
        <v>19.522211335047807</v>
      </c>
      <c r="AA183" s="1">
        <f t="shared" si="51"/>
        <v>12.006159971054402</v>
      </c>
    </row>
    <row r="184" spans="1:27" ht="15.75">
      <c r="A184" s="166" t="s">
        <v>112</v>
      </c>
      <c r="B184" s="174">
        <v>12.94</v>
      </c>
      <c r="C184" s="1">
        <f t="shared" si="38"/>
        <v>14.108660311691958</v>
      </c>
      <c r="D184" s="1">
        <f t="shared" si="38"/>
        <v>2.0992549104309782E-2</v>
      </c>
      <c r="E184" s="1">
        <f t="shared" si="52"/>
        <v>2.3374721092803199</v>
      </c>
      <c r="F184" s="1">
        <f t="shared" si="33"/>
        <v>32.978599977890134</v>
      </c>
      <c r="G184" s="1">
        <f t="shared" si="53"/>
        <v>20.776517986070786</v>
      </c>
      <c r="H184" s="1">
        <f t="shared" si="39"/>
        <v>9.4147624999999999E-2</v>
      </c>
      <c r="I184" s="125">
        <f t="shared" ref="I184:I199" si="55">($F$88/1000)*$B$31*$Q76*H184</f>
        <v>76.842222591793728</v>
      </c>
      <c r="J184" s="125">
        <f t="shared" si="40"/>
        <v>1.6131141310425323</v>
      </c>
      <c r="K184" s="1">
        <f t="shared" si="41"/>
        <v>1.0162619025567954</v>
      </c>
      <c r="L184" s="1">
        <f t="shared" si="34"/>
        <v>0.12061335779701722</v>
      </c>
      <c r="M184" s="1">
        <f t="shared" si="35"/>
        <v>1.7016928942106786</v>
      </c>
      <c r="N184" s="1">
        <f t="shared" si="42"/>
        <v>1.5613032304382977</v>
      </c>
      <c r="O184" s="1">
        <f t="shared" si="43"/>
        <v>1.8534939199521363</v>
      </c>
      <c r="P184" s="1">
        <f t="shared" si="43"/>
        <v>7.9825000000000007E-2</v>
      </c>
      <c r="Q184" s="1">
        <f t="shared" si="44"/>
        <v>56.30587475035103</v>
      </c>
      <c r="R184" s="1">
        <f t="shared" si="45"/>
        <v>104.36259650736214</v>
      </c>
      <c r="S184" s="1">
        <f t="shared" si="46"/>
        <v>95.752682295504769</v>
      </c>
      <c r="T184" s="1">
        <f t="shared" si="36"/>
        <v>0.61884807452864354</v>
      </c>
      <c r="U184" s="1">
        <f t="shared" si="37"/>
        <v>8.7311172680692604</v>
      </c>
      <c r="V184" s="1">
        <f t="shared" si="47"/>
        <v>5.3696371198625954</v>
      </c>
      <c r="W184" s="1">
        <f t="shared" ref="W184:X184" si="56">W161</f>
        <v>3.4475228841878658</v>
      </c>
      <c r="X184" s="1">
        <f t="shared" si="56"/>
        <v>5.1999999999999998E-3</v>
      </c>
      <c r="Y184" s="1">
        <f t="shared" si="49"/>
        <v>6.3789763480643922</v>
      </c>
      <c r="Z184" s="1">
        <f t="shared" si="50"/>
        <v>21.991666937645132</v>
      </c>
      <c r="AA184" s="1">
        <f t="shared" si="51"/>
        <v>13.524875166651755</v>
      </c>
    </row>
    <row r="185" spans="1:27" ht="15.75">
      <c r="A185" s="167" t="s">
        <v>114</v>
      </c>
      <c r="B185" s="174">
        <v>18.05</v>
      </c>
      <c r="C185" s="1">
        <f t="shared" si="38"/>
        <v>14.393282378976728</v>
      </c>
      <c r="D185" s="1">
        <f t="shared" si="38"/>
        <v>2.3864939986242891E-2</v>
      </c>
      <c r="E185" s="1">
        <f t="shared" si="52"/>
        <v>1.9432710142682417</v>
      </c>
      <c r="F185" s="1">
        <f t="shared" si="33"/>
        <v>27.970048447243318</v>
      </c>
      <c r="G185" s="1">
        <f>F185*(1-$C$23/2)</f>
        <v>22.795589484503303</v>
      </c>
      <c r="H185" s="1">
        <f t="shared" si="39"/>
        <v>8.5758749999999995E-2</v>
      </c>
      <c r="I185" s="125">
        <f t="shared" si="55"/>
        <v>58.19101420936969</v>
      </c>
      <c r="J185" s="125">
        <f t="shared" si="40"/>
        <v>1.3887250618452149</v>
      </c>
      <c r="K185" s="1">
        <f>J185*(1-$C$23/2)</f>
        <v>1.1318109254038502</v>
      </c>
      <c r="L185" s="1">
        <f t="shared" si="34"/>
        <v>0.10027261553622224</v>
      </c>
      <c r="M185" s="1">
        <f t="shared" si="35"/>
        <v>1.4432520702914158</v>
      </c>
      <c r="N185" s="1">
        <f t="shared" si="42"/>
        <v>1.3241837744923739</v>
      </c>
      <c r="O185" s="1">
        <f t="shared" si="43"/>
        <v>2.0754340742302122</v>
      </c>
      <c r="P185" s="1">
        <f t="shared" si="43"/>
        <v>7.9612500000000003E-2</v>
      </c>
      <c r="Q185" s="1">
        <f t="shared" si="44"/>
        <v>46.685603777061594</v>
      </c>
      <c r="R185" s="1">
        <f t="shared" si="45"/>
        <v>96.892892854924327</v>
      </c>
      <c r="S185" s="1">
        <f t="shared" si="46"/>
        <v>88.899229194393072</v>
      </c>
      <c r="T185" s="1">
        <f t="shared" si="36"/>
        <v>0.51448294107666959</v>
      </c>
      <c r="U185" s="1">
        <f t="shared" si="37"/>
        <v>7.4050982500829505</v>
      </c>
      <c r="V185" s="1">
        <f t="shared" si="47"/>
        <v>4.5541354238010143</v>
      </c>
      <c r="W185" s="1">
        <f t="shared" ref="W185:X185" si="57">W162</f>
        <v>3.8125806213555706</v>
      </c>
      <c r="X185" s="1">
        <f t="shared" si="57"/>
        <v>5.899999999999999E-3</v>
      </c>
      <c r="Y185" s="1">
        <f t="shared" si="49"/>
        <v>6.0170912145463014</v>
      </c>
      <c r="Z185" s="1">
        <f t="shared" si="50"/>
        <v>22.940645361508082</v>
      </c>
      <c r="AA185" s="1">
        <f t="shared" si="51"/>
        <v>14.10849689732747</v>
      </c>
    </row>
    <row r="186" spans="1:27" ht="15.75">
      <c r="A186" s="167" t="s">
        <v>116</v>
      </c>
      <c r="B186" s="174">
        <v>22.54</v>
      </c>
      <c r="C186" s="1">
        <f t="shared" si="38"/>
        <v>14.114030970112156</v>
      </c>
      <c r="D186" s="1">
        <f t="shared" si="38"/>
        <v>2.4899947272747327E-2</v>
      </c>
      <c r="E186" s="1">
        <f t="shared" si="52"/>
        <v>1.6613516221355846</v>
      </c>
      <c r="F186" s="1">
        <f t="shared" si="33"/>
        <v>23.448368247067709</v>
      </c>
      <c r="G186" s="1">
        <f t="shared" ref="G186:G199" si="58">F186*(1-$C$23/2)</f>
        <v>19.110420121360182</v>
      </c>
      <c r="H186" s="1">
        <f t="shared" si="39"/>
        <v>8.5758749999999995E-2</v>
      </c>
      <c r="I186" s="125">
        <f t="shared" si="55"/>
        <v>49.748972294971118</v>
      </c>
      <c r="J186" s="125">
        <f t="shared" si="40"/>
        <v>1.2387467870181483</v>
      </c>
      <c r="K186" s="1">
        <f t="shared" ref="K186:K199" si="59">J186*(1-$C$23/2)</f>
        <v>1.0095786314197908</v>
      </c>
      <c r="L186" s="1">
        <f t="shared" si="34"/>
        <v>8.5725599390783405E-2</v>
      </c>
      <c r="M186" s="1">
        <f t="shared" si="35"/>
        <v>1.2099337647329447</v>
      </c>
      <c r="N186" s="1">
        <f t="shared" si="42"/>
        <v>1.1101142291424768</v>
      </c>
      <c r="O186" s="1">
        <f t="shared" si="43"/>
        <v>2.1487706159375377</v>
      </c>
      <c r="P186" s="1">
        <f t="shared" si="43"/>
        <v>7.9612500000000003E-2</v>
      </c>
      <c r="Q186" s="1">
        <f t="shared" si="44"/>
        <v>39.912705431160305</v>
      </c>
      <c r="R186" s="1">
        <f t="shared" si="45"/>
        <v>85.763248633047837</v>
      </c>
      <c r="S186" s="1">
        <f t="shared" si="46"/>
        <v>78.687780620821385</v>
      </c>
      <c r="T186" s="1">
        <f t="shared" si="36"/>
        <v>0.43984450055756702</v>
      </c>
      <c r="U186" s="1">
        <f t="shared" si="37"/>
        <v>6.2079789029030144</v>
      </c>
      <c r="V186" s="1">
        <f t="shared" si="47"/>
        <v>3.8179070252853538</v>
      </c>
      <c r="W186" s="1">
        <f t="shared" ref="W186:X186" si="60">W163</f>
        <v>3.9217762444997675</v>
      </c>
      <c r="X186" s="1">
        <f t="shared" si="60"/>
        <v>5.899999999999999E-3</v>
      </c>
      <c r="Y186" s="1">
        <f t="shared" si="49"/>
        <v>5.1441637200504209</v>
      </c>
      <c r="Z186" s="1">
        <f t="shared" si="50"/>
        <v>20.174259075111294</v>
      </c>
      <c r="AA186" s="1">
        <f t="shared" si="51"/>
        <v>12.407169331193446</v>
      </c>
    </row>
    <row r="187" spans="1:27" ht="15.75">
      <c r="A187" s="167" t="s">
        <v>118</v>
      </c>
      <c r="B187" s="174">
        <v>27.49</v>
      </c>
      <c r="C187" s="1">
        <f t="shared" si="38"/>
        <v>13.427840707880669</v>
      </c>
      <c r="D187" s="1">
        <f t="shared" si="38"/>
        <v>2.4911534040205515E-2</v>
      </c>
      <c r="E187" s="1">
        <f t="shared" si="52"/>
        <v>1.4079080376766726</v>
      </c>
      <c r="F187" s="1">
        <f t="shared" si="33"/>
        <v>18.905164861267217</v>
      </c>
      <c r="G187" s="1">
        <f t="shared" si="58"/>
        <v>15.407709361932781</v>
      </c>
      <c r="H187" s="1">
        <f t="shared" si="39"/>
        <v>8.5758749999999995E-2</v>
      </c>
      <c r="I187" s="125">
        <f t="shared" si="55"/>
        <v>42.159634978541426</v>
      </c>
      <c r="J187" s="125">
        <f t="shared" si="40"/>
        <v>1.0502611818905738</v>
      </c>
      <c r="K187" s="1">
        <f t="shared" si="59"/>
        <v>0.85596286324081761</v>
      </c>
      <c r="L187" s="1">
        <f t="shared" si="34"/>
        <v>7.2647932447791289E-2</v>
      </c>
      <c r="M187" s="1">
        <f t="shared" si="35"/>
        <v>0.97550486466581687</v>
      </c>
      <c r="N187" s="1">
        <f t="shared" si="42"/>
        <v>0.89502571333088699</v>
      </c>
      <c r="O187" s="1">
        <f t="shared" si="43"/>
        <v>2.1376933845712758</v>
      </c>
      <c r="P187" s="1">
        <f t="shared" si="43"/>
        <v>7.9612500000000003E-2</v>
      </c>
      <c r="Q187" s="1">
        <f t="shared" si="44"/>
        <v>33.823916643075322</v>
      </c>
      <c r="R187" s="1">
        <f t="shared" si="45"/>
        <v>72.305162848192396</v>
      </c>
      <c r="S187" s="1">
        <f t="shared" si="46"/>
        <v>66.339986913216521</v>
      </c>
      <c r="T187" s="1">
        <f t="shared" si="36"/>
        <v>0.37274505854868439</v>
      </c>
      <c r="U187" s="1">
        <f t="shared" si="37"/>
        <v>5.0051612708413877</v>
      </c>
      <c r="V187" s="1">
        <f t="shared" si="47"/>
        <v>3.0781741815674533</v>
      </c>
      <c r="W187" s="1">
        <f t="shared" ref="W187:X187" si="61">W164</f>
        <v>3.8829279521177043</v>
      </c>
      <c r="X187" s="1">
        <f t="shared" si="61"/>
        <v>5.899999999999999E-3</v>
      </c>
      <c r="Y187" s="1">
        <f t="shared" si="49"/>
        <v>4.3594079375405403</v>
      </c>
      <c r="Z187" s="1">
        <f t="shared" si="50"/>
        <v>16.927266935359956</v>
      </c>
      <c r="AA187" s="1">
        <f t="shared" si="51"/>
        <v>10.410269165246373</v>
      </c>
    </row>
    <row r="188" spans="1:27" ht="15.75">
      <c r="A188" s="167" t="s">
        <v>119</v>
      </c>
      <c r="B188" s="174">
        <v>32.57</v>
      </c>
      <c r="C188" s="1">
        <f t="shared" si="38"/>
        <v>12.467721640650874</v>
      </c>
      <c r="D188" s="1">
        <f t="shared" si="38"/>
        <v>2.4086551524992658E-2</v>
      </c>
      <c r="E188" s="1">
        <f t="shared" si="52"/>
        <v>1.1697523738196547</v>
      </c>
      <c r="F188" s="1">
        <f t="shared" si="33"/>
        <v>14.584146985274039</v>
      </c>
      <c r="G188" s="1">
        <f t="shared" si="58"/>
        <v>11.886079792998341</v>
      </c>
      <c r="H188" s="1">
        <f t="shared" si="39"/>
        <v>8.5758749999999995E-2</v>
      </c>
      <c r="I188" s="125">
        <f t="shared" si="55"/>
        <v>35.028092585436696</v>
      </c>
      <c r="J188" s="125">
        <f t="shared" si="40"/>
        <v>0.84370595688133421</v>
      </c>
      <c r="K188" s="1">
        <f t="shared" si="59"/>
        <v>0.68762035485828732</v>
      </c>
      <c r="L188" s="1">
        <f t="shared" si="34"/>
        <v>6.0359120879889129E-2</v>
      </c>
      <c r="M188" s="1">
        <f t="shared" si="35"/>
        <v>0.75254071760485575</v>
      </c>
      <c r="N188" s="1">
        <f t="shared" si="42"/>
        <v>0.69045610840245508</v>
      </c>
      <c r="O188" s="1">
        <f t="shared" si="43"/>
        <v>2.0586061616382505</v>
      </c>
      <c r="P188" s="1">
        <f t="shared" si="43"/>
        <v>7.9612500000000003E-2</v>
      </c>
      <c r="Q188" s="1">
        <f t="shared" si="44"/>
        <v>28.102408485717987</v>
      </c>
      <c r="R188" s="1">
        <f t="shared" si="45"/>
        <v>57.851791265574107</v>
      </c>
      <c r="S188" s="1">
        <f t="shared" si="46"/>
        <v>53.079018486164244</v>
      </c>
      <c r="T188" s="1">
        <f t="shared" si="36"/>
        <v>0.30969310878172712</v>
      </c>
      <c r="U188" s="1">
        <f t="shared" si="37"/>
        <v>3.8611674743183846</v>
      </c>
      <c r="V188" s="1">
        <f t="shared" si="47"/>
        <v>2.3746179967058065</v>
      </c>
      <c r="W188" s="1">
        <f t="shared" ref="W188:X188" si="62">W165</f>
        <v>3.7264054661368244</v>
      </c>
      <c r="X188" s="1">
        <f t="shared" si="62"/>
        <v>5.899999999999999E-3</v>
      </c>
      <c r="Y188" s="1">
        <f t="shared" si="49"/>
        <v>3.6219892542139038</v>
      </c>
      <c r="Z188" s="1">
        <f t="shared" si="50"/>
        <v>13.497000555191532</v>
      </c>
      <c r="AA188" s="1">
        <f t="shared" si="51"/>
        <v>8.3006553414427913</v>
      </c>
    </row>
    <row r="189" spans="1:27" ht="15.75">
      <c r="A189" s="164" t="s">
        <v>120</v>
      </c>
      <c r="B189" s="174">
        <v>37.520000000000003</v>
      </c>
      <c r="C189" s="1">
        <f t="shared" si="38"/>
        <v>11.399845770270314</v>
      </c>
      <c r="D189" s="1">
        <f t="shared" si="38"/>
        <v>2.2762237479151116E-2</v>
      </c>
      <c r="E189" s="1">
        <f t="shared" si="52"/>
        <v>0.88859589502332892</v>
      </c>
      <c r="F189" s="1">
        <f t="shared" si="33"/>
        <v>10.12985615536126</v>
      </c>
      <c r="G189" s="1">
        <f t="shared" si="58"/>
        <v>8.2558327666194256</v>
      </c>
      <c r="H189" s="1">
        <f t="shared" si="39"/>
        <v>8.5758749999999995E-2</v>
      </c>
      <c r="I189" s="125">
        <f t="shared" si="55"/>
        <v>26.608896018119935</v>
      </c>
      <c r="J189" s="125">
        <f t="shared" si="40"/>
        <v>0.60567801022248446</v>
      </c>
      <c r="K189" s="1">
        <f t="shared" si="59"/>
        <v>0.49362757833132481</v>
      </c>
      <c r="L189" s="1">
        <f t="shared" si="34"/>
        <v>4.5851470996335401E-2</v>
      </c>
      <c r="M189" s="1">
        <f t="shared" si="35"/>
        <v>0.52269969769824609</v>
      </c>
      <c r="N189" s="1">
        <f t="shared" si="42"/>
        <v>0.47957697263814075</v>
      </c>
      <c r="O189" s="1">
        <f t="shared" si="43"/>
        <v>1.9398245562330187</v>
      </c>
      <c r="P189" s="1">
        <f t="shared" si="43"/>
        <v>7.9612500000000003E-2</v>
      </c>
      <c r="Q189" s="1">
        <f t="shared" si="44"/>
        <v>21.347838550766429</v>
      </c>
      <c r="R189" s="1">
        <f t="shared" si="45"/>
        <v>41.411061443274619</v>
      </c>
      <c r="S189" s="1">
        <f t="shared" si="46"/>
        <v>37.994648874204465</v>
      </c>
      <c r="T189" s="1">
        <f t="shared" si="36"/>
        <v>0.23525665033006671</v>
      </c>
      <c r="U189" s="1">
        <f t="shared" si="37"/>
        <v>2.6818895301931733</v>
      </c>
      <c r="V189" s="1">
        <f t="shared" si="47"/>
        <v>1.6493620610688016</v>
      </c>
      <c r="W189" s="1">
        <f t="shared" ref="W189:X189" si="63">W166</f>
        <v>3.5026746773274895</v>
      </c>
      <c r="X189" s="1">
        <f t="shared" si="63"/>
        <v>5.899999999999999E-3</v>
      </c>
      <c r="Y189" s="1">
        <f t="shared" si="49"/>
        <v>2.7514240237047729</v>
      </c>
      <c r="Z189" s="1">
        <f t="shared" si="50"/>
        <v>9.6373432544212179</v>
      </c>
      <c r="AA189" s="1">
        <f t="shared" si="51"/>
        <v>5.9269661014690493</v>
      </c>
    </row>
    <row r="190" spans="1:27" ht="15.75">
      <c r="A190" s="164" t="s">
        <v>121</v>
      </c>
      <c r="B190" s="174">
        <v>42.61</v>
      </c>
      <c r="C190" s="1">
        <f t="shared" si="38"/>
        <v>10.26035700156865</v>
      </c>
      <c r="D190" s="1">
        <f t="shared" si="38"/>
        <v>2.1087735605250988E-2</v>
      </c>
      <c r="E190" s="1">
        <f t="shared" si="52"/>
        <v>0.62800707452926963</v>
      </c>
      <c r="F190" s="1">
        <f t="shared" si="33"/>
        <v>6.4435767841810367</v>
      </c>
      <c r="G190" s="1">
        <f t="shared" si="58"/>
        <v>5.2515150791075449</v>
      </c>
      <c r="H190" s="1">
        <f t="shared" si="39"/>
        <v>8.5758749999999995E-2</v>
      </c>
      <c r="I190" s="125">
        <f t="shared" si="55"/>
        <v>18.805595477519418</v>
      </c>
      <c r="J190" s="125">
        <f t="shared" si="40"/>
        <v>0.39656742532923317</v>
      </c>
      <c r="K190" s="1">
        <f t="shared" si="59"/>
        <v>0.32320245164332501</v>
      </c>
      <c r="L190" s="1">
        <f t="shared" si="34"/>
        <v>3.2405110494592458E-2</v>
      </c>
      <c r="M190" s="1">
        <f t="shared" si="35"/>
        <v>0.33248800234979747</v>
      </c>
      <c r="N190" s="1">
        <f t="shared" si="42"/>
        <v>0.30505774215593917</v>
      </c>
      <c r="O190" s="1">
        <f t="shared" si="43"/>
        <v>1.7930461548934542</v>
      </c>
      <c r="P190" s="1">
        <f t="shared" si="43"/>
        <v>7.9612500000000003E-2</v>
      </c>
      <c r="Q190" s="1">
        <f t="shared" si="44"/>
        <v>15.087390917373096</v>
      </c>
      <c r="R190" s="1">
        <f t="shared" si="45"/>
        <v>27.052388271770255</v>
      </c>
      <c r="S190" s="1">
        <f t="shared" si="46"/>
        <v>24.820566239349208</v>
      </c>
      <c r="T190" s="1">
        <f t="shared" si="36"/>
        <v>0.16626549994748935</v>
      </c>
      <c r="U190" s="1">
        <f t="shared" si="37"/>
        <v>1.7059433865055345</v>
      </c>
      <c r="V190" s="1">
        <f t="shared" si="47"/>
        <v>1.0491551827009036</v>
      </c>
      <c r="W190" s="1">
        <f t="shared" ref="W190:X190" si="64">W167</f>
        <v>3.2312756864633911</v>
      </c>
      <c r="X190" s="1">
        <f t="shared" si="64"/>
        <v>5.899999999999999E-3</v>
      </c>
      <c r="Y190" s="1">
        <f t="shared" si="49"/>
        <v>1.9445439277783543</v>
      </c>
      <c r="Z190" s="1">
        <f t="shared" si="50"/>
        <v>6.2833575150902208</v>
      </c>
      <c r="AA190" s="1">
        <f t="shared" si="51"/>
        <v>3.8642648717804859</v>
      </c>
    </row>
    <row r="191" spans="1:27" ht="15.75">
      <c r="A191" s="164" t="s">
        <v>122</v>
      </c>
      <c r="B191" s="174">
        <v>47.68</v>
      </c>
      <c r="C191" s="1">
        <f t="shared" si="38"/>
        <v>9.111499773278128</v>
      </c>
      <c r="D191" s="1">
        <f t="shared" si="38"/>
        <v>1.9265081149608482E-2</v>
      </c>
      <c r="E191" s="1">
        <f t="shared" si="52"/>
        <v>0.46045728767528726</v>
      </c>
      <c r="F191" s="1">
        <f t="shared" si="33"/>
        <v>4.195456472257642</v>
      </c>
      <c r="G191" s="1">
        <f t="shared" si="58"/>
        <v>3.4192970248899779</v>
      </c>
      <c r="H191" s="1">
        <f t="shared" si="39"/>
        <v>8.5758749999999995E-2</v>
      </c>
      <c r="I191" s="125">
        <f t="shared" si="55"/>
        <v>13.788337485191276</v>
      </c>
      <c r="J191" s="125">
        <f t="shared" si="40"/>
        <v>0.26563344057039845</v>
      </c>
      <c r="K191" s="1">
        <f t="shared" si="59"/>
        <v>0.21649125406487471</v>
      </c>
      <c r="L191" s="1">
        <f t="shared" si="34"/>
        <v>2.3759556046947995E-2</v>
      </c>
      <c r="M191" s="1">
        <f t="shared" si="35"/>
        <v>0.21648518953495563</v>
      </c>
      <c r="N191" s="1">
        <f t="shared" si="42"/>
        <v>0.19862516139832179</v>
      </c>
      <c r="O191" s="1">
        <f t="shared" si="43"/>
        <v>1.6351512353291788</v>
      </c>
      <c r="P191" s="1">
        <f t="shared" si="43"/>
        <v>7.9612500000000003E-2</v>
      </c>
      <c r="Q191" s="1">
        <f t="shared" si="44"/>
        <v>11.062135096356458</v>
      </c>
      <c r="R191" s="1">
        <f t="shared" si="45"/>
        <v>18.088263868185528</v>
      </c>
      <c r="S191" s="1">
        <f t="shared" si="46"/>
        <v>16.595982099060222</v>
      </c>
      <c r="T191" s="1">
        <f t="shared" si="36"/>
        <v>0.12190652660590115</v>
      </c>
      <c r="U191" s="1">
        <f t="shared" si="37"/>
        <v>1.1107512895307925</v>
      </c>
      <c r="V191" s="1">
        <f t="shared" si="47"/>
        <v>0.68311204306143736</v>
      </c>
      <c r="W191" s="1">
        <f t="shared" ref="W191:X191" si="65">W168</f>
        <v>2.9421615669760151</v>
      </c>
      <c r="X191" s="1">
        <f t="shared" si="65"/>
        <v>5.899999999999999E-3</v>
      </c>
      <c r="Y191" s="1">
        <f t="shared" si="49"/>
        <v>1.4257473507307434</v>
      </c>
      <c r="Z191" s="1">
        <f t="shared" si="50"/>
        <v>4.1947790595378658</v>
      </c>
      <c r="AA191" s="1">
        <f t="shared" si="51"/>
        <v>2.5797891216157876</v>
      </c>
    </row>
    <row r="192" spans="1:27" ht="15.75">
      <c r="A192" s="164" t="s">
        <v>123</v>
      </c>
      <c r="B192" s="174">
        <v>52.64</v>
      </c>
      <c r="C192" s="1">
        <f t="shared" si="38"/>
        <v>7.9650442244023312</v>
      </c>
      <c r="D192" s="1">
        <f t="shared" si="38"/>
        <v>1.744132223653971E-2</v>
      </c>
      <c r="E192" s="1">
        <f t="shared" si="52"/>
        <v>0.37623758611933955</v>
      </c>
      <c r="F192" s="1">
        <f t="shared" si="33"/>
        <v>2.9967490123229203</v>
      </c>
      <c r="G192" s="1">
        <f t="shared" si="58"/>
        <v>2.4423504450431799</v>
      </c>
      <c r="H192" s="1">
        <f t="shared" si="39"/>
        <v>8.5758749999999995E-2</v>
      </c>
      <c r="I192" s="125">
        <f t="shared" si="55"/>
        <v>11.266388763696821</v>
      </c>
      <c r="J192" s="125">
        <f t="shared" si="40"/>
        <v>0.1965007168697665</v>
      </c>
      <c r="K192" s="1">
        <f t="shared" si="59"/>
        <v>0.16014808424885968</v>
      </c>
      <c r="L192" s="1">
        <f t="shared" si="34"/>
        <v>1.941382676230936E-2</v>
      </c>
      <c r="M192" s="1">
        <f t="shared" si="35"/>
        <v>0.15463198872667958</v>
      </c>
      <c r="N192" s="1">
        <f t="shared" si="42"/>
        <v>0.1418748496567285</v>
      </c>
      <c r="O192" s="1">
        <f t="shared" si="43"/>
        <v>1.4782647154184263</v>
      </c>
      <c r="P192" s="1">
        <f t="shared" si="43"/>
        <v>7.9612500000000003E-2</v>
      </c>
      <c r="Q192" s="1">
        <f t="shared" si="44"/>
        <v>9.0388210098527146</v>
      </c>
      <c r="R192" s="1">
        <f t="shared" si="45"/>
        <v>13.361770167848016</v>
      </c>
      <c r="S192" s="1">
        <f t="shared" si="46"/>
        <v>12.259424129000555</v>
      </c>
      <c r="T192" s="1">
        <f t="shared" si="36"/>
        <v>9.9609276538895175E-2</v>
      </c>
      <c r="U192" s="1">
        <f t="shared" si="37"/>
        <v>0.79339229279302159</v>
      </c>
      <c r="V192" s="1">
        <f t="shared" si="47"/>
        <v>0.48793626006770829</v>
      </c>
      <c r="W192" s="1">
        <f t="shared" ref="W192:X192" si="66">W169</f>
        <v>2.6565905580646327</v>
      </c>
      <c r="X192" s="1">
        <f t="shared" si="66"/>
        <v>5.899999999999999E-3</v>
      </c>
      <c r="Y192" s="1">
        <f t="shared" si="49"/>
        <v>1.1649717704832148</v>
      </c>
      <c r="Z192" s="1">
        <f t="shared" si="50"/>
        <v>3.094853005877547</v>
      </c>
      <c r="AA192" s="1">
        <f t="shared" si="51"/>
        <v>1.9033345986146915</v>
      </c>
    </row>
    <row r="193" spans="1:27" ht="15.75">
      <c r="A193" s="164" t="s">
        <v>124</v>
      </c>
      <c r="B193" s="174">
        <v>57.64</v>
      </c>
      <c r="C193" s="1">
        <f t="shared" si="38"/>
        <v>6.8266022419576435</v>
      </c>
      <c r="D193" s="1">
        <f t="shared" si="38"/>
        <v>1.5635894304453991E-2</v>
      </c>
      <c r="E193" s="1">
        <f t="shared" si="52"/>
        <v>0.32699597834042909</v>
      </c>
      <c r="F193" s="1">
        <f t="shared" si="33"/>
        <v>2.2322714788499063</v>
      </c>
      <c r="G193" s="1">
        <f t="shared" si="58"/>
        <v>1.8193012552626735</v>
      </c>
      <c r="H193" s="1">
        <f t="shared" si="39"/>
        <v>8.5758749999999995E-2</v>
      </c>
      <c r="I193" s="125">
        <f t="shared" si="55"/>
        <v>9.7918548068190709</v>
      </c>
      <c r="J193" s="125">
        <f t="shared" si="40"/>
        <v>0.15310440680398274</v>
      </c>
      <c r="K193" s="1">
        <f t="shared" si="59"/>
        <v>0.12478009154524593</v>
      </c>
      <c r="L193" s="1">
        <f t="shared" si="34"/>
        <v>1.6872964078233646E-2</v>
      </c>
      <c r="M193" s="1">
        <f t="shared" si="35"/>
        <v>0.1151850144049406</v>
      </c>
      <c r="N193" s="1">
        <f t="shared" si="42"/>
        <v>0.10568225071653299</v>
      </c>
      <c r="O193" s="1">
        <f t="shared" si="43"/>
        <v>1.3236788171666429</v>
      </c>
      <c r="P193" s="1">
        <f t="shared" si="43"/>
        <v>7.9612500000000003E-2</v>
      </c>
      <c r="Q193" s="1">
        <f t="shared" si="44"/>
        <v>7.8558289448075032</v>
      </c>
      <c r="R193" s="1">
        <f t="shared" si="45"/>
        <v>10.398594365526272</v>
      </c>
      <c r="S193" s="1">
        <f t="shared" si="46"/>
        <v>9.540710330370354</v>
      </c>
      <c r="T193" s="1">
        <f t="shared" si="36"/>
        <v>8.6572511719461356E-2</v>
      </c>
      <c r="U193" s="1">
        <f t="shared" si="37"/>
        <v>0.59099610259597923</v>
      </c>
      <c r="V193" s="1">
        <f t="shared" si="47"/>
        <v>0.36346260309652723</v>
      </c>
      <c r="W193" s="1">
        <f t="shared" ref="W193:X193" si="67">W170</f>
        <v>2.3763272285984032</v>
      </c>
      <c r="X193" s="1">
        <f t="shared" si="67"/>
        <v>5.899999999999999E-3</v>
      </c>
      <c r="Y193" s="1">
        <f t="shared" si="49"/>
        <v>1.012501403055752</v>
      </c>
      <c r="Z193" s="1">
        <f t="shared" si="50"/>
        <v>2.4060346530754697</v>
      </c>
      <c r="AA193" s="1">
        <f t="shared" si="51"/>
        <v>1.4797113116414138</v>
      </c>
    </row>
    <row r="194" spans="1:27" ht="15.75">
      <c r="A194" s="164" t="s">
        <v>126</v>
      </c>
      <c r="B194" s="174">
        <v>62.67</v>
      </c>
      <c r="C194" s="1">
        <f t="shared" si="38"/>
        <v>5.7118272170917006</v>
      </c>
      <c r="D194" s="1">
        <f t="shared" si="38"/>
        <v>1.3901876765442253E-2</v>
      </c>
      <c r="E194" s="1">
        <f t="shared" si="52"/>
        <v>0.29292232775893684</v>
      </c>
      <c r="F194" s="1">
        <f t="shared" si="33"/>
        <v>1.6731217241873513</v>
      </c>
      <c r="G194" s="1">
        <f t="shared" si="58"/>
        <v>1.3635942052126913</v>
      </c>
      <c r="H194" s="1">
        <f t="shared" si="39"/>
        <v>8.8346250000000001E-2</v>
      </c>
      <c r="I194" s="125">
        <f t="shared" si="55"/>
        <v>9.0361765600885295</v>
      </c>
      <c r="J194" s="125">
        <f t="shared" si="40"/>
        <v>0.12561981296912864</v>
      </c>
      <c r="K194" s="1">
        <f t="shared" si="59"/>
        <v>0.10238014756983983</v>
      </c>
      <c r="L194" s="1">
        <f t="shared" si="34"/>
        <v>1.5114766667997418E-2</v>
      </c>
      <c r="M194" s="1">
        <f t="shared" si="35"/>
        <v>8.633293563425809E-2</v>
      </c>
      <c r="N194" s="1">
        <f t="shared" si="42"/>
        <v>7.9210468444431789E-2</v>
      </c>
      <c r="O194" s="1">
        <f t="shared" si="43"/>
        <v>1.1757078977029831</v>
      </c>
      <c r="P194" s="1">
        <f t="shared" si="43"/>
        <v>8.1412499999999999E-2</v>
      </c>
      <c r="Q194" s="1">
        <f t="shared" si="44"/>
        <v>7.1963439612336106</v>
      </c>
      <c r="R194" s="1">
        <f t="shared" si="45"/>
        <v>8.4607984298095253</v>
      </c>
      <c r="S194" s="1">
        <f t="shared" si="46"/>
        <v>7.7627825593502395</v>
      </c>
      <c r="T194" s="1">
        <f t="shared" si="36"/>
        <v>7.7551478710853383E-2</v>
      </c>
      <c r="U194" s="1">
        <f t="shared" si="37"/>
        <v>0.44296064682635994</v>
      </c>
      <c r="V194" s="1">
        <f t="shared" si="47"/>
        <v>0.27242079779821138</v>
      </c>
      <c r="W194" s="1">
        <f t="shared" ref="W194:X194" si="68">W171</f>
        <v>2.108835174160101</v>
      </c>
      <c r="X194" s="1">
        <f t="shared" si="68"/>
        <v>5.899999999999999E-3</v>
      </c>
      <c r="Y194" s="1">
        <f t="shared" si="49"/>
        <v>0.90699668340725681</v>
      </c>
      <c r="Z194" s="1">
        <f t="shared" si="50"/>
        <v>1.9127065088157764</v>
      </c>
      <c r="AA194" s="1">
        <f t="shared" si="51"/>
        <v>1.1763145029217026</v>
      </c>
    </row>
    <row r="195" spans="1:27" ht="15.75">
      <c r="A195" s="164" t="s">
        <v>127</v>
      </c>
      <c r="B195" s="174">
        <v>67.680000000000007</v>
      </c>
      <c r="C195" s="1">
        <f t="shared" si="38"/>
        <v>4.6338111000864313</v>
      </c>
      <c r="D195" s="1">
        <f t="shared" si="38"/>
        <v>1.2286756861320193E-2</v>
      </c>
      <c r="E195" s="1">
        <f t="shared" si="52"/>
        <v>0.23092955361660542</v>
      </c>
      <c r="F195" s="1">
        <f t="shared" si="33"/>
        <v>1.0700839288866308</v>
      </c>
      <c r="G195" s="1">
        <f t="shared" si="58"/>
        <v>0.87211840204260405</v>
      </c>
      <c r="H195" s="1">
        <f t="shared" si="39"/>
        <v>8.8346250000000001E-2</v>
      </c>
      <c r="I195" s="125">
        <f t="shared" si="55"/>
        <v>7.1238004811274172</v>
      </c>
      <c r="J195" s="125">
        <f t="shared" si="40"/>
        <v>8.7528404440168392E-2</v>
      </c>
      <c r="K195" s="1">
        <f t="shared" si="59"/>
        <v>7.1335649618737229E-2</v>
      </c>
      <c r="L195" s="1">
        <f t="shared" si="34"/>
        <v>1.1915944907184698E-2</v>
      </c>
      <c r="M195" s="1">
        <f t="shared" si="35"/>
        <v>5.5216237778930838E-2</v>
      </c>
      <c r="N195" s="1">
        <f t="shared" si="42"/>
        <v>5.0660898162169045E-2</v>
      </c>
      <c r="O195" s="1">
        <f t="shared" si="43"/>
        <v>1.0382330768594432</v>
      </c>
      <c r="P195" s="1">
        <f t="shared" si="43"/>
        <v>8.1412499999999999E-2</v>
      </c>
      <c r="Q195" s="1">
        <f t="shared" si="44"/>
        <v>5.6733418423701227</v>
      </c>
      <c r="R195" s="1">
        <f t="shared" si="45"/>
        <v>5.890251157079355</v>
      </c>
      <c r="S195" s="1">
        <f t="shared" si="46"/>
        <v>5.4043054366203078</v>
      </c>
      <c r="T195" s="1">
        <f t="shared" si="36"/>
        <v>6.1138829866678408E-2</v>
      </c>
      <c r="U195" s="1">
        <f t="shared" si="37"/>
        <v>0.28330578848251026</v>
      </c>
      <c r="V195" s="1">
        <f t="shared" si="47"/>
        <v>0.17423305991674382</v>
      </c>
      <c r="W195" s="1">
        <f t="shared" ref="W195:X195" si="69">W172</f>
        <v>1.8608634017172543</v>
      </c>
      <c r="X195" s="1">
        <f t="shared" si="69"/>
        <v>5.899999999999999E-3</v>
      </c>
      <c r="Y195" s="1">
        <f t="shared" si="49"/>
        <v>0.71504395323305692</v>
      </c>
      <c r="Z195" s="1">
        <f t="shared" si="50"/>
        <v>1.3305991231906196</v>
      </c>
      <c r="AA195" s="1">
        <f t="shared" si="51"/>
        <v>0.81831846076223103</v>
      </c>
    </row>
    <row r="196" spans="1:27" ht="15.75">
      <c r="A196" s="164" t="s">
        <v>128</v>
      </c>
      <c r="B196" s="174">
        <v>72.56</v>
      </c>
      <c r="C196" s="1">
        <f t="shared" si="38"/>
        <v>3.627712105557285</v>
      </c>
      <c r="D196" s="1">
        <f t="shared" si="38"/>
        <v>1.0836682828614622E-2</v>
      </c>
      <c r="E196" s="1">
        <f t="shared" si="52"/>
        <v>0.16094910380095148</v>
      </c>
      <c r="F196" s="1">
        <f t="shared" si="33"/>
        <v>0.5838770122373077</v>
      </c>
      <c r="G196" s="1">
        <f t="shared" si="58"/>
        <v>0.47585976497340576</v>
      </c>
      <c r="H196" s="1">
        <f t="shared" si="39"/>
        <v>8.8346250000000001E-2</v>
      </c>
      <c r="I196" s="125">
        <f t="shared" si="55"/>
        <v>4.9650176217713797</v>
      </c>
      <c r="J196" s="125">
        <f t="shared" si="40"/>
        <v>5.380432120561892E-2</v>
      </c>
      <c r="K196" s="1">
        <f t="shared" si="59"/>
        <v>4.3850521782579414E-2</v>
      </c>
      <c r="L196" s="1">
        <f t="shared" si="34"/>
        <v>8.3049597754688669E-3</v>
      </c>
      <c r="M196" s="1">
        <f t="shared" si="35"/>
        <v>3.012800311363472E-2</v>
      </c>
      <c r="N196" s="1">
        <f t="shared" si="42"/>
        <v>2.7642442856759854E-2</v>
      </c>
      <c r="O196" s="1">
        <f t="shared" si="43"/>
        <v>0.91504779137534453</v>
      </c>
      <c r="P196" s="1">
        <f t="shared" si="43"/>
        <v>8.1412499999999999E-2</v>
      </c>
      <c r="Q196" s="1">
        <f t="shared" si="44"/>
        <v>3.9541031920145304</v>
      </c>
      <c r="R196" s="1">
        <f t="shared" si="45"/>
        <v>3.618193392723096</v>
      </c>
      <c r="S196" s="1">
        <f t="shared" si="46"/>
        <v>3.3196924378234405</v>
      </c>
      <c r="T196" s="1">
        <f t="shared" si="36"/>
        <v>4.2611435913558857E-2</v>
      </c>
      <c r="U196" s="1">
        <f t="shared" si="37"/>
        <v>0.15458202189879591</v>
      </c>
      <c r="V196" s="1">
        <f t="shared" si="47"/>
        <v>9.5067943467759486E-2</v>
      </c>
      <c r="W196" s="1">
        <f t="shared" ref="W196:X196" si="70">W173</f>
        <v>1.639043876504624</v>
      </c>
      <c r="X196" s="1">
        <f t="shared" si="70"/>
        <v>5.899999999999999E-3</v>
      </c>
      <c r="Y196" s="1">
        <f t="shared" si="49"/>
        <v>0.49835840258981273</v>
      </c>
      <c r="Z196" s="1">
        <f t="shared" si="50"/>
        <v>0.81683128806945871</v>
      </c>
      <c r="AA196" s="1">
        <f t="shared" si="51"/>
        <v>0.50235124216271709</v>
      </c>
    </row>
    <row r="197" spans="1:27" ht="15.75">
      <c r="A197" s="164" t="s">
        <v>129</v>
      </c>
      <c r="B197" s="174">
        <v>77.45</v>
      </c>
      <c r="C197" s="1">
        <f t="shared" si="38"/>
        <v>2.7313382953473297</v>
      </c>
      <c r="D197" s="1">
        <f t="shared" si="38"/>
        <v>9.5119466881682015E-3</v>
      </c>
      <c r="E197" s="1">
        <f t="shared" si="52"/>
        <v>9.6256479106195988E-2</v>
      </c>
      <c r="F197" s="1">
        <f t="shared" si="33"/>
        <v>0.26290900755805319</v>
      </c>
      <c r="G197" s="1">
        <f t="shared" si="58"/>
        <v>0.21427084115981335</v>
      </c>
      <c r="H197" s="1">
        <f t="shared" si="39"/>
        <v>8.8346250000000001E-2</v>
      </c>
      <c r="I197" s="125">
        <f t="shared" si="55"/>
        <v>2.9693555520692905</v>
      </c>
      <c r="J197" s="125">
        <f t="shared" si="40"/>
        <v>2.8244351709499349E-2</v>
      </c>
      <c r="K197" s="1">
        <f t="shared" si="59"/>
        <v>2.3019146643241967E-2</v>
      </c>
      <c r="L197" s="1">
        <f t="shared" si="34"/>
        <v>4.9668259606705017E-3</v>
      </c>
      <c r="M197" s="1">
        <f t="shared" si="35"/>
        <v>1.3566081952704631E-2</v>
      </c>
      <c r="N197" s="1">
        <f t="shared" si="42"/>
        <v>1.2446880191606498E-2</v>
      </c>
      <c r="O197" s="1">
        <f t="shared" si="43"/>
        <v>0.8026847771411455</v>
      </c>
      <c r="P197" s="1">
        <f t="shared" si="43"/>
        <v>8.1412499999999999E-2</v>
      </c>
      <c r="Q197" s="1">
        <f t="shared" si="44"/>
        <v>2.3647727281327025</v>
      </c>
      <c r="R197" s="1">
        <f t="shared" si="45"/>
        <v>1.898167070270657</v>
      </c>
      <c r="S197" s="1">
        <f t="shared" si="46"/>
        <v>1.7415682869733278</v>
      </c>
      <c r="T197" s="1">
        <f t="shared" si="36"/>
        <v>2.5483998940255301E-2</v>
      </c>
      <c r="U197" s="1">
        <f t="shared" si="37"/>
        <v>6.9605422224110078E-2</v>
      </c>
      <c r="V197" s="1">
        <f t="shared" si="47"/>
        <v>4.2807334667827698E-2</v>
      </c>
      <c r="W197" s="1">
        <f t="shared" ref="W197:X197" si="71">W174</f>
        <v>1.4369857480507149</v>
      </c>
      <c r="X197" s="1">
        <f t="shared" si="71"/>
        <v>5.899999999999999E-3</v>
      </c>
      <c r="Y197" s="1">
        <f t="shared" si="49"/>
        <v>0.29804592901374038</v>
      </c>
      <c r="Z197" s="1">
        <f t="shared" si="50"/>
        <v>0.42828775225728</v>
      </c>
      <c r="AA197" s="1">
        <f t="shared" si="51"/>
        <v>0.26339696763822718</v>
      </c>
    </row>
    <row r="198" spans="1:27" ht="15.75">
      <c r="A198" s="164" t="s">
        <v>130</v>
      </c>
      <c r="B198" s="174">
        <v>82.43</v>
      </c>
      <c r="C198" s="1">
        <f t="shared" si="38"/>
        <v>1.9702106627232505</v>
      </c>
      <c r="D198" s="1">
        <f t="shared" si="38"/>
        <v>8.295050671244697E-3</v>
      </c>
      <c r="E198" s="1">
        <f t="shared" si="52"/>
        <v>4.6339571713324264E-2</v>
      </c>
      <c r="F198" s="1">
        <f t="shared" si="33"/>
        <v>9.1298718295620196E-2</v>
      </c>
      <c r="G198" s="1">
        <f t="shared" si="58"/>
        <v>7.4408455410930455E-2</v>
      </c>
      <c r="H198" s="1">
        <f t="shared" si="39"/>
        <v>8.8346250000000001E-2</v>
      </c>
      <c r="I198" s="125">
        <f t="shared" si="55"/>
        <v>1.4295002874109413</v>
      </c>
      <c r="J198" s="125">
        <f t="shared" si="40"/>
        <v>1.1857777318632615E-2</v>
      </c>
      <c r="K198" s="1">
        <f t="shared" si="59"/>
        <v>9.6640885146855801E-3</v>
      </c>
      <c r="L198" s="1">
        <f t="shared" si="34"/>
        <v>2.3911178751735173E-3</v>
      </c>
      <c r="M198" s="1">
        <f t="shared" si="35"/>
        <v>4.711005933495026E-3</v>
      </c>
      <c r="N198" s="1">
        <f t="shared" si="42"/>
        <v>4.322347943981686E-3</v>
      </c>
      <c r="O198" s="1">
        <f t="shared" si="43"/>
        <v>0.69960170605650651</v>
      </c>
      <c r="P198" s="1">
        <f t="shared" si="43"/>
        <v>8.1412499999999999E-2</v>
      </c>
      <c r="Q198" s="1">
        <f t="shared" si="44"/>
        <v>1.1384434215604406</v>
      </c>
      <c r="R198" s="1">
        <f t="shared" si="45"/>
        <v>0.79645695997249089</v>
      </c>
      <c r="S198" s="1">
        <f t="shared" si="46"/>
        <v>0.73074926077476032</v>
      </c>
      <c r="T198" s="1">
        <f t="shared" si="36"/>
        <v>1.2268447873845251E-2</v>
      </c>
      <c r="U198" s="1">
        <f t="shared" si="37"/>
        <v>2.4171426816114307E-2</v>
      </c>
      <c r="V198" s="1">
        <f>U198*(1-$B$27)</f>
        <v>1.4865427491910299E-2</v>
      </c>
      <c r="W198" s="1">
        <f t="shared" ref="W198:X198" si="72">W175</f>
        <v>1.2518241882578869</v>
      </c>
      <c r="X198" s="1">
        <f t="shared" si="72"/>
        <v>5.899999999999999E-3</v>
      </c>
      <c r="Y198" s="1">
        <f t="shared" si="49"/>
        <v>0.14348458233298858</v>
      </c>
      <c r="Z198" s="1">
        <f t="shared" si="50"/>
        <v>0.17961747080651536</v>
      </c>
      <c r="AA198" s="1">
        <f t="shared" si="51"/>
        <v>0.11046474454600694</v>
      </c>
    </row>
    <row r="199" spans="1:27" ht="15.75">
      <c r="A199" s="164" t="s">
        <v>133</v>
      </c>
      <c r="B199" s="174">
        <v>89</v>
      </c>
      <c r="C199" s="1">
        <f t="shared" si="38"/>
        <v>0.96063211035281615</v>
      </c>
      <c r="D199" s="1">
        <f t="shared" si="38"/>
        <v>6.8863321654979411E-3</v>
      </c>
      <c r="E199" s="1">
        <f t="shared" si="52"/>
        <v>1.6580559982710425E-2</v>
      </c>
      <c r="F199" s="1">
        <f t="shared" si="33"/>
        <v>1.5927818327022569E-2</v>
      </c>
      <c r="G199" s="1">
        <f t="shared" si="58"/>
        <v>1.2981171936523393E-2</v>
      </c>
      <c r="H199" s="1">
        <f t="shared" si="39"/>
        <v>8.8346250000000001E-2</v>
      </c>
      <c r="I199" s="125">
        <f t="shared" si="55"/>
        <v>0.51148326116065002</v>
      </c>
      <c r="J199" s="125">
        <f t="shared" si="40"/>
        <v>3.5222436334443681E-3</v>
      </c>
      <c r="K199" s="1">
        <f t="shared" si="59"/>
        <v>2.8706285612571597E-3</v>
      </c>
      <c r="L199" s="1">
        <f t="shared" si="34"/>
        <v>8.5555545485643651E-4</v>
      </c>
      <c r="M199" s="1">
        <f t="shared" si="35"/>
        <v>8.2187404212260217E-4</v>
      </c>
      <c r="N199" s="1">
        <f t="shared" si="42"/>
        <v>7.540694336474875E-4</v>
      </c>
      <c r="O199" s="1">
        <f t="shared" si="43"/>
        <v>0.58041644557580474</v>
      </c>
      <c r="P199" s="1">
        <f t="shared" si="43"/>
        <v>8.1412499999999999E-2</v>
      </c>
      <c r="Q199" s="1">
        <f t="shared" si="44"/>
        <v>0.40734147382457253</v>
      </c>
      <c r="R199" s="1">
        <f>Q199*O199</f>
        <v>0.23642769037286809</v>
      </c>
      <c r="S199" s="1">
        <f t="shared" si="46"/>
        <v>0.21692240591710646</v>
      </c>
      <c r="T199" s="1">
        <f t="shared" si="36"/>
        <v>4.3897198084926958E-3</v>
      </c>
      <c r="U199" s="1">
        <f t="shared" si="37"/>
        <v>4.2169058034898987E-3</v>
      </c>
      <c r="V199" s="1">
        <f t="shared" si="47"/>
        <v>2.5933970691462875E-3</v>
      </c>
      <c r="W199" s="1">
        <f t="shared" ref="W199:X199" si="73">W176</f>
        <v>1.0379704088597159</v>
      </c>
      <c r="X199" s="1">
        <f t="shared" si="73"/>
        <v>5.899999999999999E-3</v>
      </c>
      <c r="Y199" s="1">
        <f t="shared" si="49"/>
        <v>5.1339592404610154E-2</v>
      </c>
      <c r="Z199" s="1">
        <f>Y199*W199</f>
        <v>5.3288977718904368E-2</v>
      </c>
      <c r="AA199" s="1">
        <f t="shared" si="51"/>
        <v>3.2772721297126182E-2</v>
      </c>
    </row>
    <row r="200" spans="1:27" ht="15.75">
      <c r="A200" s="164" t="s">
        <v>72</v>
      </c>
      <c r="B200" s="1"/>
      <c r="E200" s="1"/>
      <c r="F200" s="1">
        <f>SUM(F181:F199)</f>
        <v>292.27052344454154</v>
      </c>
      <c r="G200" s="1">
        <f>SUM(G181:G199)</f>
        <v>205.33195825092477</v>
      </c>
      <c r="J200" s="1">
        <f>SUM(J181:J199)</f>
        <v>15.335128106319997</v>
      </c>
      <c r="K200" s="1">
        <f>SUM(K181:K199)</f>
        <v>10.854288188242508</v>
      </c>
      <c r="L200" s="1"/>
      <c r="M200" s="1">
        <f>SUM(M181:M199)</f>
        <v>11.15032245718553</v>
      </c>
      <c r="N200" s="1">
        <f>SUM(N181:N199)</f>
        <v>10.230420854467724</v>
      </c>
      <c r="O200" s="1"/>
      <c r="R200" s="1">
        <f>SUM(R181:R199)</f>
        <v>687.45161815285041</v>
      </c>
      <c r="S200" s="1">
        <f>SUM(S181:S199)</f>
        <v>630.73685965524021</v>
      </c>
      <c r="T200" s="1"/>
      <c r="U200" s="1">
        <f>SUM(U181:U199)</f>
        <v>57.21054209116302</v>
      </c>
      <c r="V200" s="1">
        <f>SUM(V181:V199)</f>
        <v>35.184483386065253</v>
      </c>
      <c r="Z200" s="1">
        <f>SUM(Z181:Z199)</f>
        <v>157.202041560553</v>
      </c>
      <c r="AA200" s="1">
        <f>SUM(AA181:AA199)</f>
        <v>96.679255559740099</v>
      </c>
    </row>
    <row r="201" spans="1:27">
      <c r="C201" s="1" t="s">
        <v>368</v>
      </c>
      <c r="D201" s="1" t="s">
        <v>369</v>
      </c>
      <c r="G201" s="1" t="s">
        <v>360</v>
      </c>
      <c r="K201" s="1" t="s">
        <v>360</v>
      </c>
      <c r="O201" s="1"/>
    </row>
    <row r="202" spans="1:27">
      <c r="A202" s="67" t="s">
        <v>14</v>
      </c>
      <c r="B202" s="1"/>
      <c r="C202" s="1"/>
      <c r="D202" s="1"/>
      <c r="E202" s="1" t="s">
        <v>330</v>
      </c>
      <c r="F202" s="1"/>
      <c r="G202" s="1"/>
      <c r="L202" s="1" t="s">
        <v>18</v>
      </c>
      <c r="M202" s="1"/>
      <c r="N202" s="1"/>
      <c r="O202" s="1"/>
      <c r="T202" s="1" t="s">
        <v>21</v>
      </c>
      <c r="U202" s="1"/>
      <c r="V202" s="1"/>
    </row>
    <row r="203" spans="1:27">
      <c r="A203" s="67" t="s">
        <v>329</v>
      </c>
      <c r="B203" s="1" t="s">
        <v>344</v>
      </c>
      <c r="C203" s="1" t="s">
        <v>366</v>
      </c>
      <c r="D203" s="1" t="s">
        <v>367</v>
      </c>
      <c r="E203" s="1" t="s">
        <v>345</v>
      </c>
      <c r="F203" s="1" t="s">
        <v>346</v>
      </c>
      <c r="G203" s="1" t="s">
        <v>331</v>
      </c>
      <c r="H203" s="1" t="s">
        <v>364</v>
      </c>
      <c r="I203" s="1" t="s">
        <v>365</v>
      </c>
      <c r="J203" s="1" t="s">
        <v>363</v>
      </c>
      <c r="K203" s="1" t="s">
        <v>331</v>
      </c>
      <c r="L203" s="1" t="s">
        <v>345</v>
      </c>
      <c r="M203" s="1" t="s">
        <v>346</v>
      </c>
      <c r="N203" s="1" t="s">
        <v>331</v>
      </c>
      <c r="O203" s="1" t="s">
        <v>367</v>
      </c>
      <c r="P203" s="1" t="s">
        <v>364</v>
      </c>
      <c r="Q203" s="1" t="s">
        <v>365</v>
      </c>
      <c r="R203" s="1" t="s">
        <v>363</v>
      </c>
      <c r="S203" s="1" t="s">
        <v>331</v>
      </c>
      <c r="T203" s="1" t="s">
        <v>345</v>
      </c>
      <c r="U203" s="1" t="s">
        <v>346</v>
      </c>
      <c r="V203" s="1" t="s">
        <v>331</v>
      </c>
      <c r="W203" s="1" t="s">
        <v>367</v>
      </c>
      <c r="X203" s="1" t="s">
        <v>364</v>
      </c>
      <c r="Y203" s="1" t="s">
        <v>365</v>
      </c>
      <c r="Z203" s="1" t="s">
        <v>363</v>
      </c>
      <c r="AA203" s="1" t="s">
        <v>331</v>
      </c>
    </row>
    <row r="204" spans="1:27" ht="15.75">
      <c r="A204" s="164">
        <v>0</v>
      </c>
      <c r="B204" s="174">
        <v>0.1</v>
      </c>
      <c r="C204" s="1">
        <f>C181</f>
        <v>8.4661744713244396</v>
      </c>
      <c r="D204" s="1">
        <f>D181</f>
        <v>2.9320953866862495E-4</v>
      </c>
      <c r="E204" s="1">
        <f>($B$32*$Q73)*(B$97/1000)</f>
        <v>2.8082305536562102</v>
      </c>
      <c r="F204" s="1">
        <f t="shared" ref="F204:F222" si="74">E204*C204</f>
        <v>23.774969822957505</v>
      </c>
      <c r="G204" s="1">
        <f>F204*(1-$D$23)</f>
        <v>14.978230988463228</v>
      </c>
      <c r="H204">
        <f>H181</f>
        <v>0.11935374999999998</v>
      </c>
      <c r="I204" s="125">
        <f>($F$87/1000)*$B$32*$Q73*H204</f>
        <v>292.58560082075388</v>
      </c>
      <c r="J204" s="125">
        <f>I204*D204</f>
        <v>8.5788889037735697E-2</v>
      </c>
      <c r="K204">
        <f>J204*(1-$D$23)</f>
        <v>5.4047000093773487E-2</v>
      </c>
      <c r="L204" s="1">
        <f>($B$32*$Q73)*(I$114/1000)</f>
        <v>1.5314041930084223</v>
      </c>
      <c r="M204" s="1">
        <f>L204*C204</f>
        <v>12.965135084127111</v>
      </c>
      <c r="N204" s="1">
        <f>M204*(1-$D$25)</f>
        <v>10.372108067301689</v>
      </c>
      <c r="O204" s="1">
        <f>($E$141*EXP($E$139*$B204)/($E$140+$E$139)^2)*(EXP(-($E$140+$E$139)*($B204+$D$131))*(-($E$140+$E$139)*($B204+$D$131)-1)-EXP(-($E$140+$E$139)*$B204)*(-($E$140+$E$139)*$B204-1))</f>
        <v>0.30770343494257318</v>
      </c>
      <c r="P204">
        <v>0.20344660842239756</v>
      </c>
      <c r="Q204" s="1">
        <f>P204*($B$32*$Q73)*(E$114/1000)</f>
        <v>5.1592977404718887</v>
      </c>
      <c r="R204">
        <f>Q204*O204</f>
        <v>1.5875336366346566</v>
      </c>
      <c r="S204">
        <f>R204*(1-$D$25)</f>
        <v>1.2700269093077254</v>
      </c>
      <c r="T204" s="1">
        <f>($B$31*$Q96)*(E$120/1000)</f>
        <v>0</v>
      </c>
      <c r="U204" s="1">
        <f t="shared" ref="U204:U222" si="75">T204*C204</f>
        <v>0</v>
      </c>
      <c r="V204" s="1">
        <f>U204*(1-$B$27)</f>
        <v>0</v>
      </c>
      <c r="W204" s="1">
        <f>C204</f>
        <v>8.4661744713244396</v>
      </c>
      <c r="X204">
        <v>2.195416666666667E-2</v>
      </c>
      <c r="Y204" s="1">
        <f>X204*($B$32*$Q73)*(E$121/1000)</f>
        <v>1.6565058893548128</v>
      </c>
      <c r="Z204">
        <f>Y204*W204</f>
        <v>14.024267872054303</v>
      </c>
      <c r="AA204">
        <f>Z204*(1-$D$26)</f>
        <v>11.219414297643443</v>
      </c>
    </row>
    <row r="205" spans="1:27" ht="15.75">
      <c r="A205" s="165" t="s">
        <v>110</v>
      </c>
      <c r="B205" s="174">
        <v>2.6</v>
      </c>
      <c r="C205" s="1">
        <f t="shared" ref="C205:D222" si="76">C182</f>
        <v>10.353215353808007</v>
      </c>
      <c r="D205" s="1">
        <f t="shared" si="76"/>
        <v>6.3947305622559921E-3</v>
      </c>
      <c r="E205" s="1">
        <f>($B$32*$Q74)*(B$97/1000)</f>
        <v>11.232922214624841</v>
      </c>
      <c r="F205" s="1">
        <f t="shared" si="74"/>
        <v>116.29686274058494</v>
      </c>
      <c r="G205" s="1">
        <f>F205*(1-$D$23)</f>
        <v>73.267023526568508</v>
      </c>
      <c r="H205" s="1">
        <f t="shared" ref="H205:H222" si="77">H182</f>
        <v>0.11935374999999998</v>
      </c>
      <c r="I205" s="125">
        <f>($F$87/1000)*$B$32*$Q74*H205</f>
        <v>1170.3424032830155</v>
      </c>
      <c r="J205" s="125">
        <f t="shared" ref="J205:J222" si="78">I205*D205</f>
        <v>7.4840243345780273</v>
      </c>
      <c r="K205" s="1">
        <f t="shared" ref="K205:K207" si="79">J205*(1-$D$23)</f>
        <v>4.7149353307841571</v>
      </c>
      <c r="L205" s="1">
        <f>($B$32*$Q74)*(I$115/1000)</f>
        <v>7.6570209650421122</v>
      </c>
      <c r="M205" s="1">
        <f t="shared" ref="M205:M222" si="80">L205*C205</f>
        <v>79.274787019703808</v>
      </c>
      <c r="N205" s="1">
        <f t="shared" ref="N205:N222" si="81">M205*(1-$D$25)</f>
        <v>63.419829615763049</v>
      </c>
      <c r="O205" s="1">
        <f t="shared" ref="O205:O222" si="82">($E$141*EXP($E$139*$B205)/($E$140+$E$139)^2)*(EXP(-($E$140+$E$139)*($B205+$D$131))*(-($E$140+$E$139)*($B205+$D$131)-1)-EXP(-($E$140+$E$139)*$B205)*(-($E$140+$E$139)*$B205-1))</f>
        <v>0.93462255610178702</v>
      </c>
      <c r="P205">
        <f>P204</f>
        <v>0.20344660842239756</v>
      </c>
      <c r="Q205" s="1">
        <f t="shared" ref="Q205:Q222" si="83">P205*($B$32*$Q74)*(E$114/1000)</f>
        <v>20.637190961887555</v>
      </c>
      <c r="R205" s="1">
        <f t="shared" ref="R205:R222" si="84">Q205*O205</f>
        <v>19.287984167560044</v>
      </c>
      <c r="S205" s="1">
        <f t="shared" ref="S205:S222" si="85">R205*(1-$D$25)</f>
        <v>15.430387334048035</v>
      </c>
      <c r="T205" s="1">
        <f t="shared" ref="T205:T222" si="86">($B$31*$Q97)*(E$108/1000)</f>
        <v>0</v>
      </c>
      <c r="U205" s="1">
        <f t="shared" si="75"/>
        <v>0</v>
      </c>
      <c r="V205" s="1">
        <f t="shared" ref="V205:V222" si="87">U205*(1-$B$27)</f>
        <v>0</v>
      </c>
      <c r="W205" s="1">
        <f t="shared" ref="W205:W222" si="88">C205</f>
        <v>10.353215353808007</v>
      </c>
      <c r="X205">
        <f>X204</f>
        <v>2.195416666666667E-2</v>
      </c>
      <c r="Y205" s="1">
        <f t="shared" ref="Y205:Y222" si="89">X205*($B$32*$Q74)*(E$121/1000)</f>
        <v>6.6260235574192512</v>
      </c>
      <c r="Z205" s="1">
        <f t="shared" ref="Z205:Z222" si="90">Y205*W205</f>
        <v>68.600648829366548</v>
      </c>
      <c r="AA205" s="1">
        <f t="shared" ref="AA205:AA222" si="91">Z205*(1-$D$26)</f>
        <v>54.880519063493239</v>
      </c>
    </row>
    <row r="206" spans="1:27" ht="15.75">
      <c r="A206" s="165" t="s">
        <v>109</v>
      </c>
      <c r="B206" s="174">
        <v>7.29</v>
      </c>
      <c r="C206" s="1">
        <f t="shared" si="76"/>
        <v>12.724858250494215</v>
      </c>
      <c r="D206" s="1">
        <f t="shared" si="76"/>
        <v>1.4832773412562837E-2</v>
      </c>
      <c r="E206" s="1">
        <f t="shared" ref="E206:E222" si="92">($B$32*$Q75)*(B$98/1000)</f>
        <v>3.4832699403607608</v>
      </c>
      <c r="F206" s="1">
        <f t="shared" si="74"/>
        <v>44.324116239298121</v>
      </c>
      <c r="G206" s="1">
        <f>F206*(1-$D$23)</f>
        <v>27.924193230757815</v>
      </c>
      <c r="H206" s="1">
        <f t="shared" si="77"/>
        <v>9.4147624999999999E-2</v>
      </c>
      <c r="I206" s="125">
        <f>($F$88/1000)*$B$32*$Q75*H206</f>
        <v>114.50926111238847</v>
      </c>
      <c r="J206" s="125">
        <f t="shared" si="78"/>
        <v>1.6984899237200513</v>
      </c>
      <c r="K206" s="1">
        <f t="shared" si="79"/>
        <v>1.0700486519436323</v>
      </c>
      <c r="L206" s="1">
        <f t="shared" ref="L206:L222" si="93">($B$32*$Q75)*(I$116/1000)</f>
        <v>0.18877578107521376</v>
      </c>
      <c r="M206" s="1">
        <f t="shared" si="80"/>
        <v>2.4021450553084236</v>
      </c>
      <c r="N206" s="1">
        <f t="shared" si="81"/>
        <v>1.9217160442467389</v>
      </c>
      <c r="O206" s="1">
        <f t="shared" si="82"/>
        <v>1.7952120091391359</v>
      </c>
      <c r="P206">
        <v>0.197640394507508</v>
      </c>
      <c r="Q206" s="1">
        <f t="shared" si="83"/>
        <v>20.257143860967904</v>
      </c>
      <c r="R206" s="1">
        <f t="shared" si="84"/>
        <v>36.365867930068703</v>
      </c>
      <c r="S206" s="1">
        <f t="shared" si="85"/>
        <v>29.092694344054962</v>
      </c>
      <c r="T206" s="1">
        <f t="shared" si="86"/>
        <v>0</v>
      </c>
      <c r="U206" s="1">
        <f t="shared" si="75"/>
        <v>0</v>
      </c>
      <c r="V206" s="1">
        <f t="shared" si="87"/>
        <v>0</v>
      </c>
      <c r="W206" s="1">
        <f t="shared" si="88"/>
        <v>12.724858250494215</v>
      </c>
      <c r="X206">
        <v>2.4537499999999997E-2</v>
      </c>
      <c r="Y206" s="1">
        <f t="shared" si="89"/>
        <v>7.4828786624834693</v>
      </c>
      <c r="Z206" s="1">
        <f t="shared" si="90"/>
        <v>95.218570285749891</v>
      </c>
      <c r="AA206" s="1">
        <f t="shared" si="91"/>
        <v>76.174856228599921</v>
      </c>
    </row>
    <row r="207" spans="1:27" ht="15.75">
      <c r="A207" s="166" t="s">
        <v>112</v>
      </c>
      <c r="B207" s="174">
        <v>12.94</v>
      </c>
      <c r="C207" s="1">
        <f t="shared" si="76"/>
        <v>14.108660311691958</v>
      </c>
      <c r="D207" s="1">
        <f t="shared" si="76"/>
        <v>2.0992549104309782E-2</v>
      </c>
      <c r="E207" s="1">
        <f t="shared" si="92"/>
        <v>2.9789423408680067</v>
      </c>
      <c r="F207" s="1">
        <f t="shared" si="74"/>
        <v>42.028885575423182</v>
      </c>
      <c r="G207" s="1">
        <f>F207*(1-$D$23)</f>
        <v>26.478197912516606</v>
      </c>
      <c r="H207" s="1">
        <f t="shared" si="77"/>
        <v>9.4147624999999999E-2</v>
      </c>
      <c r="I207" s="125">
        <f t="shared" ref="I207:I222" si="94">($F$88/1000)*$B$32*$Q76*H207</f>
        <v>97.929960120712067</v>
      </c>
      <c r="J207" s="125">
        <f t="shared" si="78"/>
        <v>2.0557994966171469</v>
      </c>
      <c r="K207" s="1">
        <f t="shared" si="79"/>
        <v>1.2951536828688026</v>
      </c>
      <c r="L207" s="1">
        <f t="shared" si="93"/>
        <v>0.16144375164824037</v>
      </c>
      <c r="M207" s="1">
        <f t="shared" si="80"/>
        <v>2.2777550514501823</v>
      </c>
      <c r="N207" s="1">
        <f t="shared" si="81"/>
        <v>1.8222040411601459</v>
      </c>
      <c r="O207" s="1">
        <f t="shared" si="82"/>
        <v>2.4127391024883722</v>
      </c>
      <c r="P207">
        <f>P206</f>
        <v>0.197640394507508</v>
      </c>
      <c r="Q207" s="1">
        <f t="shared" si="83"/>
        <v>17.324199555502098</v>
      </c>
      <c r="R207" s="1">
        <f t="shared" si="84"/>
        <v>41.798773686871591</v>
      </c>
      <c r="S207" s="1">
        <f t="shared" si="85"/>
        <v>33.439018949497274</v>
      </c>
      <c r="T207" s="1">
        <f t="shared" si="86"/>
        <v>0</v>
      </c>
      <c r="U207" s="1">
        <f t="shared" si="75"/>
        <v>0</v>
      </c>
      <c r="V207" s="1">
        <f t="shared" si="87"/>
        <v>0</v>
      </c>
      <c r="W207" s="1">
        <f t="shared" si="88"/>
        <v>14.108660311691958</v>
      </c>
      <c r="X207">
        <f>X206</f>
        <v>2.4537499999999997E-2</v>
      </c>
      <c r="Y207" s="1">
        <f t="shared" si="89"/>
        <v>6.3994650029739271</v>
      </c>
      <c r="Z207" s="1">
        <f t="shared" si="90"/>
        <v>90.287877903519899</v>
      </c>
      <c r="AA207" s="1">
        <f t="shared" si="91"/>
        <v>72.230302322815916</v>
      </c>
    </row>
    <row r="208" spans="1:27" ht="15.75">
      <c r="A208" s="167" t="s">
        <v>114</v>
      </c>
      <c r="B208" s="174">
        <v>18.05</v>
      </c>
      <c r="C208" s="1">
        <f t="shared" si="76"/>
        <v>14.393282378976728</v>
      </c>
      <c r="D208" s="1">
        <f t="shared" si="76"/>
        <v>2.3864939986242891E-2</v>
      </c>
      <c r="E208" s="1">
        <f t="shared" si="92"/>
        <v>2.4765610170071777</v>
      </c>
      <c r="F208" s="1">
        <f t="shared" si="74"/>
        <v>35.645842046550094</v>
      </c>
      <c r="G208" s="1">
        <f>F208*(1-$D$23/2)</f>
        <v>29.051361267938326</v>
      </c>
      <c r="H208" s="1">
        <f t="shared" si="77"/>
        <v>8.5758749999999995E-2</v>
      </c>
      <c r="I208" s="125">
        <f t="shared" si="94"/>
        <v>74.160318490266334</v>
      </c>
      <c r="J208" s="125">
        <f t="shared" si="78"/>
        <v>1.769831550130865</v>
      </c>
      <c r="K208" s="1">
        <f>J208*(1-$D$23/2)</f>
        <v>1.4424127133566549</v>
      </c>
      <c r="L208" s="1">
        <f t="shared" si="93"/>
        <v>0.13421720061050893</v>
      </c>
      <c r="M208" s="1">
        <f t="shared" si="80"/>
        <v>1.9318260685028228</v>
      </c>
      <c r="N208" s="1">
        <f t="shared" si="81"/>
        <v>1.5454608548022584</v>
      </c>
      <c r="O208" s="1">
        <f t="shared" si="82"/>
        <v>2.6896869280078399</v>
      </c>
      <c r="P208">
        <v>0.18961255691499934</v>
      </c>
      <c r="Q208" s="1">
        <f t="shared" si="83"/>
        <v>13.817564339901869</v>
      </c>
      <c r="R208" s="1">
        <f t="shared" si="84"/>
        <v>37.164922181941336</v>
      </c>
      <c r="S208" s="1">
        <f t="shared" si="85"/>
        <v>29.731937745553068</v>
      </c>
      <c r="T208" s="1">
        <f t="shared" si="86"/>
        <v>0</v>
      </c>
      <c r="U208" s="1">
        <f t="shared" si="75"/>
        <v>0</v>
      </c>
      <c r="V208" s="1">
        <f t="shared" si="87"/>
        <v>0</v>
      </c>
      <c r="W208" s="1">
        <f t="shared" si="88"/>
        <v>14.393282378976728</v>
      </c>
      <c r="X208" s="1">
        <v>2.9666666666666664E-2</v>
      </c>
      <c r="Y208" s="1">
        <f t="shared" si="89"/>
        <v>6.4323407504691881</v>
      </c>
      <c r="Z208" s="1">
        <f t="shared" si="90"/>
        <v>92.582496779302105</v>
      </c>
      <c r="AA208" s="1">
        <f t="shared" si="91"/>
        <v>74.065997423441686</v>
      </c>
    </row>
    <row r="209" spans="1:27" ht="15.75">
      <c r="A209" s="167" t="s">
        <v>116</v>
      </c>
      <c r="B209" s="174">
        <v>22.54</v>
      </c>
      <c r="C209" s="1">
        <f t="shared" si="76"/>
        <v>14.114030970112156</v>
      </c>
      <c r="D209" s="1">
        <f t="shared" si="76"/>
        <v>2.4899947272747327E-2</v>
      </c>
      <c r="E209" s="1">
        <f t="shared" si="92"/>
        <v>2.1172747561780314</v>
      </c>
      <c r="F209" s="1">
        <f t="shared" si="74"/>
        <v>29.883281480933398</v>
      </c>
      <c r="G209" s="1">
        <f t="shared" ref="G209:G222" si="95">F209*(1-$D$23/2)</f>
        <v>24.354874406960718</v>
      </c>
      <c r="H209" s="1">
        <f t="shared" si="77"/>
        <v>8.5758749999999995E-2</v>
      </c>
      <c r="I209" s="125">
        <f t="shared" si="94"/>
        <v>63.401535101006054</v>
      </c>
      <c r="J209" s="125">
        <f t="shared" si="78"/>
        <v>1.5786948810262895</v>
      </c>
      <c r="K209" s="1">
        <f t="shared" ref="K209:K222" si="96">J209*(1-$D$23/2)</f>
        <v>1.2866363280364259</v>
      </c>
      <c r="L209" s="1">
        <f t="shared" si="93"/>
        <v>0.11474568514404168</v>
      </c>
      <c r="M209" s="1">
        <f t="shared" si="80"/>
        <v>1.6195241538097425</v>
      </c>
      <c r="N209" s="1">
        <f t="shared" si="81"/>
        <v>1.2956193230477941</v>
      </c>
      <c r="O209" s="1">
        <f t="shared" si="82"/>
        <v>2.7783374301181762</v>
      </c>
      <c r="P209">
        <f>P208</f>
        <v>0.18961255691499934</v>
      </c>
      <c r="Q209" s="1">
        <f t="shared" si="83"/>
        <v>11.812985816959261</v>
      </c>
      <c r="R209" s="1">
        <f t="shared" si="84"/>
        <v>32.82046065671306</v>
      </c>
      <c r="S209" s="1">
        <f t="shared" si="85"/>
        <v>26.256368525370448</v>
      </c>
      <c r="T209" s="1">
        <f t="shared" si="86"/>
        <v>0</v>
      </c>
      <c r="U209" s="1">
        <f t="shared" si="75"/>
        <v>0</v>
      </c>
      <c r="V209" s="1">
        <f t="shared" si="87"/>
        <v>0</v>
      </c>
      <c r="W209" s="1">
        <f t="shared" si="88"/>
        <v>14.114030970112156</v>
      </c>
      <c r="X209" s="1">
        <f t="shared" ref="X209:X222" si="97">X208</f>
        <v>2.9666666666666664E-2</v>
      </c>
      <c r="Y209" s="1">
        <f t="shared" si="89"/>
        <v>5.4991710685011537</v>
      </c>
      <c r="Z209" s="1">
        <f t="shared" si="90"/>
        <v>77.615470770770031</v>
      </c>
      <c r="AA209" s="1">
        <f t="shared" si="91"/>
        <v>62.092376616616029</v>
      </c>
    </row>
    <row r="210" spans="1:27" ht="15.75">
      <c r="A210" s="167" t="s">
        <v>118</v>
      </c>
      <c r="B210" s="174">
        <v>27.49</v>
      </c>
      <c r="C210" s="1">
        <f t="shared" si="76"/>
        <v>13.427840707880669</v>
      </c>
      <c r="D210" s="1">
        <f t="shared" si="76"/>
        <v>2.4911534040205515E-2</v>
      </c>
      <c r="E210" s="1">
        <f t="shared" si="92"/>
        <v>1.7942788916419352</v>
      </c>
      <c r="F210" s="1">
        <f t="shared" si="74"/>
        <v>24.093291142480588</v>
      </c>
      <c r="G210" s="1">
        <f t="shared" si="95"/>
        <v>19.636032281121679</v>
      </c>
      <c r="H210" s="1">
        <f t="shared" si="77"/>
        <v>8.5758749999999995E-2</v>
      </c>
      <c r="I210" s="125">
        <f t="shared" si="94"/>
        <v>53.72946321562096</v>
      </c>
      <c r="J210" s="125">
        <f t="shared" si="78"/>
        <v>1.3384833518579116</v>
      </c>
      <c r="K210" s="1">
        <f t="shared" si="96"/>
        <v>1.0908639317641979</v>
      </c>
      <c r="L210" s="1">
        <f t="shared" si="93"/>
        <v>9.7240927357296475E-2</v>
      </c>
      <c r="M210" s="1">
        <f t="shared" si="80"/>
        <v>1.3057356828403726</v>
      </c>
      <c r="N210" s="1">
        <f t="shared" si="81"/>
        <v>1.0445885462722981</v>
      </c>
      <c r="O210" s="1">
        <f t="shared" si="82"/>
        <v>2.7593496433804585</v>
      </c>
      <c r="P210" s="1">
        <f t="shared" ref="P210:P222" si="98">P209</f>
        <v>0.18961255691499934</v>
      </c>
      <c r="Q210" s="1">
        <f t="shared" si="83"/>
        <v>10.01088358361994</v>
      </c>
      <c r="R210" s="1">
        <f t="shared" si="84"/>
        <v>27.623528046384966</v>
      </c>
      <c r="S210" s="1">
        <f t="shared" si="85"/>
        <v>22.098822437107973</v>
      </c>
      <c r="T210" s="1">
        <f t="shared" si="86"/>
        <v>0</v>
      </c>
      <c r="U210" s="1">
        <f t="shared" si="75"/>
        <v>0</v>
      </c>
      <c r="V210" s="1">
        <f t="shared" si="87"/>
        <v>0</v>
      </c>
      <c r="W210" s="1">
        <f t="shared" si="88"/>
        <v>13.427840707880669</v>
      </c>
      <c r="X210" s="1">
        <f t="shared" si="97"/>
        <v>2.9666666666666664E-2</v>
      </c>
      <c r="Y210" s="1">
        <f t="shared" si="89"/>
        <v>4.6602579759421525</v>
      </c>
      <c r="Z210" s="1">
        <f t="shared" si="90"/>
        <v>62.577201758581609</v>
      </c>
      <c r="AA210" s="1">
        <f t="shared" si="91"/>
        <v>50.061761406865287</v>
      </c>
    </row>
    <row r="211" spans="1:27" ht="15.75">
      <c r="A211" s="167" t="s">
        <v>119</v>
      </c>
      <c r="B211" s="174">
        <v>32.57</v>
      </c>
      <c r="C211" s="1">
        <f t="shared" si="76"/>
        <v>12.467721640650874</v>
      </c>
      <c r="D211" s="1">
        <f t="shared" si="76"/>
        <v>2.4086551524992658E-2</v>
      </c>
      <c r="E211" s="1">
        <f t="shared" si="92"/>
        <v>1.4907663971122653</v>
      </c>
      <c r="F211" s="1">
        <f t="shared" si="74"/>
        <v>18.586460470431724</v>
      </c>
      <c r="G211" s="1">
        <f t="shared" si="95"/>
        <v>15.147965283401854</v>
      </c>
      <c r="H211" s="1">
        <f t="shared" si="77"/>
        <v>8.5758749999999995E-2</v>
      </c>
      <c r="I211" s="125">
        <f t="shared" si="94"/>
        <v>44.640818475788855</v>
      </c>
      <c r="J211" s="125">
        <f t="shared" si="78"/>
        <v>1.0752433743349326</v>
      </c>
      <c r="K211" s="1">
        <f t="shared" si="96"/>
        <v>0.87632335008297002</v>
      </c>
      <c r="L211" s="1">
        <f t="shared" si="93"/>
        <v>8.0792070621550388E-2</v>
      </c>
      <c r="M211" s="1">
        <f t="shared" si="80"/>
        <v>1.0072930472812975</v>
      </c>
      <c r="N211" s="1">
        <f t="shared" si="81"/>
        <v>0.80583443782503805</v>
      </c>
      <c r="O211" s="1">
        <f t="shared" si="82"/>
        <v>2.6540413409333148</v>
      </c>
      <c r="P211" s="1">
        <f t="shared" si="98"/>
        <v>0.18961255691499934</v>
      </c>
      <c r="Q211" s="1">
        <f t="shared" si="83"/>
        <v>8.3174856045966443</v>
      </c>
      <c r="R211" s="1">
        <f t="shared" si="84"/>
        <v>22.074950647217221</v>
      </c>
      <c r="S211" s="1">
        <f t="shared" si="85"/>
        <v>17.659960517773779</v>
      </c>
      <c r="T211" s="1">
        <f t="shared" si="86"/>
        <v>0</v>
      </c>
      <c r="U211" s="1">
        <f t="shared" si="75"/>
        <v>0</v>
      </c>
      <c r="V211" s="1">
        <f t="shared" si="87"/>
        <v>0</v>
      </c>
      <c r="W211" s="1">
        <f t="shared" si="88"/>
        <v>12.467721640650874</v>
      </c>
      <c r="X211" s="1">
        <f t="shared" si="97"/>
        <v>2.9666666666666664E-2</v>
      </c>
      <c r="Y211" s="1">
        <f t="shared" si="89"/>
        <v>3.8719487950122913</v>
      </c>
      <c r="Z211" s="1">
        <f t="shared" si="90"/>
        <v>48.27437978306682</v>
      </c>
      <c r="AA211" s="1">
        <f t="shared" si="91"/>
        <v>38.61950382645346</v>
      </c>
    </row>
    <row r="212" spans="1:27" ht="15.75">
      <c r="A212" s="164" t="s">
        <v>120</v>
      </c>
      <c r="B212" s="174">
        <v>37.520000000000003</v>
      </c>
      <c r="C212" s="1">
        <f t="shared" si="76"/>
        <v>11.399845770270314</v>
      </c>
      <c r="D212" s="1">
        <f t="shared" si="76"/>
        <v>2.2762237479151116E-2</v>
      </c>
      <c r="E212" s="1">
        <f t="shared" si="92"/>
        <v>1.1324524151954483</v>
      </c>
      <c r="F212" s="1">
        <f t="shared" si="74"/>
        <v>12.909782875398232</v>
      </c>
      <c r="G212" s="1">
        <f t="shared" si="95"/>
        <v>10.521473043449559</v>
      </c>
      <c r="H212" s="1">
        <f t="shared" si="77"/>
        <v>8.5758749999999995E-2</v>
      </c>
      <c r="I212" s="125">
        <f t="shared" si="94"/>
        <v>33.911149860323576</v>
      </c>
      <c r="J212" s="125">
        <f t="shared" si="78"/>
        <v>0.77189364631176738</v>
      </c>
      <c r="K212" s="1">
        <f t="shared" si="96"/>
        <v>0.62909332174409038</v>
      </c>
      <c r="L212" s="1">
        <f t="shared" si="93"/>
        <v>6.1373247801429928E-2</v>
      </c>
      <c r="M212" s="1">
        <f t="shared" si="80"/>
        <v>0.69964555935688277</v>
      </c>
      <c r="N212" s="1">
        <f t="shared" si="81"/>
        <v>0.5597164474855062</v>
      </c>
      <c r="O212" s="1">
        <f t="shared" si="82"/>
        <v>2.4987204135860694</v>
      </c>
      <c r="P212" s="1">
        <f t="shared" si="98"/>
        <v>0.18961255691499934</v>
      </c>
      <c r="Q212" s="1">
        <f t="shared" si="83"/>
        <v>6.3183317517248234</v>
      </c>
      <c r="R212" s="1">
        <f t="shared" si="84"/>
        <v>15.787744527843845</v>
      </c>
      <c r="S212" s="1">
        <f t="shared" si="85"/>
        <v>12.630195622275076</v>
      </c>
      <c r="T212" s="1">
        <f t="shared" si="86"/>
        <v>0</v>
      </c>
      <c r="U212" s="1">
        <f t="shared" si="75"/>
        <v>0</v>
      </c>
      <c r="V212" s="1">
        <f t="shared" si="87"/>
        <v>0</v>
      </c>
      <c r="W212" s="1">
        <f t="shared" si="88"/>
        <v>11.399845770270314</v>
      </c>
      <c r="X212" s="1">
        <f t="shared" si="97"/>
        <v>2.9666666666666664E-2</v>
      </c>
      <c r="Y212" s="1">
        <f t="shared" si="89"/>
        <v>2.9413044008226112</v>
      </c>
      <c r="Z212" s="1">
        <f t="shared" si="90"/>
        <v>33.530416532795108</v>
      </c>
      <c r="AA212" s="1">
        <f t="shared" si="91"/>
        <v>26.824333226236089</v>
      </c>
    </row>
    <row r="213" spans="1:27" ht="15.75">
      <c r="A213" s="164" t="s">
        <v>121</v>
      </c>
      <c r="B213" s="174">
        <v>42.61</v>
      </c>
      <c r="C213" s="1">
        <f t="shared" si="76"/>
        <v>10.26035700156865</v>
      </c>
      <c r="D213" s="1">
        <f t="shared" si="76"/>
        <v>2.1087735605250988E-2</v>
      </c>
      <c r="E213" s="1">
        <f t="shared" si="92"/>
        <v>0.80035045434441043</v>
      </c>
      <c r="F213" s="1">
        <f t="shared" si="74"/>
        <v>8.2118813879413217</v>
      </c>
      <c r="G213" s="1">
        <f t="shared" si="95"/>
        <v>6.6926833311721765</v>
      </c>
      <c r="H213" s="1">
        <f t="shared" si="77"/>
        <v>8.5758749999999995E-2</v>
      </c>
      <c r="I213" s="125">
        <f t="shared" si="94"/>
        <v>23.966397028141071</v>
      </c>
      <c r="J213" s="125">
        <f t="shared" si="78"/>
        <v>0.50539704393991192</v>
      </c>
      <c r="K213" s="1">
        <f t="shared" si="96"/>
        <v>0.4118985908110282</v>
      </c>
      <c r="L213" s="1">
        <f t="shared" si="93"/>
        <v>4.337498521206206E-2</v>
      </c>
      <c r="M213" s="1">
        <f t="shared" si="80"/>
        <v>0.44504283321351762</v>
      </c>
      <c r="N213" s="1">
        <f t="shared" si="81"/>
        <v>0.35603426657081411</v>
      </c>
      <c r="O213" s="1">
        <f t="shared" si="82"/>
        <v>2.308058640082681</v>
      </c>
      <c r="P213" s="1">
        <f t="shared" si="98"/>
        <v>0.18961255691499934</v>
      </c>
      <c r="Q213" s="1">
        <f t="shared" si="83"/>
        <v>4.4654235536412523</v>
      </c>
      <c r="R213" s="1">
        <f t="shared" si="84"/>
        <v>10.306459414610401</v>
      </c>
      <c r="S213" s="1">
        <f t="shared" si="85"/>
        <v>8.2451675316883222</v>
      </c>
      <c r="T213" s="1">
        <f t="shared" si="86"/>
        <v>0</v>
      </c>
      <c r="U213" s="1">
        <f t="shared" si="75"/>
        <v>0</v>
      </c>
      <c r="V213" s="1">
        <f t="shared" si="87"/>
        <v>0</v>
      </c>
      <c r="W213" s="1">
        <f t="shared" si="88"/>
        <v>10.26035700156865</v>
      </c>
      <c r="X213" s="1">
        <f t="shared" si="97"/>
        <v>2.9666666666666664E-2</v>
      </c>
      <c r="Y213" s="1">
        <f t="shared" si="89"/>
        <v>2.0787401589472574</v>
      </c>
      <c r="Z213" s="1">
        <f t="shared" si="90"/>
        <v>21.328616144296422</v>
      </c>
      <c r="AA213" s="1">
        <f t="shared" si="91"/>
        <v>17.062892915437139</v>
      </c>
    </row>
    <row r="214" spans="1:27" ht="15.75">
      <c r="A214" s="164" t="s">
        <v>122</v>
      </c>
      <c r="B214" s="174">
        <v>47.68</v>
      </c>
      <c r="C214" s="1">
        <f t="shared" si="76"/>
        <v>9.111499773278128</v>
      </c>
      <c r="D214" s="1">
        <f t="shared" si="76"/>
        <v>1.9265081149608482E-2</v>
      </c>
      <c r="E214" s="1">
        <f t="shared" si="92"/>
        <v>0.58682014000136085</v>
      </c>
      <c r="F214" s="1">
        <f t="shared" si="74"/>
        <v>5.3468115725774386</v>
      </c>
      <c r="G214" s="1">
        <f t="shared" si="95"/>
        <v>4.3576514316506119</v>
      </c>
      <c r="H214" s="1">
        <f t="shared" si="77"/>
        <v>8.5758749999999995E-2</v>
      </c>
      <c r="I214" s="125">
        <f t="shared" si="94"/>
        <v>17.572257731648481</v>
      </c>
      <c r="J214" s="125">
        <f t="shared" si="78"/>
        <v>0.33853097118204306</v>
      </c>
      <c r="K214" s="1">
        <f t="shared" si="96"/>
        <v>0.27590274151336508</v>
      </c>
      <c r="L214" s="1">
        <f t="shared" si="93"/>
        <v>3.180271187020034E-2</v>
      </c>
      <c r="M214" s="1">
        <f t="shared" si="80"/>
        <v>0.28977040199496001</v>
      </c>
      <c r="N214" s="1">
        <f t="shared" si="81"/>
        <v>0.23181632159596802</v>
      </c>
      <c r="O214" s="1">
        <f t="shared" si="82"/>
        <v>2.1036678151223214</v>
      </c>
      <c r="P214" s="1">
        <v>0.18967542838166601</v>
      </c>
      <c r="Q214" s="1">
        <f t="shared" si="83"/>
        <v>3.2751519405185356</v>
      </c>
      <c r="R214" s="1">
        <f t="shared" si="84"/>
        <v>6.8898317269042586</v>
      </c>
      <c r="S214" s="1">
        <f t="shared" si="85"/>
        <v>5.5118653815234069</v>
      </c>
      <c r="T214" s="1">
        <f t="shared" si="86"/>
        <v>0</v>
      </c>
      <c r="U214" s="1">
        <f t="shared" si="75"/>
        <v>0</v>
      </c>
      <c r="V214" s="1">
        <f t="shared" si="87"/>
        <v>0</v>
      </c>
      <c r="W214" s="1">
        <f t="shared" si="88"/>
        <v>9.111499773278128</v>
      </c>
      <c r="X214" s="1">
        <v>3.1566666666666666E-2</v>
      </c>
      <c r="Y214" s="1">
        <f t="shared" si="89"/>
        <v>1.6217540584260304</v>
      </c>
      <c r="Z214" s="1">
        <f t="shared" si="90"/>
        <v>14.77661173566166</v>
      </c>
      <c r="AA214" s="1">
        <f t="shared" si="91"/>
        <v>11.82128938852933</v>
      </c>
    </row>
    <row r="215" spans="1:27" ht="15.75">
      <c r="A215" s="164" t="s">
        <v>123</v>
      </c>
      <c r="B215" s="174">
        <v>52.64</v>
      </c>
      <c r="C215" s="1">
        <f t="shared" si="76"/>
        <v>7.9650442244023312</v>
      </c>
      <c r="D215" s="1">
        <f t="shared" si="76"/>
        <v>1.744132223653971E-2</v>
      </c>
      <c r="E215" s="1">
        <f t="shared" si="92"/>
        <v>0.47948810643218837</v>
      </c>
      <c r="F215" s="1">
        <f t="shared" si="74"/>
        <v>3.819143972807312</v>
      </c>
      <c r="G215" s="1">
        <f t="shared" si="95"/>
        <v>3.1126023378379593</v>
      </c>
      <c r="H215" s="1">
        <f t="shared" si="77"/>
        <v>8.5758749999999995E-2</v>
      </c>
      <c r="I215" s="125">
        <f t="shared" si="94"/>
        <v>14.358213038610046</v>
      </c>
      <c r="J215" s="125">
        <f t="shared" si="78"/>
        <v>0.25042622034728379</v>
      </c>
      <c r="K215" s="1">
        <f t="shared" si="96"/>
        <v>0.20409736958303629</v>
      </c>
      <c r="L215" s="1">
        <f t="shared" si="93"/>
        <v>2.5985853338325225E-2</v>
      </c>
      <c r="M215" s="1">
        <f t="shared" si="80"/>
        <v>0.20697847104859338</v>
      </c>
      <c r="N215" s="1">
        <f t="shared" si="81"/>
        <v>0.16558277683887471</v>
      </c>
      <c r="O215" s="1">
        <f t="shared" si="82"/>
        <v>1.9010071715058339</v>
      </c>
      <c r="P215" s="1">
        <f t="shared" si="98"/>
        <v>0.18967542838166601</v>
      </c>
      <c r="Q215" s="1">
        <f t="shared" si="83"/>
        <v>2.6761119722872801</v>
      </c>
      <c r="R215" s="1">
        <f t="shared" si="84"/>
        <v>5.0873080510707407</v>
      </c>
      <c r="S215" s="1">
        <f t="shared" si="85"/>
        <v>4.0698464408565931</v>
      </c>
      <c r="T215" s="1">
        <f t="shared" si="86"/>
        <v>0</v>
      </c>
      <c r="U215" s="1">
        <f t="shared" si="75"/>
        <v>0</v>
      </c>
      <c r="V215" s="1">
        <f t="shared" si="87"/>
        <v>0</v>
      </c>
      <c r="W215" s="1">
        <f t="shared" si="88"/>
        <v>7.9650442244023312</v>
      </c>
      <c r="X215" s="1">
        <f t="shared" si="97"/>
        <v>3.1566666666666666E-2</v>
      </c>
      <c r="Y215" s="1">
        <f t="shared" si="89"/>
        <v>1.3251279728940635</v>
      </c>
      <c r="Z215" s="1">
        <f t="shared" si="90"/>
        <v>10.554702907093828</v>
      </c>
      <c r="AA215" s="1">
        <f t="shared" si="91"/>
        <v>8.4437623256750634</v>
      </c>
    </row>
    <row r="216" spans="1:27" ht="15.75">
      <c r="A216" s="164" t="s">
        <v>124</v>
      </c>
      <c r="B216" s="174">
        <v>57.64</v>
      </c>
      <c r="C216" s="1">
        <f t="shared" si="76"/>
        <v>6.8266022419576435</v>
      </c>
      <c r="D216" s="1">
        <f t="shared" si="76"/>
        <v>1.5635894304453991E-2</v>
      </c>
      <c r="E216" s="1">
        <f t="shared" si="92"/>
        <v>0.41673317140531635</v>
      </c>
      <c r="F216" s="1">
        <f t="shared" si="74"/>
        <v>2.8448716022136513</v>
      </c>
      <c r="G216" s="1">
        <f t="shared" si="95"/>
        <v>2.3185703558041255</v>
      </c>
      <c r="H216" s="1">
        <f t="shared" si="77"/>
        <v>8.5758749999999995E-2</v>
      </c>
      <c r="I216" s="125">
        <f t="shared" si="94"/>
        <v>12.479024140590131</v>
      </c>
      <c r="J216" s="125">
        <f t="shared" si="78"/>
        <v>0.19512070248499708</v>
      </c>
      <c r="K216" s="1">
        <f t="shared" si="96"/>
        <v>0.1590233725252726</v>
      </c>
      <c r="L216" s="1">
        <f t="shared" si="93"/>
        <v>2.2584850235248147E-2</v>
      </c>
      <c r="M216" s="1">
        <f t="shared" si="80"/>
        <v>0.15417778925022263</v>
      </c>
      <c r="N216" s="1">
        <f t="shared" si="81"/>
        <v>0.12334223140017811</v>
      </c>
      <c r="O216" s="1">
        <f t="shared" si="82"/>
        <v>1.7015988309119532</v>
      </c>
      <c r="P216" s="1">
        <f t="shared" si="98"/>
        <v>0.18967542838166601</v>
      </c>
      <c r="Q216" s="1">
        <f t="shared" si="83"/>
        <v>2.3258650512632375</v>
      </c>
      <c r="R216" s="1">
        <f t="shared" si="84"/>
        <v>3.9576892520884952</v>
      </c>
      <c r="S216" s="1">
        <f t="shared" si="85"/>
        <v>3.1661514016707963</v>
      </c>
      <c r="T216" s="1">
        <f t="shared" si="86"/>
        <v>0</v>
      </c>
      <c r="U216" s="1">
        <f t="shared" si="75"/>
        <v>0</v>
      </c>
      <c r="V216" s="1">
        <f t="shared" si="87"/>
        <v>0</v>
      </c>
      <c r="W216" s="1">
        <f t="shared" si="88"/>
        <v>6.8266022419576435</v>
      </c>
      <c r="X216" s="1">
        <f t="shared" si="97"/>
        <v>3.1566666666666666E-2</v>
      </c>
      <c r="Y216" s="1">
        <f t="shared" si="89"/>
        <v>1.1516965181286298</v>
      </c>
      <c r="Z216" s="1">
        <f t="shared" si="90"/>
        <v>7.8621740327117164</v>
      </c>
      <c r="AA216" s="1">
        <f t="shared" si="91"/>
        <v>6.2897392261693739</v>
      </c>
    </row>
    <row r="217" spans="1:27" ht="15.75">
      <c r="A217" s="164" t="s">
        <v>126</v>
      </c>
      <c r="B217" s="174">
        <v>62.67</v>
      </c>
      <c r="C217" s="1">
        <f t="shared" si="76"/>
        <v>5.7118272170917006</v>
      </c>
      <c r="D217" s="1">
        <f t="shared" si="76"/>
        <v>1.3901876765442253E-2</v>
      </c>
      <c r="E217" s="1">
        <f t="shared" si="92"/>
        <v>0.37330872153823291</v>
      </c>
      <c r="F217" s="1">
        <f t="shared" si="74"/>
        <v>2.1322749160597856</v>
      </c>
      <c r="G217" s="1">
        <f t="shared" si="95"/>
        <v>1.7378040565887252</v>
      </c>
      <c r="H217" s="1">
        <f t="shared" si="77"/>
        <v>8.8346250000000001E-2</v>
      </c>
      <c r="I217" s="125">
        <f t="shared" si="94"/>
        <v>11.515965836569725</v>
      </c>
      <c r="J217" s="125">
        <f t="shared" si="78"/>
        <v>0.16009353789503541</v>
      </c>
      <c r="K217" s="1">
        <f t="shared" si="96"/>
        <v>0.13047623338445385</v>
      </c>
      <c r="L217" s="1">
        <f t="shared" si="93"/>
        <v>2.0231462590370092E-2</v>
      </c>
      <c r="M217" s="1">
        <f t="shared" si="80"/>
        <v>0.11555861866524846</v>
      </c>
      <c r="N217" s="1">
        <f t="shared" si="81"/>
        <v>9.2446894932198764E-2</v>
      </c>
      <c r="O217" s="1">
        <f t="shared" si="82"/>
        <v>1.5109183879237278</v>
      </c>
      <c r="P217" s="1">
        <f t="shared" si="98"/>
        <v>0.18967542838166601</v>
      </c>
      <c r="Q217" s="1">
        <f t="shared" si="83"/>
        <v>2.0835051499009594</v>
      </c>
      <c r="R217" s="1">
        <f t="shared" si="84"/>
        <v>3.1480062423191422</v>
      </c>
      <c r="S217" s="1">
        <f t="shared" si="85"/>
        <v>2.5184049938553139</v>
      </c>
      <c r="T217" s="1">
        <f t="shared" si="86"/>
        <v>0</v>
      </c>
      <c r="U217" s="1">
        <f t="shared" si="75"/>
        <v>0</v>
      </c>
      <c r="V217" s="1">
        <f t="shared" si="87"/>
        <v>0</v>
      </c>
      <c r="W217" s="1">
        <f t="shared" si="88"/>
        <v>5.7118272170917006</v>
      </c>
      <c r="X217" s="1">
        <v>3.049166666666666E-2</v>
      </c>
      <c r="Y217" s="1">
        <f t="shared" si="89"/>
        <v>0.99655336123128746</v>
      </c>
      <c r="Z217" s="1">
        <f t="shared" si="90"/>
        <v>5.692140611965085</v>
      </c>
      <c r="AA217" s="1">
        <f t="shared" si="91"/>
        <v>4.5537124895720682</v>
      </c>
    </row>
    <row r="218" spans="1:27" ht="15.75">
      <c r="A218" s="164" t="s">
        <v>127</v>
      </c>
      <c r="B218" s="174">
        <v>67.680000000000007</v>
      </c>
      <c r="C218" s="1">
        <f t="shared" si="76"/>
        <v>4.6338111000864313</v>
      </c>
      <c r="D218" s="1">
        <f t="shared" si="76"/>
        <v>1.2286756861320193E-2</v>
      </c>
      <c r="E218" s="1">
        <f t="shared" si="92"/>
        <v>0.29430332977879203</v>
      </c>
      <c r="F218" s="1">
        <f t="shared" si="74"/>
        <v>1.363746036321364</v>
      </c>
      <c r="G218" s="1">
        <f t="shared" si="95"/>
        <v>1.1114530196019117</v>
      </c>
      <c r="H218" s="1">
        <f t="shared" si="77"/>
        <v>8.8346250000000001E-2</v>
      </c>
      <c r="I218" s="125">
        <f t="shared" si="94"/>
        <v>9.07877822236782</v>
      </c>
      <c r="J218" s="125">
        <f t="shared" si="78"/>
        <v>0.11154874061608216</v>
      </c>
      <c r="K218" s="1">
        <f t="shared" si="96"/>
        <v>9.0912223602106962E-2</v>
      </c>
      <c r="L218" s="1">
        <f t="shared" si="93"/>
        <v>1.5949766140224444E-2</v>
      </c>
      <c r="M218" s="1">
        <f t="shared" si="80"/>
        <v>7.3908203384354748E-2</v>
      </c>
      <c r="N218" s="1">
        <f t="shared" si="81"/>
        <v>5.9126562707483801E-2</v>
      </c>
      <c r="O218" s="1">
        <f t="shared" si="82"/>
        <v>1.3339003267510836</v>
      </c>
      <c r="P218" s="1">
        <v>0.18961255691499934</v>
      </c>
      <c r="Q218" s="1">
        <f t="shared" si="83"/>
        <v>1.6420169609146482</v>
      </c>
      <c r="R218" s="1">
        <f t="shared" si="84"/>
        <v>2.1902869606948707</v>
      </c>
      <c r="S218" s="1">
        <f t="shared" si="85"/>
        <v>1.7522295685558966</v>
      </c>
      <c r="T218" s="1">
        <f t="shared" si="86"/>
        <v>0</v>
      </c>
      <c r="U218" s="1">
        <f t="shared" si="75"/>
        <v>0</v>
      </c>
      <c r="V218" s="1">
        <f t="shared" si="87"/>
        <v>0</v>
      </c>
      <c r="W218" s="1">
        <f t="shared" si="88"/>
        <v>4.6338111000864313</v>
      </c>
      <c r="X218" s="1">
        <f t="shared" si="97"/>
        <v>3.049166666666666E-2</v>
      </c>
      <c r="Y218" s="1">
        <f t="shared" si="89"/>
        <v>0.78564725545148462</v>
      </c>
      <c r="Z218" s="1">
        <f t="shared" si="90"/>
        <v>3.6405409730635294</v>
      </c>
      <c r="AA218" s="1">
        <f t="shared" si="91"/>
        <v>2.9124327784508237</v>
      </c>
    </row>
    <row r="219" spans="1:27" ht="15.75">
      <c r="A219" s="164" t="s">
        <v>128</v>
      </c>
      <c r="B219" s="174">
        <v>72.56</v>
      </c>
      <c r="C219" s="1">
        <f t="shared" si="76"/>
        <v>3.627712105557285</v>
      </c>
      <c r="D219" s="1">
        <f t="shared" si="76"/>
        <v>1.0836682828614622E-2</v>
      </c>
      <c r="E219" s="1">
        <f t="shared" si="92"/>
        <v>0.20511821216341</v>
      </c>
      <c r="F219" s="1">
        <f t="shared" si="74"/>
        <v>0.74410982133546999</v>
      </c>
      <c r="G219" s="1">
        <f t="shared" si="95"/>
        <v>0.60644950438840806</v>
      </c>
      <c r="H219" s="1">
        <f t="shared" si="77"/>
        <v>8.8346250000000001E-2</v>
      </c>
      <c r="I219" s="125">
        <f t="shared" si="94"/>
        <v>6.3275626510916361</v>
      </c>
      <c r="J219" s="125">
        <f t="shared" si="78"/>
        <v>6.8569789528067943E-2</v>
      </c>
      <c r="K219" s="1">
        <f t="shared" si="96"/>
        <v>5.5884378465375369E-2</v>
      </c>
      <c r="L219" s="1">
        <f t="shared" si="93"/>
        <v>1.1116379544758677E-2</v>
      </c>
      <c r="M219" s="1">
        <f t="shared" si="80"/>
        <v>4.0327024644490429E-2</v>
      </c>
      <c r="N219" s="1">
        <f t="shared" si="81"/>
        <v>3.2261619715592348E-2</v>
      </c>
      <c r="O219" s="1">
        <f t="shared" si="82"/>
        <v>1.1753765228934923</v>
      </c>
      <c r="P219" s="1">
        <f t="shared" si="98"/>
        <v>0.18961255691499934</v>
      </c>
      <c r="Q219" s="1">
        <f t="shared" si="83"/>
        <v>1.144423284704132</v>
      </c>
      <c r="R219" s="1">
        <f t="shared" si="84"/>
        <v>1.3451282610938919</v>
      </c>
      <c r="S219" s="1">
        <f t="shared" si="85"/>
        <v>1.0761026088751136</v>
      </c>
      <c r="T219" s="1">
        <f t="shared" si="86"/>
        <v>0</v>
      </c>
      <c r="U219" s="1">
        <f t="shared" si="75"/>
        <v>0</v>
      </c>
      <c r="V219" s="1">
        <f t="shared" si="87"/>
        <v>0</v>
      </c>
      <c r="W219" s="1">
        <f t="shared" si="88"/>
        <v>3.627712105557285</v>
      </c>
      <c r="X219" s="1">
        <f t="shared" si="97"/>
        <v>3.049166666666666E-2</v>
      </c>
      <c r="Y219" s="1">
        <f t="shared" si="89"/>
        <v>0.54756621527328431</v>
      </c>
      <c r="Z219" s="1">
        <f t="shared" si="90"/>
        <v>1.9864125877410799</v>
      </c>
      <c r="AA219" s="1">
        <f t="shared" si="91"/>
        <v>1.5891300701928639</v>
      </c>
    </row>
    <row r="220" spans="1:27" ht="15.75">
      <c r="A220" s="164" t="s">
        <v>129</v>
      </c>
      <c r="B220" s="174">
        <v>77.45</v>
      </c>
      <c r="C220" s="1">
        <f t="shared" si="76"/>
        <v>2.7313382953473297</v>
      </c>
      <c r="D220" s="1">
        <f t="shared" si="76"/>
        <v>9.5119466881682015E-3</v>
      </c>
      <c r="E220" s="1">
        <f t="shared" si="92"/>
        <v>0.12267205245097386</v>
      </c>
      <c r="F220" s="1">
        <f t="shared" si="74"/>
        <v>0.33505887462820116</v>
      </c>
      <c r="G220" s="1">
        <f t="shared" si="95"/>
        <v>0.27307298282198395</v>
      </c>
      <c r="H220" s="1">
        <f t="shared" si="77"/>
        <v>8.8346250000000001E-2</v>
      </c>
      <c r="I220" s="125">
        <f t="shared" si="94"/>
        <v>3.7842329514999609</v>
      </c>
      <c r="J220" s="125">
        <f t="shared" si="78"/>
        <v>3.5995422090277028E-2</v>
      </c>
      <c r="K220" s="1">
        <f t="shared" si="96"/>
        <v>2.9336269003575777E-2</v>
      </c>
      <c r="L220" s="1">
        <f t="shared" si="93"/>
        <v>6.6482107083362498E-3</v>
      </c>
      <c r="M220" s="1">
        <f t="shared" si="80"/>
        <v>1.8158512503216998E-2</v>
      </c>
      <c r="N220" s="1">
        <f t="shared" si="81"/>
        <v>1.4526810002573599E-2</v>
      </c>
      <c r="O220" s="1">
        <f t="shared" si="82"/>
        <v>1.030848151857273</v>
      </c>
      <c r="P220" s="1">
        <f t="shared" si="98"/>
        <v>0.18961255691499934</v>
      </c>
      <c r="Q220" s="1">
        <f t="shared" si="83"/>
        <v>0.68442851430227269</v>
      </c>
      <c r="R220" s="1">
        <f t="shared" si="84"/>
        <v>0.70554186904691696</v>
      </c>
      <c r="S220" s="1">
        <f t="shared" si="85"/>
        <v>0.56443349523753361</v>
      </c>
      <c r="T220" s="1">
        <f t="shared" si="86"/>
        <v>0</v>
      </c>
      <c r="U220" s="1">
        <f t="shared" si="75"/>
        <v>0</v>
      </c>
      <c r="V220" s="1">
        <f t="shared" si="87"/>
        <v>0</v>
      </c>
      <c r="W220" s="1">
        <f t="shared" si="88"/>
        <v>2.7313382953473297</v>
      </c>
      <c r="X220" s="1">
        <f t="shared" si="97"/>
        <v>3.049166666666666E-2</v>
      </c>
      <c r="Y220" s="1">
        <f t="shared" si="89"/>
        <v>0.32747492663826894</v>
      </c>
      <c r="Z220" s="1">
        <f t="shared" si="90"/>
        <v>0.89444480789316139</v>
      </c>
      <c r="AA220" s="1">
        <f t="shared" si="91"/>
        <v>0.71555584631452918</v>
      </c>
    </row>
    <row r="221" spans="1:27" ht="15.75">
      <c r="A221" s="164" t="s">
        <v>130</v>
      </c>
      <c r="B221" s="174">
        <v>82.43</v>
      </c>
      <c r="C221" s="1">
        <f t="shared" si="76"/>
        <v>1.9702106627232505</v>
      </c>
      <c r="D221" s="1">
        <f t="shared" si="76"/>
        <v>8.295050671244697E-3</v>
      </c>
      <c r="E221" s="1">
        <f t="shared" si="92"/>
        <v>5.9056495984036721E-2</v>
      </c>
      <c r="F221" s="1">
        <f t="shared" si="74"/>
        <v>0.11635373809082197</v>
      </c>
      <c r="G221" s="1">
        <f t="shared" si="95"/>
        <v>9.4828296544019905E-2</v>
      </c>
      <c r="H221" s="1">
        <f t="shared" si="77"/>
        <v>8.8346250000000001E-2</v>
      </c>
      <c r="I221" s="125">
        <f t="shared" si="94"/>
        <v>1.8217966817848146</v>
      </c>
      <c r="J221" s="125">
        <f t="shared" si="78"/>
        <v>1.5111895788110489E-2</v>
      </c>
      <c r="K221" s="1">
        <f t="shared" si="96"/>
        <v>1.2316195067310047E-2</v>
      </c>
      <c r="L221" s="1">
        <f t="shared" si="93"/>
        <v>3.2005662345529038E-3</v>
      </c>
      <c r="M221" s="1">
        <f t="shared" si="80"/>
        <v>6.3057897220681353E-3</v>
      </c>
      <c r="N221" s="1">
        <f t="shared" si="81"/>
        <v>5.0446317776545084E-3</v>
      </c>
      <c r="O221" s="1">
        <f t="shared" si="82"/>
        <v>0.89830850893439995</v>
      </c>
      <c r="P221" s="1">
        <f t="shared" si="98"/>
        <v>0.18961255691499934</v>
      </c>
      <c r="Q221" s="1">
        <f t="shared" si="83"/>
        <v>0.32949599357527914</v>
      </c>
      <c r="R221" s="1">
        <f t="shared" si="84"/>
        <v>0.29598905468846765</v>
      </c>
      <c r="S221" s="1">
        <f t="shared" si="85"/>
        <v>0.23679124375077412</v>
      </c>
      <c r="T221" s="1">
        <f t="shared" si="86"/>
        <v>0</v>
      </c>
      <c r="U221" s="1">
        <f t="shared" si="75"/>
        <v>0</v>
      </c>
      <c r="V221" s="1">
        <f>U221*(1-$B$27)</f>
        <v>0</v>
      </c>
      <c r="W221" s="1">
        <f t="shared" si="88"/>
        <v>1.9702106627232505</v>
      </c>
      <c r="X221" s="1">
        <f t="shared" si="97"/>
        <v>3.049166666666666E-2</v>
      </c>
      <c r="Y221" s="1">
        <f t="shared" si="89"/>
        <v>0.15765222235614532</v>
      </c>
      <c r="Z221" s="1">
        <f t="shared" si="90"/>
        <v>0.31060808948809432</v>
      </c>
      <c r="AA221" s="1">
        <f t="shared" si="91"/>
        <v>0.24848647159047546</v>
      </c>
    </row>
    <row r="222" spans="1:27" ht="15.75">
      <c r="A222" s="164" t="s">
        <v>133</v>
      </c>
      <c r="B222" s="174">
        <v>89</v>
      </c>
      <c r="C222" s="1">
        <f t="shared" si="76"/>
        <v>0.96063211035281615</v>
      </c>
      <c r="D222" s="1">
        <f t="shared" si="76"/>
        <v>6.8863321654979411E-3</v>
      </c>
      <c r="E222" s="1">
        <f t="shared" si="92"/>
        <v>2.1130747174136412E-2</v>
      </c>
      <c r="F222" s="1">
        <f t="shared" si="74"/>
        <v>2.0298874251222468E-2</v>
      </c>
      <c r="G222" s="1">
        <f t="shared" si="95"/>
        <v>1.6543582514746309E-2</v>
      </c>
      <c r="H222" s="1">
        <f t="shared" si="77"/>
        <v>8.8346250000000001E-2</v>
      </c>
      <c r="I222" s="125">
        <f t="shared" si="94"/>
        <v>0.65184912250603566</v>
      </c>
      <c r="J222" s="125">
        <f t="shared" si="78"/>
        <v>4.4888495793649211E-3</v>
      </c>
      <c r="K222" s="1">
        <f t="shared" si="96"/>
        <v>3.6584124071824104E-3</v>
      </c>
      <c r="L222" s="1">
        <f t="shared" si="93"/>
        <v>1.1451806408340926E-3</v>
      </c>
      <c r="M222" s="1">
        <f t="shared" si="80"/>
        <v>1.1000972957396448E-3</v>
      </c>
      <c r="N222" s="1">
        <f t="shared" si="81"/>
        <v>8.8007783659171588E-4</v>
      </c>
      <c r="O222" s="1">
        <f t="shared" si="82"/>
        <v>0.74512325495928422</v>
      </c>
      <c r="P222" s="1">
        <f t="shared" si="98"/>
        <v>0.18961255691499934</v>
      </c>
      <c r="Q222" s="1">
        <f t="shared" si="83"/>
        <v>0.11789552392360186</v>
      </c>
      <c r="R222" s="1">
        <f t="shared" si="84"/>
        <v>8.7846696531084387E-2</v>
      </c>
      <c r="S222" s="1">
        <f t="shared" si="85"/>
        <v>7.0277357224867512E-2</v>
      </c>
      <c r="T222" s="1">
        <f t="shared" si="86"/>
        <v>0</v>
      </c>
      <c r="U222" s="1">
        <f t="shared" si="75"/>
        <v>0</v>
      </c>
      <c r="V222" s="1">
        <f t="shared" si="87"/>
        <v>0</v>
      </c>
      <c r="W222" s="1">
        <f t="shared" si="88"/>
        <v>0.96063211035281615</v>
      </c>
      <c r="X222" s="1">
        <f t="shared" si="97"/>
        <v>3.049166666666666E-2</v>
      </c>
      <c r="Y222" s="1">
        <f t="shared" si="89"/>
        <v>5.6408853870180728E-2</v>
      </c>
      <c r="Z222" s="1">
        <f t="shared" si="90"/>
        <v>5.4188156335895334E-2</v>
      </c>
      <c r="AA222" s="1">
        <f t="shared" si="91"/>
        <v>4.335052506871627E-2</v>
      </c>
    </row>
    <row r="223" spans="1:27" ht="15.75">
      <c r="A223" s="164" t="s">
        <v>72</v>
      </c>
      <c r="B223" s="1"/>
      <c r="E223" s="1"/>
      <c r="F223" s="1">
        <f>SUM(F204:F222)</f>
        <v>372.47804319028438</v>
      </c>
      <c r="G223" s="1">
        <f>SUM(G204:G222)</f>
        <v>261.681010840103</v>
      </c>
      <c r="J223" s="1">
        <f>SUM(J204:J222)</f>
        <v>19.543532621065896</v>
      </c>
      <c r="K223" s="1">
        <f>SUM(K204:K222)</f>
        <v>13.833020097037412</v>
      </c>
      <c r="L223" s="1"/>
      <c r="M223" s="1">
        <f>SUM(M204:M222)</f>
        <v>104.83517446410306</v>
      </c>
      <c r="N223" s="1">
        <f>SUM(N204:N222)</f>
        <v>83.868139571282441</v>
      </c>
      <c r="O223" s="1"/>
      <c r="R223" s="1">
        <f>SUM(R204:R222)</f>
        <v>268.52585301028364</v>
      </c>
      <c r="S223" s="1">
        <f>SUM(S204:S222)</f>
        <v>214.82068240822696</v>
      </c>
      <c r="T223" s="1"/>
      <c r="U223" s="1">
        <f>SUM(U204:U222)</f>
        <v>0</v>
      </c>
      <c r="V223" s="1">
        <f>SUM(V204:V222)</f>
        <v>0</v>
      </c>
      <c r="Z223" s="1">
        <f>SUM(Z204:Z222)</f>
        <v>649.81177056145668</v>
      </c>
      <c r="AA223" s="1">
        <f>SUM(AA204:AA222)</f>
        <v>519.84941644916535</v>
      </c>
    </row>
    <row r="224" spans="1:27">
      <c r="A224" s="1"/>
      <c r="B224" s="1"/>
      <c r="C224" s="1" t="s">
        <v>368</v>
      </c>
      <c r="D224" s="1" t="s">
        <v>369</v>
      </c>
      <c r="E224" s="1"/>
      <c r="F224" s="1"/>
      <c r="G224" s="1" t="s">
        <v>360</v>
      </c>
      <c r="H224" s="1" t="s">
        <v>361</v>
      </c>
      <c r="I224" s="1"/>
      <c r="J224" s="1"/>
      <c r="K224" s="1"/>
      <c r="L224" s="1"/>
      <c r="M224" s="1"/>
      <c r="O224" s="1"/>
    </row>
    <row r="225" spans="1:5" ht="15.75">
      <c r="A225" s="164" t="s">
        <v>370</v>
      </c>
      <c r="B225" t="s">
        <v>371</v>
      </c>
      <c r="C225" t="s">
        <v>372</v>
      </c>
      <c r="D225" t="s">
        <v>373</v>
      </c>
    </row>
    <row r="226" spans="1:5">
      <c r="A226" s="67" t="s">
        <v>70</v>
      </c>
      <c r="B226" s="112">
        <f>(F177-G177)+(F200-G200)+(F223-G223)</f>
        <v>405.41808539961022</v>
      </c>
      <c r="C226" s="112">
        <f>(J177-K177)+(J200-K200)+(J223-K223)</f>
        <v>20.895370616290101</v>
      </c>
      <c r="D226" s="112">
        <f>B226+C226</f>
        <v>426.31345601590033</v>
      </c>
      <c r="E226" s="176">
        <f>D226/SUM($D$226:$D$230)</f>
        <v>0.40495915497917173</v>
      </c>
    </row>
    <row r="227" spans="1:5">
      <c r="A227" s="67" t="s">
        <v>16</v>
      </c>
      <c r="B227" s="112">
        <f>(M177-N177)+(M200-N200)</f>
        <v>2.7677989084845205</v>
      </c>
      <c r="C227" s="112">
        <f>(R177-S177)+(R200-S200)</f>
        <v>170.64330163234138</v>
      </c>
      <c r="D227" s="112">
        <f>B227+C227</f>
        <v>173.41110054082588</v>
      </c>
      <c r="E227" s="176">
        <f t="shared" ref="E227:E230" si="99">D227/SUM($D$226:$D$230)</f>
        <v>0.16472483274466912</v>
      </c>
    </row>
    <row r="228" spans="1:5">
      <c r="A228" s="67" t="s">
        <v>23</v>
      </c>
      <c r="B228" s="112">
        <f>(U177-V177)+(U200-V200)</f>
        <v>66.27198067931522</v>
      </c>
      <c r="C228" s="112">
        <f>(Z177-AA177)+(Z200-AA200)</f>
        <v>182.10089050456827</v>
      </c>
      <c r="D228" s="112">
        <f>B228+C228</f>
        <v>248.37287118388349</v>
      </c>
      <c r="E228" s="176">
        <f t="shared" si="99"/>
        <v>0.2359317225741632</v>
      </c>
    </row>
    <row r="229" spans="1:5">
      <c r="A229" s="67" t="s">
        <v>18</v>
      </c>
      <c r="B229" s="112">
        <f>(M223-N223)</f>
        <v>20.967034892820621</v>
      </c>
      <c r="C229" s="112">
        <f>R223-S223</f>
        <v>53.705170602056683</v>
      </c>
      <c r="D229" s="112">
        <f>B229+C229</f>
        <v>74.672205494877304</v>
      </c>
      <c r="E229" s="176">
        <f t="shared" si="99"/>
        <v>7.0931829176202998E-2</v>
      </c>
    </row>
    <row r="230" spans="1:5">
      <c r="A230" s="67" t="s">
        <v>180</v>
      </c>
      <c r="B230">
        <v>0</v>
      </c>
      <c r="C230" s="112">
        <f>Z223-AA223</f>
        <v>129.96235411229134</v>
      </c>
      <c r="D230" s="112">
        <f>B230+C230</f>
        <v>129.96235411229134</v>
      </c>
      <c r="E230" s="176">
        <f t="shared" si="99"/>
        <v>0.12345246052579313</v>
      </c>
    </row>
    <row r="232" spans="1:5">
      <c r="A232" s="145" t="s">
        <v>374</v>
      </c>
      <c r="B232" s="1" t="s">
        <v>371</v>
      </c>
      <c r="C232" s="1" t="s">
        <v>372</v>
      </c>
      <c r="D232" s="1" t="s">
        <v>373</v>
      </c>
    </row>
    <row r="233" spans="1:5">
      <c r="A233" s="67" t="s">
        <v>332</v>
      </c>
      <c r="B233" s="112">
        <f>(F177-G177)+(M177-N177)+(U177-V177)</f>
        <v>253.7763071357962</v>
      </c>
      <c r="C233" s="112">
        <f>(J177-K177)+(R177-S177)+(Z177-AA177)</f>
        <v>246.2106658126707</v>
      </c>
      <c r="D233" s="112">
        <f>B233+C233</f>
        <v>499.98697294846693</v>
      </c>
      <c r="E233" s="176">
        <f>D233/SUM($D$233:$D$235)</f>
        <v>0.47494232051228841</v>
      </c>
    </row>
    <row r="234" spans="1:5">
      <c r="A234" s="67" t="s">
        <v>13</v>
      </c>
      <c r="B234" s="112">
        <f>(F200-G200)+(M200-N200)+(U200-V200)</f>
        <v>109.88452550143234</v>
      </c>
      <c r="C234" s="112">
        <f>(J200-K200)+(R200-S200)+(Z200-AA200)</f>
        <v>121.7183844165006</v>
      </c>
      <c r="D234" s="112">
        <f>B234+C234</f>
        <v>231.60290991793295</v>
      </c>
      <c r="E234" s="176">
        <f t="shared" ref="E234:E235" si="100">D234/SUM($D$233:$D$235)</f>
        <v>0.22000177889666525</v>
      </c>
    </row>
    <row r="235" spans="1:5">
      <c r="A235" s="67" t="s">
        <v>14</v>
      </c>
      <c r="B235" s="112">
        <f>(F223-G223)+(M223-N223)</f>
        <v>131.76406724300199</v>
      </c>
      <c r="C235" s="112">
        <f>(J223-K223)+(R223-S223)+(Z223-AA223)</f>
        <v>189.37803723837652</v>
      </c>
      <c r="D235" s="112">
        <f>B235+C235</f>
        <v>321.14210448137851</v>
      </c>
      <c r="E235" s="176">
        <f t="shared" si="100"/>
        <v>0.30505590059104631</v>
      </c>
    </row>
    <row r="237" spans="1:5">
      <c r="A237" s="145" t="s">
        <v>375</v>
      </c>
      <c r="B237" s="1" t="s">
        <v>371</v>
      </c>
      <c r="C237" s="1" t="s">
        <v>372</v>
      </c>
      <c r="D237" s="1" t="s">
        <v>373</v>
      </c>
    </row>
    <row r="238" spans="1:5">
      <c r="A238" s="67" t="s">
        <v>70</v>
      </c>
      <c r="B238" s="112">
        <f>F177-G177</f>
        <v>207.68248785581204</v>
      </c>
      <c r="C238" s="112">
        <f>J200-K200</f>
        <v>4.4808399180774892</v>
      </c>
      <c r="D238" s="112">
        <f>B238+C238</f>
        <v>212.16332777388953</v>
      </c>
      <c r="E238" s="176">
        <f>D238/SUM($D$238:$D$240)</f>
        <v>0.42968587420646748</v>
      </c>
    </row>
    <row r="239" spans="1:5">
      <c r="A239" s="67" t="s">
        <v>16</v>
      </c>
      <c r="B239" s="112">
        <f>M177-N177</f>
        <v>1.8478973057667147</v>
      </c>
      <c r="C239" s="112">
        <f>R177-S177</f>
        <v>113.92854313473117</v>
      </c>
      <c r="D239" s="112">
        <f>B239+C239</f>
        <v>115.77644044049788</v>
      </c>
      <c r="E239" s="176">
        <f t="shared" ref="E239:E240" si="101">D239/SUM($D$238:$D$240)</f>
        <v>0.23447737903228089</v>
      </c>
    </row>
    <row r="240" spans="1:5">
      <c r="A240" s="67" t="s">
        <v>23</v>
      </c>
      <c r="B240" s="112">
        <f>U177-V177</f>
        <v>44.245921974217453</v>
      </c>
      <c r="C240" s="112">
        <f>Z177-AA177</f>
        <v>121.57810450375538</v>
      </c>
      <c r="D240" s="112">
        <f>B240+C240</f>
        <v>165.82402647797284</v>
      </c>
      <c r="E240" s="176">
        <f t="shared" si="101"/>
        <v>0.33583674676125164</v>
      </c>
    </row>
    <row r="242" spans="1:22">
      <c r="A242" s="145" t="s">
        <v>376</v>
      </c>
      <c r="B242" s="1" t="s">
        <v>371</v>
      </c>
      <c r="C242" s="1" t="s">
        <v>372</v>
      </c>
      <c r="D242" s="1" t="s">
        <v>373</v>
      </c>
    </row>
    <row r="243" spans="1:22">
      <c r="A243" s="67" t="s">
        <v>70</v>
      </c>
      <c r="B243" s="112">
        <f>F200-G200</f>
        <v>86.938565193616768</v>
      </c>
      <c r="C243" s="112">
        <f>J200-K200</f>
        <v>4.4808399180774892</v>
      </c>
      <c r="D243" s="112">
        <f>B243+C243</f>
        <v>91.41940511169426</v>
      </c>
      <c r="E243" s="176">
        <f>D243/SUM($D$243:$D$245)</f>
        <v>0.39472476897672898</v>
      </c>
    </row>
    <row r="244" spans="1:22">
      <c r="A244" s="67" t="s">
        <v>16</v>
      </c>
      <c r="B244" s="112">
        <f>M200-N200</f>
        <v>0.91990160271780574</v>
      </c>
      <c r="C244" s="112">
        <f>R200-S200</f>
        <v>56.714758497610205</v>
      </c>
      <c r="D244" s="112">
        <f>B244+C244</f>
        <v>57.634660100328013</v>
      </c>
      <c r="E244" s="176">
        <f t="shared" ref="E244:E245" si="102">D244/SUM($D$243:$D$245)</f>
        <v>0.24885119155346752</v>
      </c>
    </row>
    <row r="245" spans="1:22">
      <c r="A245" s="67" t="s">
        <v>23</v>
      </c>
      <c r="B245" s="112">
        <f>U200-V200</f>
        <v>22.026058705097768</v>
      </c>
      <c r="C245" s="112">
        <f>Z200-AA200</f>
        <v>60.5227860008129</v>
      </c>
      <c r="D245" s="112">
        <f>B245+C245</f>
        <v>82.548844705910668</v>
      </c>
      <c r="E245" s="176">
        <f t="shared" si="102"/>
        <v>0.35642403946980344</v>
      </c>
    </row>
    <row r="247" spans="1:22">
      <c r="A247" s="145" t="s">
        <v>377</v>
      </c>
      <c r="B247" s="1" t="s">
        <v>371</v>
      </c>
      <c r="C247" s="1" t="s">
        <v>372</v>
      </c>
      <c r="D247" s="1" t="s">
        <v>373</v>
      </c>
    </row>
    <row r="248" spans="1:22">
      <c r="A248" s="67" t="s">
        <v>70</v>
      </c>
      <c r="B248" s="112">
        <f>F223-G223</f>
        <v>110.79703235018138</v>
      </c>
      <c r="C248" s="112">
        <f>J223-K223</f>
        <v>5.7105125240284842</v>
      </c>
      <c r="D248" s="112">
        <f t="shared" ref="D248:D250" si="103">B248+C248</f>
        <v>116.50754487420987</v>
      </c>
      <c r="E248" s="176">
        <f>D248/SUM($D$248:$D$250)</f>
        <v>0.36279124801265533</v>
      </c>
    </row>
    <row r="249" spans="1:22">
      <c r="A249" s="67" t="s">
        <v>18</v>
      </c>
      <c r="B249" s="112">
        <f>M223-N223</f>
        <v>20.967034892820621</v>
      </c>
      <c r="C249" s="112">
        <f>R223-S223</f>
        <v>53.705170602056683</v>
      </c>
      <c r="D249" s="112">
        <f t="shared" si="103"/>
        <v>74.672205494877304</v>
      </c>
      <c r="E249" s="176">
        <f t="shared" ref="E249:E250" si="104">D249/SUM($D$248:$D$250)</f>
        <v>0.23252075779807063</v>
      </c>
    </row>
    <row r="250" spans="1:22">
      <c r="A250" s="67" t="s">
        <v>180</v>
      </c>
      <c r="B250">
        <v>0</v>
      </c>
      <c r="C250" s="112">
        <f>Z223-AA223</f>
        <v>129.96235411229134</v>
      </c>
      <c r="D250" s="112">
        <f t="shared" si="103"/>
        <v>129.96235411229134</v>
      </c>
      <c r="E250" s="176">
        <f t="shared" si="104"/>
        <v>0.40468799418927404</v>
      </c>
    </row>
    <row r="252" spans="1:22">
      <c r="A252" s="145" t="s">
        <v>378</v>
      </c>
    </row>
    <row r="253" spans="1:22">
      <c r="A253" s="67" t="s">
        <v>386</v>
      </c>
    </row>
    <row r="254" spans="1:22">
      <c r="A254" s="177" t="s">
        <v>379</v>
      </c>
    </row>
    <row r="255" spans="1:22" s="1" customFormat="1">
      <c r="A255" s="177" t="s">
        <v>388</v>
      </c>
    </row>
    <row r="256" spans="1:22" s="1" customFormat="1">
      <c r="A256" s="183" t="s">
        <v>389</v>
      </c>
      <c r="B256" s="179">
        <f>B19*1.0273</f>
        <v>2515.5722489355876</v>
      </c>
      <c r="C256" s="185">
        <f>B256*1.0273</f>
        <v>2584.2473713315294</v>
      </c>
      <c r="D256" s="185">
        <f t="shared" ref="D256:V256" si="105">C256*1.0273</f>
        <v>2654.7973245688804</v>
      </c>
      <c r="E256" s="185">
        <f t="shared" si="105"/>
        <v>2727.273291529611</v>
      </c>
      <c r="F256" s="185">
        <f t="shared" si="105"/>
        <v>2801.7278523883697</v>
      </c>
      <c r="G256" s="185">
        <f t="shared" si="105"/>
        <v>2878.2150227585726</v>
      </c>
      <c r="H256" s="185">
        <f t="shared" si="105"/>
        <v>2956.7902928798817</v>
      </c>
      <c r="I256" s="185">
        <f t="shared" si="105"/>
        <v>3037.5106678755028</v>
      </c>
      <c r="J256" s="185">
        <f t="shared" si="105"/>
        <v>3120.4347091085042</v>
      </c>
      <c r="K256" s="185">
        <f t="shared" si="105"/>
        <v>3205.6225766671669</v>
      </c>
      <c r="L256" s="185">
        <f t="shared" si="105"/>
        <v>3293.136073010181</v>
      </c>
      <c r="M256" s="185">
        <f t="shared" si="105"/>
        <v>3383.0386878033592</v>
      </c>
      <c r="N256" s="185">
        <f t="shared" si="105"/>
        <v>3475.395643980391</v>
      </c>
      <c r="O256" s="185">
        <f t="shared" si="105"/>
        <v>3570.2739450610561</v>
      </c>
      <c r="P256" s="185">
        <f t="shared" si="105"/>
        <v>3667.7424237612231</v>
      </c>
      <c r="Q256" s="185">
        <f t="shared" si="105"/>
        <v>3767.8717919299047</v>
      </c>
      <c r="R256" s="185">
        <f t="shared" si="105"/>
        <v>3870.7346918495914</v>
      </c>
      <c r="S256" s="185">
        <f t="shared" si="105"/>
        <v>3976.4057489370857</v>
      </c>
      <c r="T256" s="185">
        <f t="shared" si="105"/>
        <v>4084.9616258830688</v>
      </c>
      <c r="U256" s="185">
        <f t="shared" si="105"/>
        <v>4196.4810782696768</v>
      </c>
      <c r="V256" s="185">
        <f t="shared" si="105"/>
        <v>4311.0450117064393</v>
      </c>
    </row>
    <row r="257" spans="1:25">
      <c r="B257" t="s">
        <v>381</v>
      </c>
    </row>
    <row r="258" spans="1:25">
      <c r="A258" t="s">
        <v>380</v>
      </c>
      <c r="B258">
        <v>0</v>
      </c>
      <c r="C258">
        <v>1</v>
      </c>
      <c r="D258" s="1">
        <v>2</v>
      </c>
      <c r="E258" s="1">
        <v>3</v>
      </c>
      <c r="F258" s="1">
        <v>4</v>
      </c>
      <c r="G258" s="1">
        <v>5</v>
      </c>
      <c r="H258" s="1">
        <v>6</v>
      </c>
      <c r="I258" s="1">
        <v>7</v>
      </c>
      <c r="J258" s="1">
        <v>8</v>
      </c>
      <c r="K258" s="1">
        <v>9</v>
      </c>
      <c r="L258" s="1">
        <v>10</v>
      </c>
      <c r="M258" s="1">
        <v>11</v>
      </c>
      <c r="N258" s="1">
        <v>12</v>
      </c>
      <c r="O258" s="1">
        <v>13</v>
      </c>
      <c r="P258" s="1">
        <v>14</v>
      </c>
      <c r="Q258" s="1">
        <v>15</v>
      </c>
      <c r="R258" s="1">
        <v>16</v>
      </c>
      <c r="S258" s="1">
        <v>17</v>
      </c>
      <c r="T258" s="1">
        <v>18</v>
      </c>
      <c r="U258" s="1">
        <v>19</v>
      </c>
      <c r="V258" s="1">
        <v>20</v>
      </c>
    </row>
    <row r="259" spans="1:25">
      <c r="A259" s="145" t="s">
        <v>382</v>
      </c>
      <c r="X259">
        <v>1164.8023993836923</v>
      </c>
    </row>
    <row r="260" spans="1:25">
      <c r="A260" s="67" t="s">
        <v>70</v>
      </c>
      <c r="B260" s="179">
        <f>$D238*B$256</f>
        <v>533712.17958982149</v>
      </c>
      <c r="C260" s="179">
        <f>$D238*C$256</f>
        <v>548282.52209262364</v>
      </c>
      <c r="D260" s="179">
        <f t="shared" ref="C260:V262" si="106">$D238*D$256</f>
        <v>563250.63494575233</v>
      </c>
      <c r="E260" s="179">
        <f t="shared" si="106"/>
        <v>578627.37727977149</v>
      </c>
      <c r="F260" s="179">
        <f t="shared" si="106"/>
        <v>594423.90467950923</v>
      </c>
      <c r="G260" s="179">
        <f t="shared" si="106"/>
        <v>610651.67727725999</v>
      </c>
      <c r="H260" s="179">
        <f t="shared" si="106"/>
        <v>627322.46806692914</v>
      </c>
      <c r="I260" s="179">
        <f t="shared" si="106"/>
        <v>644448.3714451564</v>
      </c>
      <c r="J260" s="179">
        <f t="shared" si="106"/>
        <v>662041.81198560924</v>
      </c>
      <c r="K260" s="179">
        <f t="shared" si="106"/>
        <v>680115.55345281644</v>
      </c>
      <c r="L260" s="179">
        <f t="shared" si="106"/>
        <v>698682.70806207845</v>
      </c>
      <c r="M260" s="179">
        <f t="shared" si="106"/>
        <v>717756.74599217321</v>
      </c>
      <c r="N260" s="179">
        <f t="shared" si="106"/>
        <v>737351.50515775965</v>
      </c>
      <c r="O260" s="179">
        <f t="shared" si="106"/>
        <v>757481.2012485665</v>
      </c>
      <c r="P260" s="179">
        <f t="shared" si="106"/>
        <v>778160.43804265244</v>
      </c>
      <c r="Q260" s="179">
        <f t="shared" si="106"/>
        <v>799404.21800121688</v>
      </c>
      <c r="R260" s="179">
        <f t="shared" si="106"/>
        <v>821227.95315265015</v>
      </c>
      <c r="S260" s="179">
        <f t="shared" si="106"/>
        <v>843647.47627371759</v>
      </c>
      <c r="T260" s="179">
        <f t="shared" si="106"/>
        <v>866679.0523759902</v>
      </c>
      <c r="U260" s="179">
        <f t="shared" si="106"/>
        <v>890339.39050585486</v>
      </c>
      <c r="V260" s="179">
        <f t="shared" si="106"/>
        <v>914645.65586666472</v>
      </c>
      <c r="W260" s="186">
        <v>0.38865403415502409</v>
      </c>
      <c r="X260" s="187">
        <f>W260*$B$19/$X$259</f>
        <v>0.81705337889381824</v>
      </c>
      <c r="Y260" s="184">
        <f>X260*1000000-V260</f>
        <v>-97592.276972846477</v>
      </c>
    </row>
    <row r="261" spans="1:25">
      <c r="A261" s="67" t="s">
        <v>16</v>
      </c>
      <c r="B261" s="179">
        <f t="shared" ref="B261:Q262" si="107">$D239*B$256</f>
        <v>291244.00065266038</v>
      </c>
      <c r="C261" s="179">
        <f t="shared" si="107"/>
        <v>299194.961870478</v>
      </c>
      <c r="D261" s="179">
        <f t="shared" si="107"/>
        <v>307362.98432954209</v>
      </c>
      <c r="E261" s="179">
        <f t="shared" si="107"/>
        <v>315753.9938017386</v>
      </c>
      <c r="F261" s="179">
        <f t="shared" si="107"/>
        <v>324374.07783252612</v>
      </c>
      <c r="G261" s="179">
        <f t="shared" si="107"/>
        <v>333229.4901573541</v>
      </c>
      <c r="H261" s="179">
        <f t="shared" si="107"/>
        <v>342326.65523864992</v>
      </c>
      <c r="I261" s="179">
        <f t="shared" si="107"/>
        <v>351672.17292666511</v>
      </c>
      <c r="J261" s="179">
        <f t="shared" si="107"/>
        <v>361272.82324756304</v>
      </c>
      <c r="K261" s="179">
        <f t="shared" si="107"/>
        <v>371135.5713222216</v>
      </c>
      <c r="L261" s="179">
        <f t="shared" si="107"/>
        <v>381267.57241931831</v>
      </c>
      <c r="M261" s="179">
        <f t="shared" si="107"/>
        <v>391676.17714636569</v>
      </c>
      <c r="N261" s="179">
        <f t="shared" si="107"/>
        <v>402368.93678246153</v>
      </c>
      <c r="O261" s="179">
        <f t="shared" si="107"/>
        <v>413353.60875662277</v>
      </c>
      <c r="P261" s="179">
        <f t="shared" si="107"/>
        <v>424638.16227567859</v>
      </c>
      <c r="Q261" s="179">
        <f t="shared" si="107"/>
        <v>436230.78410580463</v>
      </c>
      <c r="R261" s="179">
        <f t="shared" si="106"/>
        <v>448139.88451189315</v>
      </c>
      <c r="S261" s="179">
        <f t="shared" si="106"/>
        <v>460374.10335906787</v>
      </c>
      <c r="T261" s="179">
        <f t="shared" si="106"/>
        <v>472942.31638077047</v>
      </c>
      <c r="U261" s="179">
        <f t="shared" si="106"/>
        <v>485853.64161796554</v>
      </c>
      <c r="V261" s="179">
        <f t="shared" si="106"/>
        <v>499117.44603413605</v>
      </c>
      <c r="W261" s="186">
        <v>0.27490138507030604</v>
      </c>
      <c r="X261" s="187">
        <f t="shared" ref="X261:X262" si="108">W261*$B$19/$X$259</f>
        <v>0.57791528144718396</v>
      </c>
      <c r="Y261" s="184">
        <f t="shared" ref="Y261:Y262" si="109">X261*1000000-V261</f>
        <v>78797.835413047869</v>
      </c>
    </row>
    <row r="262" spans="1:25">
      <c r="A262" s="67" t="s">
        <v>23</v>
      </c>
      <c r="B262" s="179">
        <f t="shared" si="107"/>
        <v>417142.31921474857</v>
      </c>
      <c r="C262" s="179">
        <f t="shared" si="106"/>
        <v>428530.30452931125</v>
      </c>
      <c r="D262" s="179">
        <f t="shared" si="106"/>
        <v>440229.18184296147</v>
      </c>
      <c r="E262" s="179">
        <f t="shared" si="106"/>
        <v>452247.43850727438</v>
      </c>
      <c r="F262" s="179">
        <f t="shared" si="106"/>
        <v>464593.79357852298</v>
      </c>
      <c r="G262" s="179">
        <f t="shared" si="106"/>
        <v>477277.20414321672</v>
      </c>
      <c r="H262" s="179">
        <f t="shared" si="106"/>
        <v>490306.87181632657</v>
      </c>
      <c r="I262" s="179">
        <f t="shared" si="106"/>
        <v>503692.24941691232</v>
      </c>
      <c r="J262" s="179">
        <f t="shared" si="106"/>
        <v>517443.04782599409</v>
      </c>
      <c r="K262" s="179">
        <f t="shared" si="106"/>
        <v>531569.2430316438</v>
      </c>
      <c r="L262" s="179">
        <f t="shared" si="106"/>
        <v>546081.08336640778</v>
      </c>
      <c r="M262" s="179">
        <f t="shared" si="106"/>
        <v>560989.09694231069</v>
      </c>
      <c r="N262" s="179">
        <f t="shared" si="106"/>
        <v>576304.09928883577</v>
      </c>
      <c r="O262" s="179">
        <f t="shared" si="106"/>
        <v>592037.20119942108</v>
      </c>
      <c r="P262" s="179">
        <f t="shared" si="106"/>
        <v>608199.81679216528</v>
      </c>
      <c r="Q262" s="179">
        <f t="shared" si="106"/>
        <v>624803.67179059144</v>
      </c>
      <c r="R262" s="179">
        <f t="shared" si="106"/>
        <v>641860.81203047466</v>
      </c>
      <c r="S262" s="179">
        <f t="shared" si="106"/>
        <v>659383.61219890672</v>
      </c>
      <c r="T262" s="179">
        <f t="shared" si="106"/>
        <v>677384.78481193702</v>
      </c>
      <c r="U262" s="179">
        <f t="shared" si="106"/>
        <v>695877.38943730283</v>
      </c>
      <c r="V262" s="179">
        <f t="shared" si="106"/>
        <v>714874.84216894128</v>
      </c>
      <c r="W262" s="186">
        <v>0.38739735967761679</v>
      </c>
      <c r="X262" s="187">
        <f t="shared" si="108"/>
        <v>0.81441151739824014</v>
      </c>
      <c r="Y262" s="184">
        <f t="shared" si="109"/>
        <v>99536.675229298882</v>
      </c>
    </row>
    <row r="263" spans="1:25">
      <c r="A263" s="1"/>
      <c r="B263" s="179"/>
      <c r="C263" s="179"/>
      <c r="D263" s="179"/>
      <c r="E263" s="179"/>
      <c r="F263" s="179"/>
      <c r="G263" s="179"/>
      <c r="H263" s="179"/>
      <c r="I263" s="179"/>
      <c r="J263" s="179"/>
      <c r="K263" s="179"/>
      <c r="L263" s="179"/>
      <c r="M263" s="179"/>
      <c r="N263" s="179"/>
      <c r="O263" s="179"/>
      <c r="P263" s="179"/>
      <c r="Q263" s="179"/>
      <c r="R263" s="179"/>
      <c r="S263" s="179"/>
      <c r="T263" s="179"/>
      <c r="U263" s="179"/>
      <c r="V263" s="179"/>
    </row>
    <row r="264" spans="1:25">
      <c r="A264" s="145" t="s">
        <v>376</v>
      </c>
      <c r="B264" s="179"/>
      <c r="C264" s="179"/>
      <c r="D264" s="179"/>
      <c r="E264" s="179"/>
      <c r="F264" s="179"/>
      <c r="G264" s="179"/>
      <c r="H264" s="179"/>
      <c r="I264" s="179"/>
      <c r="J264" s="179"/>
      <c r="K264" s="179"/>
      <c r="L264" s="179"/>
      <c r="M264" s="179"/>
      <c r="N264" s="179"/>
      <c r="O264" s="179"/>
      <c r="P264" s="179"/>
      <c r="Q264" s="179"/>
      <c r="R264" s="179"/>
      <c r="S264" s="179"/>
      <c r="T264" s="179"/>
      <c r="U264" s="179"/>
      <c r="V264" s="179"/>
    </row>
    <row r="265" spans="1:25">
      <c r="A265" s="67" t="s">
        <v>70</v>
      </c>
      <c r="B265" s="179">
        <f t="shared" ref="B265:Q267" si="110">$D243*B$256</f>
        <v>229972.11851317828</v>
      </c>
      <c r="C265" s="179">
        <f t="shared" si="110"/>
        <v>236250.35734858806</v>
      </c>
      <c r="D265" s="179">
        <f t="shared" si="110"/>
        <v>242699.99210420455</v>
      </c>
      <c r="E265" s="179">
        <f t="shared" si="110"/>
        <v>249325.70188864935</v>
      </c>
      <c r="F265" s="179">
        <f t="shared" si="110"/>
        <v>256132.29355020949</v>
      </c>
      <c r="G265" s="179">
        <f t="shared" si="110"/>
        <v>263124.70516413025</v>
      </c>
      <c r="H265" s="179">
        <f t="shared" si="110"/>
        <v>270308.00961511105</v>
      </c>
      <c r="I265" s="179">
        <f>$D243*I$256</f>
        <v>277687.41827760357</v>
      </c>
      <c r="J265" s="179">
        <f t="shared" si="110"/>
        <v>285268.28479658219</v>
      </c>
      <c r="K265" s="179">
        <f t="shared" si="110"/>
        <v>293056.10897152894</v>
      </c>
      <c r="L265" s="179">
        <f t="shared" si="110"/>
        <v>301056.5407464517</v>
      </c>
      <c r="M265" s="179">
        <f t="shared" si="110"/>
        <v>309275.38430882985</v>
      </c>
      <c r="N265" s="179">
        <f t="shared" si="110"/>
        <v>317718.60230046092</v>
      </c>
      <c r="O265" s="179">
        <f t="shared" si="110"/>
        <v>326392.32014326355</v>
      </c>
      <c r="P265" s="179">
        <f t="shared" si="110"/>
        <v>335302.83048317465</v>
      </c>
      <c r="Q265" s="179">
        <f t="shared" si="110"/>
        <v>344456.59775536536</v>
      </c>
      <c r="R265" s="179">
        <f t="shared" ref="C265:V267" si="111">$D243*R$256</f>
        <v>353860.26287408685</v>
      </c>
      <c r="S265" s="179">
        <f t="shared" si="111"/>
        <v>363520.64805054944</v>
      </c>
      <c r="T265" s="179">
        <f t="shared" si="111"/>
        <v>373444.76174232952</v>
      </c>
      <c r="U265" s="179">
        <f t="shared" si="111"/>
        <v>383639.80373789516</v>
      </c>
      <c r="V265" s="179">
        <f t="shared" si="111"/>
        <v>394113.17037993972</v>
      </c>
      <c r="W265" s="186">
        <v>0.16269558610838433</v>
      </c>
      <c r="X265" s="187">
        <f>W265*$B$19/$X$259</f>
        <v>0.34202907130495097</v>
      </c>
      <c r="Y265" s="184">
        <f>X265*1000000-V265</f>
        <v>-52084.099074988742</v>
      </c>
    </row>
    <row r="266" spans="1:25">
      <c r="A266" s="67" t="s">
        <v>16</v>
      </c>
      <c r="B266" s="179">
        <f t="shared" si="110"/>
        <v>144984.15152522031</v>
      </c>
      <c r="C266" s="179">
        <f t="shared" si="111"/>
        <v>148942.21886185886</v>
      </c>
      <c r="D266" s="179">
        <f t="shared" si="111"/>
        <v>153008.3414367876</v>
      </c>
      <c r="E266" s="179">
        <f t="shared" si="111"/>
        <v>157185.46915801193</v>
      </c>
      <c r="F266" s="179">
        <f t="shared" si="111"/>
        <v>161476.63246602565</v>
      </c>
      <c r="G266" s="179">
        <f t="shared" si="111"/>
        <v>165884.94453234819</v>
      </c>
      <c r="H266" s="179">
        <f t="shared" si="111"/>
        <v>170413.60351808131</v>
      </c>
      <c r="I266" s="179">
        <f t="shared" si="111"/>
        <v>175065.89489412494</v>
      </c>
      <c r="J266" s="179">
        <f t="shared" si="111"/>
        <v>179845.19382473457</v>
      </c>
      <c r="K266" s="179">
        <f t="shared" si="111"/>
        <v>184754.96761614984</v>
      </c>
      <c r="L266" s="179">
        <f t="shared" si="111"/>
        <v>189798.77823207076</v>
      </c>
      <c r="M266" s="179">
        <f t="shared" si="111"/>
        <v>194980.28487780629</v>
      </c>
      <c r="N266" s="179">
        <f t="shared" si="111"/>
        <v>200303.24665497043</v>
      </c>
      <c r="O266" s="179">
        <f t="shared" si="111"/>
        <v>205771.52528865114</v>
      </c>
      <c r="P266" s="179">
        <f t="shared" si="111"/>
        <v>211389.08792903132</v>
      </c>
      <c r="Q266" s="179">
        <f t="shared" si="111"/>
        <v>217160.01002949389</v>
      </c>
      <c r="R266" s="179">
        <f t="shared" si="111"/>
        <v>223088.47830329908</v>
      </c>
      <c r="S266" s="179">
        <f t="shared" si="111"/>
        <v>229178.79376097917</v>
      </c>
      <c r="T266" s="179">
        <f t="shared" si="111"/>
        <v>235435.37483065395</v>
      </c>
      <c r="U266" s="179">
        <f t="shared" si="111"/>
        <v>241862.76056353081</v>
      </c>
      <c r="V266" s="179">
        <f t="shared" si="111"/>
        <v>248465.61392691522</v>
      </c>
      <c r="W266" s="186">
        <v>0.13684863543355574</v>
      </c>
      <c r="X266" s="187">
        <f t="shared" ref="X266:X267" si="112">W266*$B$19/$X$259</f>
        <v>0.28769195776158041</v>
      </c>
      <c r="Y266" s="184">
        <f t="shared" ref="Y266:Y267" si="113">X266*1000000-V266</f>
        <v>39226.343834665196</v>
      </c>
    </row>
    <row r="267" spans="1:25">
      <c r="A267" s="67" t="s">
        <v>23</v>
      </c>
      <c r="B267" s="179">
        <f t="shared" si="110"/>
        <v>207657.58292388226</v>
      </c>
      <c r="C267" s="179">
        <f t="shared" si="111"/>
        <v>213326.63493770428</v>
      </c>
      <c r="D267" s="179">
        <f t="shared" si="111"/>
        <v>219150.45207150362</v>
      </c>
      <c r="E267" s="179">
        <f t="shared" si="111"/>
        <v>225133.2594130557</v>
      </c>
      <c r="F267" s="179">
        <f t="shared" si="111"/>
        <v>231279.39739503214</v>
      </c>
      <c r="G267" s="179">
        <f t="shared" si="111"/>
        <v>237593.32494391655</v>
      </c>
      <c r="H267" s="179">
        <f t="shared" si="111"/>
        <v>244079.62271488548</v>
      </c>
      <c r="I267" s="179">
        <f t="shared" si="111"/>
        <v>250742.99641500186</v>
      </c>
      <c r="J267" s="179">
        <f t="shared" si="111"/>
        <v>257588.28021713145</v>
      </c>
      <c r="K267" s="179">
        <f t="shared" si="111"/>
        <v>264620.4402670592</v>
      </c>
      <c r="L267" s="179">
        <f t="shared" si="111"/>
        <v>271844.57828634995</v>
      </c>
      <c r="M267" s="179">
        <f t="shared" si="111"/>
        <v>279265.93527356727</v>
      </c>
      <c r="N267" s="179">
        <f t="shared" si="111"/>
        <v>286889.89530653571</v>
      </c>
      <c r="O267" s="179">
        <f t="shared" si="111"/>
        <v>294721.98944840417</v>
      </c>
      <c r="P267" s="179">
        <f t="shared" si="111"/>
        <v>302767.89976034558</v>
      </c>
      <c r="Q267" s="179">
        <f t="shared" si="111"/>
        <v>311033.46342380304</v>
      </c>
      <c r="R267" s="179">
        <f t="shared" si="111"/>
        <v>319524.67697527289</v>
      </c>
      <c r="S267" s="179">
        <f t="shared" si="111"/>
        <v>328247.70065669791</v>
      </c>
      <c r="T267" s="179">
        <f t="shared" si="111"/>
        <v>337208.86288462579</v>
      </c>
      <c r="U267" s="179">
        <f t="shared" si="111"/>
        <v>346414.66484137613</v>
      </c>
      <c r="V267" s="179">
        <f t="shared" si="111"/>
        <v>355871.78519154567</v>
      </c>
      <c r="W267" s="186">
        <v>0.19285024711274493</v>
      </c>
      <c r="X267" s="187">
        <f t="shared" si="112"/>
        <v>0.40542212913484349</v>
      </c>
      <c r="Y267" s="184">
        <f t="shared" si="113"/>
        <v>49550.343943297805</v>
      </c>
    </row>
    <row r="268" spans="1:25">
      <c r="A268" s="1"/>
      <c r="B268" s="179"/>
      <c r="C268" s="179"/>
      <c r="D268" s="179"/>
      <c r="E268" s="179"/>
      <c r="F268" s="179"/>
      <c r="G268" s="179"/>
      <c r="H268" s="179"/>
      <c r="I268" s="179"/>
      <c r="J268" s="179"/>
      <c r="K268" s="179"/>
      <c r="L268" s="179"/>
      <c r="M268" s="179"/>
      <c r="N268" s="179"/>
      <c r="O268" s="179"/>
      <c r="P268" s="179"/>
      <c r="Q268" s="179"/>
      <c r="R268" s="179"/>
      <c r="S268" s="179"/>
      <c r="T268" s="179"/>
      <c r="U268" s="179"/>
      <c r="V268" s="179"/>
    </row>
    <row r="269" spans="1:25">
      <c r="A269" s="145" t="s">
        <v>377</v>
      </c>
      <c r="B269" s="179"/>
      <c r="C269" s="179"/>
      <c r="D269" s="179"/>
      <c r="E269" s="179"/>
      <c r="F269" s="179"/>
      <c r="G269" s="179"/>
      <c r="H269" s="179"/>
      <c r="I269" s="179"/>
      <c r="J269" s="179"/>
      <c r="K269" s="179"/>
      <c r="L269" s="179"/>
      <c r="M269" s="179"/>
      <c r="N269" s="179"/>
      <c r="O269" s="179"/>
      <c r="P269" s="179"/>
      <c r="Q269" s="179"/>
      <c r="R269" s="179"/>
      <c r="S269" s="179"/>
      <c r="T269" s="179"/>
      <c r="U269" s="179"/>
      <c r="V269" s="179"/>
    </row>
    <row r="270" spans="1:25">
      <c r="A270" s="67" t="s">
        <v>70</v>
      </c>
      <c r="B270" s="179">
        <f>$D248*B$256*(1.02383)</f>
        <v>300067.31806249724</v>
      </c>
      <c r="C270" s="179">
        <f>$D248*C$256*(1.02383)^C258</f>
        <v>308259.15584560344</v>
      </c>
      <c r="D270" s="179">
        <f>$D248*D$256*(1.02383)^D258</f>
        <v>324220.98725215689</v>
      </c>
      <c r="E270" s="179">
        <f t="shared" ref="E270:V270" si="114">$D248*E$256*(1.02383)^E258</f>
        <v>341009.33121160552</v>
      </c>
      <c r="F270" s="179">
        <f t="shared" si="114"/>
        <v>358666.98500595859</v>
      </c>
      <c r="G270" s="179">
        <f t="shared" si="114"/>
        <v>377238.96198441181</v>
      </c>
      <c r="H270" s="179">
        <f t="shared" si="114"/>
        <v>396772.60631254443</v>
      </c>
      <c r="I270" s="179">
        <f t="shared" si="114"/>
        <v>417317.71366329485</v>
      </c>
      <c r="J270" s="179">
        <f t="shared" si="114"/>
        <v>438926.65815738222</v>
      </c>
      <c r="K270" s="179">
        <f t="shared" si="114"/>
        <v>461654.52587677352</v>
      </c>
      <c r="L270" s="179">
        <f t="shared" si="114"/>
        <v>485559.25529155281</v>
      </c>
      <c r="M270" s="179">
        <f t="shared" si="114"/>
        <v>510701.78495817317</v>
      </c>
      <c r="N270" s="179">
        <f t="shared" si="114"/>
        <v>537146.20886560518</v>
      </c>
      <c r="O270" s="179">
        <f t="shared" si="114"/>
        <v>564959.93982539698</v>
      </c>
      <c r="P270" s="179">
        <f t="shared" si="114"/>
        <v>594213.88132216246</v>
      </c>
      <c r="Q270" s="179">
        <f t="shared" si="114"/>
        <v>624982.60826258373</v>
      </c>
      <c r="R270" s="179">
        <f t="shared" si="114"/>
        <v>657344.55708369834</v>
      </c>
      <c r="S270" s="179">
        <f t="shared" si="114"/>
        <v>691382.22570509976</v>
      </c>
      <c r="T270" s="179">
        <f t="shared" si="114"/>
        <v>727182.38383477402</v>
      </c>
      <c r="U270" s="179">
        <f t="shared" si="114"/>
        <v>764836.29416469135</v>
      </c>
      <c r="V270" s="179">
        <f t="shared" si="114"/>
        <v>804439.94502002746</v>
      </c>
      <c r="W270" s="186">
        <v>0.30917323394617646</v>
      </c>
      <c r="X270" s="187">
        <f>W270*$B$19/$X$259</f>
        <v>0.64996375506163495</v>
      </c>
      <c r="Y270" s="184">
        <f>X270*1000000-V270</f>
        <v>-154476.18995839253</v>
      </c>
    </row>
    <row r="271" spans="1:25">
      <c r="A271" s="67" t="s">
        <v>18</v>
      </c>
      <c r="B271" s="179">
        <f>$D249*B$256*(1.02383)</f>
        <v>192319.63441381766</v>
      </c>
      <c r="C271" s="179">
        <f>$D249*C$256*(1.02383)^C258</f>
        <v>197569.96043331493</v>
      </c>
      <c r="D271" s="179">
        <f t="shared" ref="D271:V271" si="115">$D249*D$256*(1.02383)^D258</f>
        <v>207800.24342615987</v>
      </c>
      <c r="E271" s="179">
        <f t="shared" si="115"/>
        <v>218560.25619110253</v>
      </c>
      <c r="F271" s="179">
        <f t="shared" si="115"/>
        <v>229877.42843186102</v>
      </c>
      <c r="G271" s="179">
        <f t="shared" si="115"/>
        <v>241780.61017754534</v>
      </c>
      <c r="H271" s="179">
        <f t="shared" si="115"/>
        <v>254300.14532789969</v>
      </c>
      <c r="I271" s="179">
        <f t="shared" si="115"/>
        <v>267467.94900675962</v>
      </c>
      <c r="J271" s="179">
        <f t="shared" si="115"/>
        <v>281317.58892091311</v>
      </c>
      <c r="K271" s="179">
        <f t="shared" si="115"/>
        <v>295884.3709317703</v>
      </c>
      <c r="L271" s="179">
        <f t="shared" si="115"/>
        <v>311205.42905798065</v>
      </c>
      <c r="M271" s="179">
        <f t="shared" si="115"/>
        <v>327319.82013843779</v>
      </c>
      <c r="N271" s="179">
        <f t="shared" si="115"/>
        <v>344268.62339698558</v>
      </c>
      <c r="O271" s="179">
        <f t="shared" si="115"/>
        <v>362095.04516264203</v>
      </c>
      <c r="P271" s="179">
        <f t="shared" si="115"/>
        <v>380844.52901229379</v>
      </c>
      <c r="Q271" s="179">
        <f t="shared" si="115"/>
        <v>400564.87161664217</v>
      </c>
      <c r="R271" s="179">
        <f t="shared" si="115"/>
        <v>421306.34458471515</v>
      </c>
      <c r="S271" s="179">
        <f t="shared" si="115"/>
        <v>443121.8226175583</v>
      </c>
      <c r="T271" s="179">
        <f t="shared" si="115"/>
        <v>466066.91829779447</v>
      </c>
      <c r="U271" s="179">
        <f t="shared" si="115"/>
        <v>490200.12385866162</v>
      </c>
      <c r="V271" s="179">
        <f t="shared" si="115"/>
        <v>515582.96029393229</v>
      </c>
      <c r="W271" s="186">
        <v>5.4214695445088772</v>
      </c>
      <c r="X271" s="187">
        <f t="shared" ref="X271:X272" si="116">W271*$B$19/$X$259</f>
        <v>11.397360172888472</v>
      </c>
      <c r="Y271" s="184">
        <f t="shared" ref="Y271:Y272" si="117">X271*1000000-V271</f>
        <v>10881777.212594541</v>
      </c>
    </row>
    <row r="272" spans="1:25">
      <c r="A272" s="67" t="s">
        <v>180</v>
      </c>
      <c r="B272" s="179">
        <f>$D250*B$256*(1.02383)</f>
        <v>334720.42595754931</v>
      </c>
      <c r="C272" s="179">
        <f>$D250*C$256*(1.02383)^C258</f>
        <v>343858.29358619044</v>
      </c>
      <c r="D272" s="179">
        <f t="shared" ref="D272:V272" si="118">$D250*D$256*(1.02383)^D258</f>
        <v>361663.46824486949</v>
      </c>
      <c r="E272" s="179">
        <f t="shared" si="118"/>
        <v>380390.60480046767</v>
      </c>
      <c r="F272" s="179">
        <f t="shared" si="118"/>
        <v>400087.44295538391</v>
      </c>
      <c r="G272" s="179">
        <f t="shared" si="118"/>
        <v>420804.19440049439</v>
      </c>
      <c r="H272" s="179">
        <f t="shared" si="118"/>
        <v>442593.67081609665</v>
      </c>
      <c r="I272" s="179">
        <f t="shared" si="118"/>
        <v>465511.41850081622</v>
      </c>
      <c r="J272" s="179">
        <f t="shared" si="118"/>
        <v>489615.85997167137</v>
      </c>
      <c r="K272" s="179">
        <f t="shared" si="118"/>
        <v>514968.44289627031</v>
      </c>
      <c r="L272" s="179">
        <f t="shared" si="118"/>
        <v>541633.79673679883</v>
      </c>
      <c r="M272" s="179">
        <f t="shared" si="118"/>
        <v>569679.8975051227</v>
      </c>
      <c r="N272" s="179">
        <f t="shared" si="118"/>
        <v>599178.24104900064</v>
      </c>
      <c r="O272" s="179">
        <f t="shared" si="118"/>
        <v>630204.02531115478</v>
      </c>
      <c r="P272" s="179">
        <f t="shared" si="118"/>
        <v>662836.34202581644</v>
      </c>
      <c r="Q272" s="179">
        <f t="shared" si="118"/>
        <v>697158.37834142847</v>
      </c>
      <c r="R272" s="179">
        <f t="shared" si="118"/>
        <v>733257.62888348114</v>
      </c>
      <c r="S272" s="179">
        <f t="shared" si="118"/>
        <v>771226.11879808246</v>
      </c>
      <c r="T272" s="179">
        <f t="shared" si="118"/>
        <v>811160.63834484771</v>
      </c>
      <c r="U272" s="179">
        <f t="shared" si="118"/>
        <v>853162.98963714077</v>
      </c>
      <c r="V272" s="179">
        <f t="shared" si="118"/>
        <v>897340.2461586633</v>
      </c>
      <c r="W272" s="186">
        <v>0.38759581440448809</v>
      </c>
      <c r="X272" s="187">
        <f t="shared" si="116"/>
        <v>0.81482872162332987</v>
      </c>
      <c r="Y272" s="184">
        <f t="shared" si="117"/>
        <v>-82511.524535333388</v>
      </c>
    </row>
    <row r="273" spans="1:22" s="1" customFormat="1">
      <c r="A273" s="67"/>
      <c r="B273" s="179"/>
      <c r="C273" s="179"/>
      <c r="D273" s="179"/>
      <c r="E273" s="179"/>
      <c r="F273" s="179"/>
      <c r="G273" s="179"/>
      <c r="H273" s="179"/>
      <c r="I273" s="179"/>
      <c r="J273" s="179"/>
      <c r="K273" s="179"/>
      <c r="L273" s="179"/>
      <c r="M273" s="179"/>
      <c r="N273" s="179"/>
      <c r="O273" s="179"/>
      <c r="P273" s="179"/>
      <c r="Q273" s="179"/>
      <c r="R273" s="179"/>
      <c r="S273" s="179"/>
      <c r="T273" s="179"/>
      <c r="U273" s="179"/>
      <c r="V273" s="179"/>
    </row>
    <row r="274" spans="1:22" s="1" customFormat="1" ht="15.75" thickBot="1">
      <c r="A274" s="180" t="s">
        <v>387</v>
      </c>
      <c r="B274" s="181">
        <v>0</v>
      </c>
      <c r="C274" s="182">
        <v>0</v>
      </c>
      <c r="D274" s="182">
        <v>0.05</v>
      </c>
      <c r="E274" s="182">
        <v>0.25</v>
      </c>
      <c r="F274" s="182">
        <v>0.6</v>
      </c>
      <c r="G274" s="182">
        <v>0.95</v>
      </c>
      <c r="H274" s="182">
        <v>1</v>
      </c>
      <c r="I274" s="176">
        <f>H274</f>
        <v>1</v>
      </c>
      <c r="J274" s="176">
        <f t="shared" ref="J274:V274" si="119">I274</f>
        <v>1</v>
      </c>
      <c r="K274" s="176">
        <f t="shared" si="119"/>
        <v>1</v>
      </c>
      <c r="L274" s="176">
        <f t="shared" si="119"/>
        <v>1</v>
      </c>
      <c r="M274" s="176">
        <f t="shared" si="119"/>
        <v>1</v>
      </c>
      <c r="N274" s="176">
        <f t="shared" si="119"/>
        <v>1</v>
      </c>
      <c r="O274" s="176">
        <f t="shared" si="119"/>
        <v>1</v>
      </c>
      <c r="P274" s="176">
        <f t="shared" si="119"/>
        <v>1</v>
      </c>
      <c r="Q274" s="176">
        <f t="shared" si="119"/>
        <v>1</v>
      </c>
      <c r="R274" s="176">
        <f t="shared" si="119"/>
        <v>1</v>
      </c>
      <c r="S274" s="176">
        <f t="shared" si="119"/>
        <v>1</v>
      </c>
      <c r="T274" s="176">
        <f t="shared" si="119"/>
        <v>1</v>
      </c>
      <c r="U274" s="176">
        <f t="shared" si="119"/>
        <v>1</v>
      </c>
      <c r="V274" s="176">
        <f t="shared" si="119"/>
        <v>1</v>
      </c>
    </row>
    <row r="275" spans="1:22">
      <c r="B275" s="179"/>
      <c r="C275" s="179"/>
      <c r="D275" s="179"/>
      <c r="E275" s="179"/>
      <c r="F275" s="179"/>
      <c r="G275" s="179"/>
      <c r="H275" s="179"/>
      <c r="I275" s="179"/>
      <c r="J275" s="179"/>
      <c r="K275" s="179"/>
      <c r="L275" s="179"/>
      <c r="M275" s="179"/>
      <c r="N275" s="179"/>
      <c r="O275" s="179"/>
      <c r="P275" s="179"/>
      <c r="Q275" s="179"/>
      <c r="R275" s="179"/>
      <c r="S275" s="179"/>
      <c r="T275" s="179"/>
      <c r="U275" s="179"/>
      <c r="V275" s="179"/>
    </row>
    <row r="276" spans="1:22">
      <c r="A276" s="67" t="s">
        <v>384</v>
      </c>
      <c r="B276" s="179">
        <f>SUM(B260:B262,B265:B267,B270:B272)*B274</f>
        <v>0</v>
      </c>
      <c r="C276" s="179">
        <f t="shared" ref="C276:V276" si="120">SUM(C260:C262,C265:C267,C270:C272)*C274</f>
        <v>0</v>
      </c>
      <c r="D276" s="179">
        <f t="shared" si="120"/>
        <v>140969.3142826969</v>
      </c>
      <c r="E276" s="179">
        <f t="shared" si="120"/>
        <v>729558.35806291923</v>
      </c>
      <c r="F276" s="179">
        <f t="shared" si="120"/>
        <v>1812547.1735370175</v>
      </c>
      <c r="G276" s="179">
        <f t="shared" si="120"/>
        <v>2971205.8571416442</v>
      </c>
      <c r="H276" s="179">
        <f t="shared" si="120"/>
        <v>3238423.6534265243</v>
      </c>
      <c r="I276" s="179">
        <f t="shared" si="120"/>
        <v>3353606.1845463347</v>
      </c>
      <c r="J276" s="179">
        <f t="shared" si="120"/>
        <v>3473319.5489475811</v>
      </c>
      <c r="K276" s="179">
        <f t="shared" si="120"/>
        <v>3597759.2243662337</v>
      </c>
      <c r="L276" s="179">
        <f t="shared" si="120"/>
        <v>3727129.7421990088</v>
      </c>
      <c r="M276" s="179">
        <f t="shared" si="120"/>
        <v>3861645.1271427865</v>
      </c>
      <c r="N276" s="179">
        <f t="shared" si="120"/>
        <v>4001529.3588026157</v>
      </c>
      <c r="O276" s="179">
        <f t="shared" si="120"/>
        <v>4147016.8563841227</v>
      </c>
      <c r="P276" s="179">
        <f t="shared" si="120"/>
        <v>4298352.9876433201</v>
      </c>
      <c r="Q276" s="179">
        <f t="shared" si="120"/>
        <v>4455794.6033269297</v>
      </c>
      <c r="R276" s="179">
        <f t="shared" si="120"/>
        <v>4619610.5983995721</v>
      </c>
      <c r="S276" s="179">
        <f t="shared" si="120"/>
        <v>4790082.501420659</v>
      </c>
      <c r="T276" s="179">
        <f t="shared" si="120"/>
        <v>4967505.0935037239</v>
      </c>
      <c r="U276" s="179">
        <f t="shared" si="120"/>
        <v>5152187.0583644193</v>
      </c>
      <c r="V276" s="179">
        <f t="shared" si="120"/>
        <v>5344451.6650407659</v>
      </c>
    </row>
    <row r="277" spans="1:22">
      <c r="A277" s="67" t="s">
        <v>385</v>
      </c>
      <c r="B277" s="178">
        <f>NPV(0.1,C276:V276)</f>
        <v>22391202.111408848</v>
      </c>
    </row>
    <row r="278" spans="1:22">
      <c r="C278" s="53">
        <f>$F40*C274</f>
        <v>0</v>
      </c>
      <c r="D278" s="53">
        <f t="shared" ref="D278:H278" si="121">$F40*D274</f>
        <v>7764</v>
      </c>
      <c r="E278" s="53">
        <f t="shared" si="121"/>
        <v>38820</v>
      </c>
      <c r="F278" s="53">
        <f t="shared" si="121"/>
        <v>93168</v>
      </c>
      <c r="G278" s="53">
        <f t="shared" si="121"/>
        <v>147516</v>
      </c>
      <c r="H278" s="53">
        <f t="shared" si="121"/>
        <v>155280</v>
      </c>
    </row>
    <row r="280" spans="1:22">
      <c r="A280" t="s">
        <v>390</v>
      </c>
    </row>
    <row r="281" spans="1:22">
      <c r="A281" t="s">
        <v>391</v>
      </c>
    </row>
    <row r="282" spans="1:22">
      <c r="A282" t="s">
        <v>70</v>
      </c>
      <c r="C282" t="s">
        <v>373</v>
      </c>
      <c r="D282">
        <v>620.33188805850591</v>
      </c>
    </row>
    <row r="283" spans="1:22">
      <c r="A283" t="s">
        <v>16</v>
      </c>
      <c r="C283" t="s">
        <v>373</v>
      </c>
      <c r="D283">
        <v>1432.9134678751534</v>
      </c>
    </row>
    <row r="284" spans="1:22">
      <c r="A284" t="s">
        <v>23</v>
      </c>
      <c r="C284" t="s">
        <v>373</v>
      </c>
      <c r="D284">
        <v>436.38041324980236</v>
      </c>
    </row>
    <row r="285" spans="1:22">
      <c r="A285" t="s">
        <v>392</v>
      </c>
    </row>
    <row r="286" spans="1:22">
      <c r="A286" t="s">
        <v>70</v>
      </c>
      <c r="C286" t="s">
        <v>373</v>
      </c>
      <c r="D286">
        <v>308.80736513938217</v>
      </c>
    </row>
    <row r="287" spans="1:22">
      <c r="A287" t="s">
        <v>16</v>
      </c>
      <c r="C287" t="s">
        <v>373</v>
      </c>
      <c r="D287">
        <v>713.31853320029143</v>
      </c>
    </row>
    <row r="288" spans="1:22">
      <c r="A288" t="s">
        <v>23</v>
      </c>
      <c r="C288" t="s">
        <v>373</v>
      </c>
      <c r="D288">
        <v>217.23449690111161</v>
      </c>
    </row>
    <row r="289" spans="1:4">
      <c r="A289" t="s">
        <v>14</v>
      </c>
    </row>
    <row r="290" spans="1:4">
      <c r="A290" t="s">
        <v>70</v>
      </c>
      <c r="C290" t="s">
        <v>373</v>
      </c>
      <c r="D290">
        <v>393.55307450869412</v>
      </c>
    </row>
    <row r="291" spans="1:4">
      <c r="A291" t="s">
        <v>18</v>
      </c>
      <c r="C291" t="s">
        <v>373</v>
      </c>
      <c r="D291">
        <v>9123.1699919566418</v>
      </c>
    </row>
    <row r="292" spans="1:4">
      <c r="A292" t="s">
        <v>180</v>
      </c>
      <c r="C292" t="s">
        <v>373</v>
      </c>
      <c r="D292">
        <v>652.24059158730347</v>
      </c>
    </row>
    <row r="294" spans="1:4">
      <c r="A294" t="s">
        <v>393</v>
      </c>
    </row>
    <row r="295" spans="1:4">
      <c r="A295" t="s">
        <v>391</v>
      </c>
    </row>
    <row r="296" spans="1:4">
      <c r="A296" t="s">
        <v>70</v>
      </c>
      <c r="C296" t="s">
        <v>373</v>
      </c>
      <c r="D296">
        <v>430.81557771786538</v>
      </c>
    </row>
    <row r="297" spans="1:4">
      <c r="A297" t="s">
        <v>16</v>
      </c>
      <c r="C297" t="s">
        <v>373</v>
      </c>
      <c r="D297">
        <v>1298.8654672688472</v>
      </c>
    </row>
    <row r="298" spans="1:4">
      <c r="A298" t="s">
        <v>23</v>
      </c>
      <c r="C298" t="s">
        <v>373</v>
      </c>
      <c r="D298">
        <v>247.47688520222428</v>
      </c>
    </row>
    <row r="299" spans="1:4">
      <c r="A299" t="s">
        <v>392</v>
      </c>
    </row>
    <row r="300" spans="1:4">
      <c r="A300" t="s">
        <v>70</v>
      </c>
      <c r="C300" t="s">
        <v>373</v>
      </c>
      <c r="D300">
        <v>229.47339590629738</v>
      </c>
    </row>
    <row r="301" spans="1:4">
      <c r="A301" t="s">
        <v>16</v>
      </c>
      <c r="C301" t="s">
        <v>373</v>
      </c>
      <c r="D301">
        <v>646.58810926707656</v>
      </c>
    </row>
    <row r="302" spans="1:4">
      <c r="A302" t="s">
        <v>23</v>
      </c>
      <c r="C302" t="s">
        <v>373</v>
      </c>
      <c r="D302">
        <v>123.19644745554734</v>
      </c>
    </row>
    <row r="303" spans="1:4">
      <c r="A303" t="s">
        <v>14</v>
      </c>
    </row>
    <row r="304" spans="1:4">
      <c r="A304" t="s">
        <v>70</v>
      </c>
      <c r="B304">
        <v>292.44756010308294</v>
      </c>
      <c r="C304" t="s">
        <v>373</v>
      </c>
      <c r="D304">
        <v>299.41536743310684</v>
      </c>
    </row>
    <row r="305" spans="1:6">
      <c r="A305" t="s">
        <v>18</v>
      </c>
      <c r="B305">
        <v>7298.5359935653123</v>
      </c>
      <c r="C305" t="s">
        <v>373</v>
      </c>
      <c r="D305">
        <v>7472.4297083102138</v>
      </c>
    </row>
    <row r="306" spans="1:6">
      <c r="A306" t="s">
        <v>180</v>
      </c>
      <c r="B306">
        <v>521.79247326984284</v>
      </c>
      <c r="C306" t="s">
        <v>373</v>
      </c>
      <c r="D306">
        <v>534.22461467228572</v>
      </c>
    </row>
    <row r="308" spans="1:6">
      <c r="A308" t="s">
        <v>394</v>
      </c>
    </row>
    <row r="309" spans="1:6">
      <c r="A309" s="1" t="s">
        <v>391</v>
      </c>
      <c r="D309" t="s">
        <v>395</v>
      </c>
      <c r="E309" t="s">
        <v>396</v>
      </c>
      <c r="F309" t="s">
        <v>397</v>
      </c>
    </row>
    <row r="310" spans="1:6">
      <c r="A310" s="1" t="s">
        <v>70</v>
      </c>
      <c r="D310" s="112">
        <f>D282-D296</f>
        <v>189.51631034064053</v>
      </c>
      <c r="E310" s="112">
        <f>D238</f>
        <v>212.16332777388953</v>
      </c>
      <c r="F310" s="112">
        <f>E310-D310</f>
        <v>22.647017433249005</v>
      </c>
    </row>
    <row r="311" spans="1:6">
      <c r="A311" s="1" t="s">
        <v>16</v>
      </c>
      <c r="D311" s="112">
        <f t="shared" ref="D311:D320" si="122">D283-D297</f>
        <v>134.04800060630623</v>
      </c>
      <c r="E311" s="112">
        <f t="shared" ref="E311:E312" si="123">D239</f>
        <v>115.77644044049788</v>
      </c>
      <c r="F311" s="112">
        <f t="shared" ref="F311:F320" si="124">E311-D311</f>
        <v>-18.271560165808353</v>
      </c>
    </row>
    <row r="312" spans="1:6">
      <c r="A312" s="1" t="s">
        <v>23</v>
      </c>
      <c r="D312" s="112">
        <f t="shared" si="122"/>
        <v>188.90352804757808</v>
      </c>
      <c r="E312" s="112">
        <f t="shared" si="123"/>
        <v>165.82402647797284</v>
      </c>
      <c r="F312" s="112">
        <f t="shared" si="124"/>
        <v>-23.079501569605242</v>
      </c>
    </row>
    <row r="313" spans="1:6">
      <c r="A313" s="1" t="s">
        <v>392</v>
      </c>
      <c r="D313" s="112"/>
      <c r="E313" s="112"/>
      <c r="F313" s="112"/>
    </row>
    <row r="314" spans="1:6">
      <c r="A314" s="1" t="s">
        <v>70</v>
      </c>
      <c r="D314" s="112">
        <f t="shared" si="122"/>
        <v>79.333969233084787</v>
      </c>
      <c r="E314" s="112">
        <f>D243</f>
        <v>91.41940511169426</v>
      </c>
      <c r="F314" s="112">
        <f t="shared" si="124"/>
        <v>12.085435878609474</v>
      </c>
    </row>
    <row r="315" spans="1:6">
      <c r="A315" s="1" t="s">
        <v>16</v>
      </c>
      <c r="D315" s="112">
        <f t="shared" si="122"/>
        <v>66.730423933214865</v>
      </c>
      <c r="E315" s="112">
        <f t="shared" ref="E315:E316" si="125">D244</f>
        <v>57.634660100328013</v>
      </c>
      <c r="F315" s="112">
        <f t="shared" si="124"/>
        <v>-9.0957638328868526</v>
      </c>
    </row>
    <row r="316" spans="1:6">
      <c r="A316" s="1" t="s">
        <v>23</v>
      </c>
      <c r="D316" s="112">
        <f t="shared" si="122"/>
        <v>94.038049445564269</v>
      </c>
      <c r="E316" s="112">
        <f t="shared" si="125"/>
        <v>82.548844705910668</v>
      </c>
      <c r="F316" s="112">
        <f t="shared" si="124"/>
        <v>-11.489204739653601</v>
      </c>
    </row>
    <row r="317" spans="1:6">
      <c r="A317" s="1" t="s">
        <v>14</v>
      </c>
      <c r="D317" s="112"/>
      <c r="E317" s="112"/>
      <c r="F317" s="112"/>
    </row>
    <row r="318" spans="1:6">
      <c r="A318" s="1" t="s">
        <v>70</v>
      </c>
      <c r="D318" s="112">
        <f t="shared" si="122"/>
        <v>94.137707075587286</v>
      </c>
      <c r="E318" s="112">
        <f>D248</f>
        <v>116.50754487420987</v>
      </c>
      <c r="F318" s="112">
        <f t="shared" si="124"/>
        <v>22.369837798622584</v>
      </c>
    </row>
    <row r="319" spans="1:6">
      <c r="A319" s="1" t="s">
        <v>18</v>
      </c>
      <c r="D319" s="112">
        <f t="shared" si="122"/>
        <v>1650.740283646428</v>
      </c>
      <c r="E319" s="112">
        <f t="shared" ref="E319:E320" si="126">D249</f>
        <v>74.672205494877304</v>
      </c>
      <c r="F319" s="112">
        <f t="shared" si="124"/>
        <v>-1576.0680781515507</v>
      </c>
    </row>
    <row r="320" spans="1:6">
      <c r="A320" s="1" t="s">
        <v>180</v>
      </c>
      <c r="D320" s="112">
        <f t="shared" si="122"/>
        <v>118.01597691501775</v>
      </c>
      <c r="E320" s="112">
        <f t="shared" si="126"/>
        <v>129.96235411229134</v>
      </c>
      <c r="F320" s="112">
        <f t="shared" si="124"/>
        <v>11.946377197273591</v>
      </c>
    </row>
    <row r="321" spans="1:25">
      <c r="F321" s="112">
        <f>SUM(F310:F320)</f>
        <v>-1568.9554401517503</v>
      </c>
    </row>
    <row r="323" spans="1:25">
      <c r="A323" t="s">
        <v>1351</v>
      </c>
    </row>
    <row r="324" spans="1:25" s="914" customFormat="1">
      <c r="B324" s="914" t="s">
        <v>381</v>
      </c>
    </row>
    <row r="325" spans="1:25" s="914" customFormat="1">
      <c r="A325" s="914" t="s">
        <v>380</v>
      </c>
      <c r="B325" s="914">
        <v>0</v>
      </c>
      <c r="C325" s="914">
        <v>1</v>
      </c>
      <c r="D325" s="914">
        <v>2</v>
      </c>
      <c r="E325" s="914">
        <v>3</v>
      </c>
      <c r="F325" s="914">
        <v>4</v>
      </c>
      <c r="G325" s="914">
        <v>5</v>
      </c>
      <c r="H325" s="914">
        <v>6</v>
      </c>
      <c r="I325" s="914">
        <v>7</v>
      </c>
      <c r="J325" s="914">
        <v>8</v>
      </c>
      <c r="K325" s="914">
        <v>9</v>
      </c>
      <c r="L325" s="914">
        <v>10</v>
      </c>
      <c r="M325" s="914">
        <v>11</v>
      </c>
      <c r="N325" s="914">
        <v>12</v>
      </c>
      <c r="O325" s="914">
        <v>13</v>
      </c>
      <c r="P325" s="914">
        <v>14</v>
      </c>
      <c r="Q325" s="914">
        <v>15</v>
      </c>
      <c r="R325" s="914">
        <v>16</v>
      </c>
      <c r="S325" s="914">
        <v>17</v>
      </c>
      <c r="T325" s="914">
        <v>18</v>
      </c>
      <c r="U325" s="914">
        <v>19</v>
      </c>
      <c r="V325" s="914">
        <v>20</v>
      </c>
    </row>
    <row r="326" spans="1:25" s="914" customFormat="1">
      <c r="A326" s="145" t="s">
        <v>382</v>
      </c>
      <c r="X326" s="914">
        <v>1164.8023993836923</v>
      </c>
    </row>
    <row r="327" spans="1:25" s="914" customFormat="1">
      <c r="A327" s="67" t="s">
        <v>70</v>
      </c>
      <c r="B327" s="179">
        <f>$B238*B$256</f>
        <v>522440.30303998297</v>
      </c>
      <c r="C327" s="179">
        <f t="shared" ref="C327:V327" si="127">$B238*C$256</f>
        <v>536702.92331297451</v>
      </c>
      <c r="D327" s="179">
        <f t="shared" si="127"/>
        <v>551354.91311941878</v>
      </c>
      <c r="E327" s="179">
        <f t="shared" si="127"/>
        <v>566406.90224757895</v>
      </c>
      <c r="F327" s="179">
        <f t="shared" si="127"/>
        <v>581869.81067893794</v>
      </c>
      <c r="G327" s="179">
        <f t="shared" si="127"/>
        <v>597754.85651047307</v>
      </c>
      <c r="H327" s="179">
        <f t="shared" si="127"/>
        <v>614073.56409320899</v>
      </c>
      <c r="I327" s="179">
        <f t="shared" si="127"/>
        <v>630837.77239295363</v>
      </c>
      <c r="J327" s="179">
        <f t="shared" si="127"/>
        <v>648059.64357928128</v>
      </c>
      <c r="K327" s="179">
        <f t="shared" si="127"/>
        <v>665751.67184899584</v>
      </c>
      <c r="L327" s="179">
        <f t="shared" si="127"/>
        <v>683926.69249047351</v>
      </c>
      <c r="M327" s="179">
        <f t="shared" si="127"/>
        <v>702597.89119546348</v>
      </c>
      <c r="N327" s="179">
        <f t="shared" si="127"/>
        <v>721778.8136250996</v>
      </c>
      <c r="O327" s="179">
        <f t="shared" si="127"/>
        <v>741483.3752370649</v>
      </c>
      <c r="P327" s="179">
        <f t="shared" si="127"/>
        <v>761725.87138103682</v>
      </c>
      <c r="Q327" s="179">
        <f t="shared" si="127"/>
        <v>782520.98766973917</v>
      </c>
      <c r="R327" s="179">
        <f t="shared" si="127"/>
        <v>803883.81063312315</v>
      </c>
      <c r="S327" s="179">
        <f t="shared" si="127"/>
        <v>825829.83866340749</v>
      </c>
      <c r="T327" s="179">
        <f t="shared" si="127"/>
        <v>848374.99325891864</v>
      </c>
      <c r="U327" s="179">
        <f t="shared" si="127"/>
        <v>871535.63057488715</v>
      </c>
      <c r="V327" s="179">
        <f t="shared" si="127"/>
        <v>895328.55328958167</v>
      </c>
      <c r="W327" s="186">
        <v>0.38865403415502409</v>
      </c>
      <c r="X327" s="187">
        <f>W327*$B$19/$X$259</f>
        <v>0.81705337889381824</v>
      </c>
      <c r="Y327" s="184">
        <f>X327*1000000-V327</f>
        <v>-78275.174395763432</v>
      </c>
    </row>
    <row r="328" spans="1:25" s="914" customFormat="1">
      <c r="A328" s="67" t="s">
        <v>16</v>
      </c>
      <c r="B328" s="179">
        <f>$B239*B$256</f>
        <v>4648.5191812695875</v>
      </c>
      <c r="C328" s="179">
        <f t="shared" ref="C328:V328" si="128">$B239*C$256</f>
        <v>4775.4237549182481</v>
      </c>
      <c r="D328" s="179">
        <f t="shared" si="128"/>
        <v>4905.7928234275169</v>
      </c>
      <c r="E328" s="179">
        <f t="shared" si="128"/>
        <v>5039.7209675070881</v>
      </c>
      <c r="F328" s="179">
        <f t="shared" si="128"/>
        <v>5177.3053499200323</v>
      </c>
      <c r="G328" s="179">
        <f t="shared" si="128"/>
        <v>5318.6457859728498</v>
      </c>
      <c r="H328" s="179">
        <f t="shared" si="128"/>
        <v>5463.8448159299087</v>
      </c>
      <c r="I328" s="179">
        <f t="shared" si="128"/>
        <v>5613.0077794047957</v>
      </c>
      <c r="J328" s="179">
        <f t="shared" si="128"/>
        <v>5766.2428917825473</v>
      </c>
      <c r="K328" s="179">
        <f t="shared" si="128"/>
        <v>5923.6613227282114</v>
      </c>
      <c r="L328" s="179">
        <f t="shared" si="128"/>
        <v>6085.3772768386925</v>
      </c>
      <c r="M328" s="179">
        <f t="shared" si="128"/>
        <v>6251.5080764963895</v>
      </c>
      <c r="N328" s="179">
        <f t="shared" si="128"/>
        <v>6422.1742469847413</v>
      </c>
      <c r="O328" s="179">
        <f t="shared" si="128"/>
        <v>6597.4996039274256</v>
      </c>
      <c r="P328" s="179">
        <f t="shared" si="128"/>
        <v>6777.6113431146441</v>
      </c>
      <c r="Q328" s="179">
        <f t="shared" si="128"/>
        <v>6962.6401327816748</v>
      </c>
      <c r="R328" s="179">
        <f t="shared" si="128"/>
        <v>7152.7202084066148</v>
      </c>
      <c r="S328" s="179">
        <f t="shared" si="128"/>
        <v>7347.9894700961158</v>
      </c>
      <c r="T328" s="179">
        <f t="shared" si="128"/>
        <v>7548.589582629741</v>
      </c>
      <c r="U328" s="179">
        <f t="shared" si="128"/>
        <v>7754.6660782355339</v>
      </c>
      <c r="V328" s="179">
        <f t="shared" si="128"/>
        <v>7966.3684621713646</v>
      </c>
      <c r="W328" s="186">
        <v>0.27490138507030604</v>
      </c>
      <c r="X328" s="187">
        <f t="shared" ref="X328:X329" si="129">W328*$B$19/$X$259</f>
        <v>0.57791528144718396</v>
      </c>
      <c r="Y328" s="184">
        <f t="shared" ref="Y328:Y329" si="130">X328*1000000-V328</f>
        <v>569948.91298501252</v>
      </c>
    </row>
    <row r="329" spans="1:25" s="914" customFormat="1">
      <c r="A329" s="67" t="s">
        <v>23</v>
      </c>
      <c r="B329" s="179">
        <f>$B240*B$256</f>
        <v>111303.81344691073</v>
      </c>
      <c r="C329" s="179">
        <f t="shared" ref="C329:V329" si="131">$B240*C$256</f>
        <v>114342.4075540114</v>
      </c>
      <c r="D329" s="179">
        <f t="shared" si="131"/>
        <v>117463.95528023592</v>
      </c>
      <c r="E329" s="179">
        <f t="shared" si="131"/>
        <v>120670.72125938638</v>
      </c>
      <c r="F329" s="179">
        <f t="shared" si="131"/>
        <v>123965.03194976764</v>
      </c>
      <c r="G329" s="179">
        <f t="shared" si="131"/>
        <v>127349.27732199631</v>
      </c>
      <c r="H329" s="179">
        <f t="shared" si="131"/>
        <v>130825.91259288682</v>
      </c>
      <c r="I329" s="179">
        <f t="shared" si="131"/>
        <v>134397.46000667263</v>
      </c>
      <c r="J329" s="179">
        <f t="shared" si="131"/>
        <v>138066.51066485481</v>
      </c>
      <c r="K329" s="179">
        <f t="shared" si="131"/>
        <v>141835.72640600536</v>
      </c>
      <c r="L329" s="179">
        <f t="shared" si="131"/>
        <v>145707.84173688933</v>
      </c>
      <c r="M329" s="179">
        <f t="shared" si="131"/>
        <v>149685.66581630643</v>
      </c>
      <c r="N329" s="179">
        <f t="shared" si="131"/>
        <v>153772.08449309159</v>
      </c>
      <c r="O329" s="179">
        <f t="shared" si="131"/>
        <v>157970.06239975302</v>
      </c>
      <c r="P329" s="179">
        <f t="shared" si="131"/>
        <v>162282.64510326629</v>
      </c>
      <c r="Q329" s="179">
        <f t="shared" si="131"/>
        <v>166712.96131458547</v>
      </c>
      <c r="R329" s="179">
        <f t="shared" si="131"/>
        <v>171264.22515847365</v>
      </c>
      <c r="S329" s="179">
        <f t="shared" si="131"/>
        <v>175939.73850530002</v>
      </c>
      <c r="T329" s="179">
        <f t="shared" si="131"/>
        <v>180742.89336649474</v>
      </c>
      <c r="U329" s="179">
        <f t="shared" si="131"/>
        <v>185677.17435540003</v>
      </c>
      <c r="V329" s="179">
        <f t="shared" si="131"/>
        <v>190746.16121530248</v>
      </c>
      <c r="W329" s="186">
        <v>0.38739735967761679</v>
      </c>
      <c r="X329" s="187">
        <f t="shared" si="129"/>
        <v>0.81441151739824014</v>
      </c>
      <c r="Y329" s="184">
        <f t="shared" si="130"/>
        <v>623665.35618293774</v>
      </c>
    </row>
    <row r="330" spans="1:25" s="914" customFormat="1">
      <c r="B330" s="179"/>
      <c r="C330" s="179"/>
      <c r="D330" s="179"/>
      <c r="E330" s="179"/>
      <c r="F330" s="179"/>
      <c r="G330" s="179"/>
      <c r="H330" s="179"/>
      <c r="I330" s="179"/>
      <c r="J330" s="179"/>
      <c r="K330" s="179"/>
      <c r="L330" s="179"/>
      <c r="M330" s="179"/>
      <c r="N330" s="179"/>
      <c r="O330" s="179"/>
      <c r="P330" s="179"/>
      <c r="Q330" s="179"/>
      <c r="R330" s="179"/>
      <c r="S330" s="179"/>
      <c r="T330" s="179"/>
      <c r="U330" s="179"/>
      <c r="V330" s="179"/>
    </row>
    <row r="331" spans="1:25" s="914" customFormat="1">
      <c r="A331" s="145" t="s">
        <v>376</v>
      </c>
      <c r="B331" s="179"/>
      <c r="C331" s="179"/>
      <c r="D331" s="179"/>
      <c r="E331" s="179"/>
      <c r="F331" s="179"/>
      <c r="G331" s="179"/>
      <c r="H331" s="179"/>
      <c r="I331" s="179"/>
      <c r="J331" s="179"/>
      <c r="K331" s="179"/>
      <c r="L331" s="179"/>
      <c r="M331" s="179"/>
      <c r="N331" s="179"/>
      <c r="O331" s="179"/>
      <c r="P331" s="179"/>
      <c r="Q331" s="179"/>
      <c r="R331" s="179"/>
      <c r="S331" s="179"/>
      <c r="T331" s="179"/>
      <c r="U331" s="179"/>
      <c r="V331" s="179"/>
    </row>
    <row r="332" spans="1:25" s="914" customFormat="1">
      <c r="A332" s="67" t="s">
        <v>70</v>
      </c>
      <c r="B332" s="179">
        <f>$B243*B$256</f>
        <v>218700.24196333974</v>
      </c>
      <c r="C332" s="179">
        <f t="shared" ref="C332:V334" si="132">$B243*C$256</f>
        <v>224670.75856893894</v>
      </c>
      <c r="D332" s="179">
        <f t="shared" si="132"/>
        <v>230804.27027787099</v>
      </c>
      <c r="E332" s="179">
        <f t="shared" si="132"/>
        <v>237105.22685645687</v>
      </c>
      <c r="F332" s="179">
        <f t="shared" si="132"/>
        <v>243578.19954963817</v>
      </c>
      <c r="G332" s="179">
        <f t="shared" si="132"/>
        <v>250227.88439734332</v>
      </c>
      <c r="H332" s="179">
        <f t="shared" si="132"/>
        <v>257059.10564139081</v>
      </c>
      <c r="I332" s="179">
        <f t="shared" si="132"/>
        <v>264076.8192254008</v>
      </c>
      <c r="J332" s="179">
        <f t="shared" si="132"/>
        <v>271286.11639025429</v>
      </c>
      <c r="K332" s="179">
        <f t="shared" si="132"/>
        <v>278692.22736770823</v>
      </c>
      <c r="L332" s="179">
        <f t="shared" si="132"/>
        <v>286300.52517484676</v>
      </c>
      <c r="M332" s="179">
        <f t="shared" si="132"/>
        <v>294116.52951212006</v>
      </c>
      <c r="N332" s="179">
        <f t="shared" si="132"/>
        <v>302145.91076780093</v>
      </c>
      <c r="O332" s="179">
        <f t="shared" si="132"/>
        <v>310394.49413176195</v>
      </c>
      <c r="P332" s="179">
        <f t="shared" si="132"/>
        <v>318868.26382155909</v>
      </c>
      <c r="Q332" s="179">
        <f t="shared" si="132"/>
        <v>327573.36742388766</v>
      </c>
      <c r="R332" s="179">
        <f t="shared" si="132"/>
        <v>336516.1203545598</v>
      </c>
      <c r="S332" s="179">
        <f t="shared" si="132"/>
        <v>345703.01044023933</v>
      </c>
      <c r="T332" s="179">
        <f t="shared" si="132"/>
        <v>355140.70262525795</v>
      </c>
      <c r="U332" s="179">
        <f t="shared" si="132"/>
        <v>364836.04380692751</v>
      </c>
      <c r="V332" s="179">
        <f t="shared" si="132"/>
        <v>374796.06780285662</v>
      </c>
      <c r="W332" s="186">
        <v>0.16269558610838433</v>
      </c>
      <c r="X332" s="187">
        <f>W332*$B$19/$X$259</f>
        <v>0.34202907130495097</v>
      </c>
      <c r="Y332" s="184">
        <f>X332*1000000-V332</f>
        <v>-32766.996497905639</v>
      </c>
    </row>
    <row r="333" spans="1:25" s="914" customFormat="1">
      <c r="A333" s="67" t="s">
        <v>16</v>
      </c>
      <c r="B333" s="179">
        <f t="shared" ref="B333:Q334" si="133">$B244*B$256</f>
        <v>2314.078943548282</v>
      </c>
      <c r="C333" s="179">
        <f t="shared" si="133"/>
        <v>2377.2532987071504</v>
      </c>
      <c r="D333" s="179">
        <f t="shared" si="133"/>
        <v>2442.152313761856</v>
      </c>
      <c r="E333" s="179">
        <f t="shared" si="133"/>
        <v>2508.8230719275548</v>
      </c>
      <c r="F333" s="179">
        <f t="shared" si="133"/>
        <v>2577.3139417911771</v>
      </c>
      <c r="G333" s="179">
        <f t="shared" si="133"/>
        <v>2647.6746124020765</v>
      </c>
      <c r="H333" s="179">
        <f t="shared" si="133"/>
        <v>2719.9561293206534</v>
      </c>
      <c r="I333" s="179">
        <f t="shared" si="133"/>
        <v>2794.2109316511078</v>
      </c>
      <c r="J333" s="179">
        <f t="shared" si="133"/>
        <v>2870.4928900851828</v>
      </c>
      <c r="K333" s="179">
        <f t="shared" si="133"/>
        <v>2948.8573459845088</v>
      </c>
      <c r="L333" s="179">
        <f t="shared" si="133"/>
        <v>3029.3611515298867</v>
      </c>
      <c r="M333" s="179">
        <f t="shared" si="133"/>
        <v>3112.0627109666525</v>
      </c>
      <c r="N333" s="179">
        <f t="shared" si="133"/>
        <v>3197.0220229760421</v>
      </c>
      <c r="O333" s="179">
        <f t="shared" si="133"/>
        <v>3284.3007242032886</v>
      </c>
      <c r="P333" s="179">
        <f t="shared" si="133"/>
        <v>3373.9621339740388</v>
      </c>
      <c r="Q333" s="179">
        <f t="shared" si="133"/>
        <v>3466.0713002315301</v>
      </c>
      <c r="R333" s="179">
        <f t="shared" si="132"/>
        <v>3560.6950467278511</v>
      </c>
      <c r="S333" s="179">
        <f t="shared" si="132"/>
        <v>3657.9020215035221</v>
      </c>
      <c r="T333" s="179">
        <f t="shared" si="132"/>
        <v>3757.7627466905687</v>
      </c>
      <c r="U333" s="179">
        <f t="shared" si="132"/>
        <v>3860.3496696752213</v>
      </c>
      <c r="V333" s="179">
        <f t="shared" si="132"/>
        <v>3965.7372156573551</v>
      </c>
      <c r="W333" s="186">
        <v>0.13684863543355574</v>
      </c>
      <c r="X333" s="187">
        <f t="shared" ref="X333:X334" si="134">W333*$B$19/$X$259</f>
        <v>0.28769195776158041</v>
      </c>
      <c r="Y333" s="184">
        <f t="shared" ref="Y333:Y334" si="135">X333*1000000-V333</f>
        <v>283726.22054592305</v>
      </c>
    </row>
    <row r="334" spans="1:25" s="914" customFormat="1">
      <c r="A334" s="67" t="s">
        <v>23</v>
      </c>
      <c r="B334" s="179">
        <f t="shared" si="133"/>
        <v>55408.14203197007</v>
      </c>
      <c r="C334" s="179">
        <f t="shared" si="132"/>
        <v>56920.784309442854</v>
      </c>
      <c r="D334" s="179">
        <f t="shared" si="132"/>
        <v>58474.721721090653</v>
      </c>
      <c r="E334" s="179">
        <f t="shared" si="132"/>
        <v>60071.081624076432</v>
      </c>
      <c r="F334" s="179">
        <f t="shared" si="132"/>
        <v>61711.022152413723</v>
      </c>
      <c r="G334" s="179">
        <f t="shared" si="132"/>
        <v>63395.733057174628</v>
      </c>
      <c r="H334" s="179">
        <f t="shared" si="132"/>
        <v>65126.436569635494</v>
      </c>
      <c r="I334" s="179">
        <f t="shared" si="132"/>
        <v>66904.388287986556</v>
      </c>
      <c r="J334" s="179">
        <f t="shared" si="132"/>
        <v>68730.878088248588</v>
      </c>
      <c r="K334" s="179">
        <f t="shared" si="132"/>
        <v>70607.231060057791</v>
      </c>
      <c r="L334" s="179">
        <f t="shared" si="132"/>
        <v>72534.808467997369</v>
      </c>
      <c r="M334" s="179">
        <f t="shared" si="132"/>
        <v>74515.008739173703</v>
      </c>
      <c r="N334" s="179">
        <f t="shared" si="132"/>
        <v>76549.268477753154</v>
      </c>
      <c r="O334" s="179">
        <f t="shared" si="132"/>
        <v>78639.063507195824</v>
      </c>
      <c r="P334" s="179">
        <f t="shared" si="132"/>
        <v>80785.909940942278</v>
      </c>
      <c r="Q334" s="179">
        <f t="shared" si="132"/>
        <v>82991.365282330007</v>
      </c>
      <c r="R334" s="179">
        <f t="shared" si="132"/>
        <v>85257.029554537614</v>
      </c>
      <c r="S334" s="179">
        <f t="shared" si="132"/>
        <v>87584.546461376507</v>
      </c>
      <c r="T334" s="179">
        <f t="shared" si="132"/>
        <v>89975.604579772102</v>
      </c>
      <c r="U334" s="179">
        <f t="shared" si="132"/>
        <v>92431.938584799878</v>
      </c>
      <c r="V334" s="179">
        <f t="shared" si="132"/>
        <v>94955.330508164931</v>
      </c>
      <c r="W334" s="186">
        <v>0.19285024711274493</v>
      </c>
      <c r="X334" s="187">
        <f t="shared" si="134"/>
        <v>0.40542212913484349</v>
      </c>
      <c r="Y334" s="184">
        <f t="shared" si="135"/>
        <v>310466.79862667853</v>
      </c>
    </row>
    <row r="335" spans="1:25" s="914" customFormat="1">
      <c r="B335" s="179"/>
      <c r="C335" s="179"/>
      <c r="D335" s="179"/>
      <c r="E335" s="179"/>
      <c r="F335" s="179"/>
      <c r="G335" s="179"/>
      <c r="H335" s="179"/>
      <c r="I335" s="179"/>
      <c r="J335" s="179"/>
      <c r="K335" s="179"/>
      <c r="L335" s="179"/>
      <c r="M335" s="179"/>
      <c r="N335" s="179"/>
      <c r="O335" s="179"/>
      <c r="P335" s="179"/>
      <c r="Q335" s="179"/>
      <c r="R335" s="179"/>
      <c r="S335" s="179"/>
      <c r="T335" s="179"/>
      <c r="U335" s="179"/>
      <c r="V335" s="179"/>
    </row>
    <row r="336" spans="1:25" s="914" customFormat="1">
      <c r="A336" s="145" t="s">
        <v>377</v>
      </c>
      <c r="B336" s="179"/>
      <c r="C336" s="179"/>
      <c r="D336" s="179"/>
      <c r="E336" s="179"/>
      <c r="F336" s="179"/>
      <c r="G336" s="179"/>
      <c r="H336" s="179"/>
      <c r="I336" s="179"/>
      <c r="J336" s="179"/>
      <c r="K336" s="179"/>
      <c r="L336" s="179"/>
      <c r="M336" s="179"/>
      <c r="N336" s="179"/>
      <c r="O336" s="179"/>
      <c r="P336" s="179"/>
      <c r="Q336" s="179"/>
      <c r="R336" s="179"/>
      <c r="S336" s="179"/>
      <c r="T336" s="179"/>
      <c r="U336" s="179"/>
      <c r="V336" s="179"/>
    </row>
    <row r="337" spans="1:25" s="914" customFormat="1">
      <c r="A337" s="67" t="s">
        <v>70</v>
      </c>
      <c r="B337" s="179">
        <f>$B248*B$256</f>
        <v>278717.93984453485</v>
      </c>
      <c r="C337" s="179">
        <f>$B248*C$256*(1.02383)^C325</f>
        <v>293150.11057301325</v>
      </c>
      <c r="D337" s="179">
        <f t="shared" ref="D337:V337" si="136">$B248*D$256*(1.02383)^D325</f>
        <v>308329.5871693957</v>
      </c>
      <c r="E337" s="179">
        <f t="shared" si="136"/>
        <v>324295.06554926629</v>
      </c>
      <c r="F337" s="179">
        <f t="shared" si="136"/>
        <v>341087.24532434891</v>
      </c>
      <c r="G337" s="179">
        <f t="shared" si="136"/>
        <v>358748.93355501391</v>
      </c>
      <c r="H337" s="179">
        <f t="shared" si="136"/>
        <v>377325.15387514635</v>
      </c>
      <c r="I337" s="179">
        <f t="shared" si="136"/>
        <v>396863.26126756251</v>
      </c>
      <c r="J337" s="179">
        <f t="shared" si="136"/>
        <v>417413.06278255995</v>
      </c>
      <c r="K337" s="179">
        <f t="shared" si="136"/>
        <v>439026.94450734311</v>
      </c>
      <c r="L337" s="179">
        <f t="shared" si="136"/>
        <v>461760.00510999525</v>
      </c>
      <c r="M337" s="179">
        <f t="shared" si="136"/>
        <v>485670.19629843376</v>
      </c>
      <c r="N337" s="179">
        <f t="shared" si="136"/>
        <v>510818.47055240639</v>
      </c>
      <c r="O337" s="179">
        <f t="shared" si="136"/>
        <v>537268.93650513515</v>
      </c>
      <c r="P337" s="179">
        <f t="shared" si="136"/>
        <v>565089.02237070643</v>
      </c>
      <c r="Q337" s="179">
        <f t="shared" si="136"/>
        <v>594349.64783382532</v>
      </c>
      <c r="R337" s="179">
        <f t="shared" si="136"/>
        <v>625125.40484011383</v>
      </c>
      <c r="S337" s="179">
        <f t="shared" si="136"/>
        <v>657494.74774783629</v>
      </c>
      <c r="T337" s="179">
        <f t="shared" si="136"/>
        <v>691540.19332578336</v>
      </c>
      <c r="U337" s="179">
        <f t="shared" si="136"/>
        <v>727348.53110716061</v>
      </c>
      <c r="V337" s="179">
        <f t="shared" si="136"/>
        <v>765011.04463571822</v>
      </c>
      <c r="W337" s="186">
        <v>0.30917323394617646</v>
      </c>
      <c r="X337" s="187">
        <f>W337*$B$19/$X$259</f>
        <v>0.64996375506163495</v>
      </c>
      <c r="Y337" s="184">
        <f>X337*1000000-V337</f>
        <v>-115047.28957408329</v>
      </c>
    </row>
    <row r="338" spans="1:25" s="914" customFormat="1">
      <c r="A338" s="67" t="s">
        <v>18</v>
      </c>
      <c r="B338" s="179">
        <f t="shared" ref="B338:B339" si="137">$B249*B$256</f>
        <v>52744.091118843709</v>
      </c>
      <c r="C338" s="179">
        <f>$B249*C$256*(1.02383)^C325</f>
        <v>55475.209640924375</v>
      </c>
      <c r="D338" s="179">
        <f t="shared" ref="D338:V338" si="138">$B249*D$256*(1.02383)^D325</f>
        <v>58347.747006773636</v>
      </c>
      <c r="E338" s="179">
        <f t="shared" si="138"/>
        <v>61369.02596317495</v>
      </c>
      <c r="F338" s="179">
        <f t="shared" si="138"/>
        <v>64546.748432833665</v>
      </c>
      <c r="G338" s="179">
        <f t="shared" si="138"/>
        <v>67889.015148318183</v>
      </c>
      <c r="H338" s="179">
        <f t="shared" si="138"/>
        <v>71404.346302657563</v>
      </c>
      <c r="I338" s="179">
        <f t="shared" si="138"/>
        <v>75101.703269238758</v>
      </c>
      <c r="J338" s="179">
        <f t="shared" si="138"/>
        <v>78990.511446372067</v>
      </c>
      <c r="K338" s="179">
        <f t="shared" si="138"/>
        <v>83080.684284761141</v>
      </c>
      <c r="L338" s="179">
        <f t="shared" si="138"/>
        <v>87382.648559128589</v>
      </c>
      <c r="M338" s="179">
        <f t="shared" si="138"/>
        <v>91907.370948420808</v>
      </c>
      <c r="N338" s="179">
        <f t="shared" si="138"/>
        <v>96666.385992350391</v>
      </c>
      <c r="O338" s="179">
        <f t="shared" si="138"/>
        <v>101671.82549554409</v>
      </c>
      <c r="P338" s="179">
        <f t="shared" si="138"/>
        <v>106936.4494542538</v>
      </c>
      <c r="Q338" s="179">
        <f t="shared" si="138"/>
        <v>112473.67858447033</v>
      </c>
      <c r="R338" s="179">
        <f t="shared" si="138"/>
        <v>118297.62853436054</v>
      </c>
      <c r="S338" s="179">
        <f t="shared" si="138"/>
        <v>124423.14586824407</v>
      </c>
      <c r="T338" s="179">
        <f t="shared" si="138"/>
        <v>130865.84591384034</v>
      </c>
      <c r="U338" s="179">
        <f t="shared" si="138"/>
        <v>137642.15256926688</v>
      </c>
      <c r="V338" s="179">
        <f t="shared" si="138"/>
        <v>144769.34017126678</v>
      </c>
      <c r="W338" s="186">
        <v>5.4214695445088772</v>
      </c>
      <c r="X338" s="187">
        <f t="shared" ref="X338:X339" si="139">W338*$B$19/$X$259</f>
        <v>11.397360172888472</v>
      </c>
      <c r="Y338" s="184">
        <f t="shared" ref="Y338:Y339" si="140">X338*1000000-V338</f>
        <v>11252590.832717206</v>
      </c>
    </row>
    <row r="339" spans="1:25" s="914" customFormat="1">
      <c r="A339" s="67" t="s">
        <v>180</v>
      </c>
      <c r="B339" s="179">
        <f t="shared" si="137"/>
        <v>0</v>
      </c>
      <c r="C339" s="179">
        <f t="shared" ref="C339:V339" si="141">$B250*C$256</f>
        <v>0</v>
      </c>
      <c r="D339" s="179">
        <f t="shared" si="141"/>
        <v>0</v>
      </c>
      <c r="E339" s="179">
        <f t="shared" si="141"/>
        <v>0</v>
      </c>
      <c r="F339" s="179">
        <f t="shared" si="141"/>
        <v>0</v>
      </c>
      <c r="G339" s="179">
        <f t="shared" si="141"/>
        <v>0</v>
      </c>
      <c r="H339" s="179">
        <f t="shared" si="141"/>
        <v>0</v>
      </c>
      <c r="I339" s="179">
        <f t="shared" si="141"/>
        <v>0</v>
      </c>
      <c r="J339" s="179">
        <f t="shared" si="141"/>
        <v>0</v>
      </c>
      <c r="K339" s="179">
        <f t="shared" si="141"/>
        <v>0</v>
      </c>
      <c r="L339" s="179">
        <f t="shared" si="141"/>
        <v>0</v>
      </c>
      <c r="M339" s="179">
        <f t="shared" si="141"/>
        <v>0</v>
      </c>
      <c r="N339" s="179">
        <f t="shared" si="141"/>
        <v>0</v>
      </c>
      <c r="O339" s="179">
        <f t="shared" si="141"/>
        <v>0</v>
      </c>
      <c r="P339" s="179">
        <f t="shared" si="141"/>
        <v>0</v>
      </c>
      <c r="Q339" s="179">
        <f t="shared" si="141"/>
        <v>0</v>
      </c>
      <c r="R339" s="179">
        <f t="shared" si="141"/>
        <v>0</v>
      </c>
      <c r="S339" s="179">
        <f t="shared" si="141"/>
        <v>0</v>
      </c>
      <c r="T339" s="179">
        <f t="shared" si="141"/>
        <v>0</v>
      </c>
      <c r="U339" s="179">
        <f t="shared" si="141"/>
        <v>0</v>
      </c>
      <c r="V339" s="179">
        <f t="shared" si="141"/>
        <v>0</v>
      </c>
      <c r="W339" s="186">
        <v>0.38759581440448809</v>
      </c>
      <c r="X339" s="187">
        <f t="shared" si="139"/>
        <v>0.81482872162332987</v>
      </c>
      <c r="Y339" s="184">
        <f t="shared" si="140"/>
        <v>814828.72162332991</v>
      </c>
    </row>
    <row r="340" spans="1:25" s="914" customFormat="1">
      <c r="A340" s="67"/>
      <c r="B340" s="179"/>
      <c r="C340" s="179"/>
      <c r="D340" s="179"/>
      <c r="E340" s="179"/>
      <c r="F340" s="179"/>
      <c r="G340" s="179"/>
      <c r="H340" s="179"/>
      <c r="I340" s="179"/>
      <c r="J340" s="179"/>
      <c r="K340" s="179"/>
      <c r="L340" s="179"/>
      <c r="M340" s="179"/>
      <c r="N340" s="179"/>
      <c r="O340" s="179"/>
      <c r="P340" s="179"/>
      <c r="Q340" s="179"/>
      <c r="R340" s="179"/>
      <c r="S340" s="179"/>
      <c r="T340" s="179"/>
      <c r="U340" s="179"/>
      <c r="V340" s="179"/>
    </row>
    <row r="341" spans="1:25" s="914" customFormat="1" ht="15.75" thickBot="1">
      <c r="A341" s="180" t="s">
        <v>387</v>
      </c>
      <c r="B341" s="181">
        <v>0</v>
      </c>
      <c r="C341" s="182">
        <v>0</v>
      </c>
      <c r="D341" s="182">
        <v>0.05</v>
      </c>
      <c r="E341" s="182">
        <v>0.25</v>
      </c>
      <c r="F341" s="182">
        <v>0.6</v>
      </c>
      <c r="G341" s="182">
        <v>0.95</v>
      </c>
      <c r="H341" s="182">
        <v>1</v>
      </c>
      <c r="I341" s="176">
        <f>H341</f>
        <v>1</v>
      </c>
      <c r="J341" s="176">
        <f t="shared" ref="J341" si="142">I341</f>
        <v>1</v>
      </c>
      <c r="K341" s="176">
        <f t="shared" ref="K341" si="143">J341</f>
        <v>1</v>
      </c>
      <c r="L341" s="176">
        <f t="shared" ref="L341" si="144">K341</f>
        <v>1</v>
      </c>
      <c r="M341" s="176">
        <f t="shared" ref="M341" si="145">L341</f>
        <v>1</v>
      </c>
      <c r="N341" s="176">
        <f t="shared" ref="N341" si="146">M341</f>
        <v>1</v>
      </c>
      <c r="O341" s="176">
        <f t="shared" ref="O341" si="147">N341</f>
        <v>1</v>
      </c>
      <c r="P341" s="176">
        <f t="shared" ref="P341" si="148">O341</f>
        <v>1</v>
      </c>
      <c r="Q341" s="176">
        <f t="shared" ref="Q341" si="149">P341</f>
        <v>1</v>
      </c>
      <c r="R341" s="176">
        <f t="shared" ref="R341" si="150">Q341</f>
        <v>1</v>
      </c>
      <c r="S341" s="176">
        <f t="shared" ref="S341" si="151">R341</f>
        <v>1</v>
      </c>
      <c r="T341" s="176">
        <f t="shared" ref="T341" si="152">S341</f>
        <v>1</v>
      </c>
      <c r="U341" s="176">
        <f t="shared" ref="U341" si="153">T341</f>
        <v>1</v>
      </c>
      <c r="V341" s="176">
        <f t="shared" ref="V341" si="154">U341</f>
        <v>1</v>
      </c>
    </row>
    <row r="342" spans="1:25" s="914" customFormat="1">
      <c r="B342" s="179"/>
      <c r="C342" s="179"/>
      <c r="D342" s="179"/>
      <c r="E342" s="179"/>
      <c r="F342" s="179"/>
      <c r="G342" s="179"/>
      <c r="H342" s="179"/>
      <c r="I342" s="179"/>
      <c r="J342" s="179"/>
      <c r="K342" s="179"/>
      <c r="L342" s="179"/>
      <c r="M342" s="179"/>
      <c r="N342" s="179"/>
      <c r="O342" s="179"/>
      <c r="P342" s="179"/>
      <c r="Q342" s="179"/>
      <c r="R342" s="179"/>
      <c r="S342" s="179"/>
      <c r="T342" s="179"/>
      <c r="U342" s="179"/>
      <c r="V342" s="179"/>
    </row>
    <row r="343" spans="1:25" s="914" customFormat="1">
      <c r="A343" s="67" t="s">
        <v>384</v>
      </c>
      <c r="B343" s="179">
        <f>SUM(B327:B329,B332:B334,B337:B339)*B341</f>
        <v>0</v>
      </c>
      <c r="C343" s="179">
        <f t="shared" ref="C343:V343" si="155">SUM(C327:C329,C332:C334,C337:C339)*C341</f>
        <v>0</v>
      </c>
      <c r="D343" s="179">
        <f t="shared" si="155"/>
        <v>66606.156985598762</v>
      </c>
      <c r="E343" s="179">
        <f t="shared" si="155"/>
        <v>344366.64188484364</v>
      </c>
      <c r="F343" s="179">
        <f t="shared" si="155"/>
        <v>854707.60642779083</v>
      </c>
      <c r="G343" s="179">
        <f t="shared" si="155"/>
        <v>1399665.4193692594</v>
      </c>
      <c r="H343" s="179">
        <f t="shared" si="155"/>
        <v>1523998.3200201765</v>
      </c>
      <c r="I343" s="179">
        <f t="shared" si="155"/>
        <v>1576588.623160871</v>
      </c>
      <c r="J343" s="179">
        <f t="shared" si="155"/>
        <v>1631183.4587334387</v>
      </c>
      <c r="K343" s="179">
        <f t="shared" si="155"/>
        <v>1687867.0041435841</v>
      </c>
      <c r="L343" s="179">
        <f t="shared" si="155"/>
        <v>1746727.2599676994</v>
      </c>
      <c r="M343" s="179">
        <f t="shared" si="155"/>
        <v>1807856.2332973813</v>
      </c>
      <c r="N343" s="179">
        <f t="shared" si="155"/>
        <v>1871350.1301784625</v>
      </c>
      <c r="O343" s="179">
        <f t="shared" si="155"/>
        <v>1937309.5576045855</v>
      </c>
      <c r="P343" s="179">
        <f t="shared" si="155"/>
        <v>2005839.7355488532</v>
      </c>
      <c r="Q343" s="179">
        <f t="shared" si="155"/>
        <v>2077050.7195418512</v>
      </c>
      <c r="R343" s="179">
        <f t="shared" si="155"/>
        <v>2151057.6343303029</v>
      </c>
      <c r="S343" s="179">
        <f t="shared" si="155"/>
        <v>2227980.9191780034</v>
      </c>
      <c r="T343" s="179">
        <f t="shared" si="155"/>
        <v>2307946.5853993874</v>
      </c>
      <c r="U343" s="179">
        <f t="shared" si="155"/>
        <v>2391086.4867463526</v>
      </c>
      <c r="V343" s="179">
        <f t="shared" si="155"/>
        <v>2477538.6033007191</v>
      </c>
    </row>
    <row r="344" spans="1:25" s="914" customFormat="1">
      <c r="A344" s="67" t="s">
        <v>385</v>
      </c>
      <c r="B344" s="178">
        <f>NPV(0.1,C343:V343)</f>
        <v>10485923.321194494</v>
      </c>
    </row>
    <row r="346" spans="1:25">
      <c r="A346" t="s">
        <v>1352</v>
      </c>
    </row>
    <row r="347" spans="1:25" s="914" customFormat="1">
      <c r="B347" s="914" t="s">
        <v>381</v>
      </c>
    </row>
    <row r="348" spans="1:25" s="914" customFormat="1">
      <c r="A348" s="914" t="s">
        <v>380</v>
      </c>
      <c r="B348" s="914">
        <v>0</v>
      </c>
      <c r="C348" s="914">
        <v>1</v>
      </c>
      <c r="D348" s="914">
        <v>2</v>
      </c>
      <c r="E348" s="914">
        <v>3</v>
      </c>
      <c r="F348" s="914">
        <v>4</v>
      </c>
      <c r="G348" s="914">
        <v>5</v>
      </c>
      <c r="H348" s="914">
        <v>6</v>
      </c>
      <c r="I348" s="914">
        <v>7</v>
      </c>
      <c r="J348" s="914">
        <v>8</v>
      </c>
      <c r="K348" s="914">
        <v>9</v>
      </c>
      <c r="L348" s="914">
        <v>10</v>
      </c>
      <c r="M348" s="914">
        <v>11</v>
      </c>
      <c r="N348" s="914">
        <v>12</v>
      </c>
      <c r="O348" s="914">
        <v>13</v>
      </c>
      <c r="P348" s="914">
        <v>14</v>
      </c>
      <c r="Q348" s="914">
        <v>15</v>
      </c>
      <c r="R348" s="914">
        <v>16</v>
      </c>
      <c r="S348" s="914">
        <v>17</v>
      </c>
      <c r="T348" s="914">
        <v>18</v>
      </c>
      <c r="U348" s="914">
        <v>19</v>
      </c>
      <c r="V348" s="914">
        <v>20</v>
      </c>
    </row>
    <row r="349" spans="1:25" s="914" customFormat="1">
      <c r="A349" s="145" t="s">
        <v>382</v>
      </c>
      <c r="X349" s="914">
        <v>1164.8023993836923</v>
      </c>
    </row>
    <row r="350" spans="1:25" s="914" customFormat="1">
      <c r="A350" s="67" t="s">
        <v>70</v>
      </c>
      <c r="B350" s="179">
        <f>$C238*B$256</f>
        <v>11271.876549838544</v>
      </c>
      <c r="C350" s="179">
        <f t="shared" ref="C350:V352" si="156">$C238*C$256</f>
        <v>11579.598779649137</v>
      </c>
      <c r="D350" s="179">
        <f t="shared" si="156"/>
        <v>11895.72182633356</v>
      </c>
      <c r="E350" s="179">
        <f t="shared" si="156"/>
        <v>12220.475032192466</v>
      </c>
      <c r="F350" s="179">
        <f t="shared" si="156"/>
        <v>12554.094000571322</v>
      </c>
      <c r="G350" s="179">
        <f t="shared" si="156"/>
        <v>12896.820766786921</v>
      </c>
      <c r="H350" s="179">
        <f t="shared" si="156"/>
        <v>13248.903973720204</v>
      </c>
      <c r="I350" s="179">
        <f t="shared" si="156"/>
        <v>13610.599052202768</v>
      </c>
      <c r="J350" s="179">
        <f t="shared" si="156"/>
        <v>13982.168406327904</v>
      </c>
      <c r="K350" s="179">
        <f t="shared" si="156"/>
        <v>14363.881603820657</v>
      </c>
      <c r="L350" s="179">
        <f t="shared" si="156"/>
        <v>14756.015571604963</v>
      </c>
      <c r="M350" s="179">
        <f t="shared" si="156"/>
        <v>15158.85479670978</v>
      </c>
      <c r="N350" s="179">
        <f t="shared" si="156"/>
        <v>15572.691532659957</v>
      </c>
      <c r="O350" s="179">
        <f t="shared" si="156"/>
        <v>15997.826011501576</v>
      </c>
      <c r="P350" s="179">
        <f t="shared" si="156"/>
        <v>16434.566661615572</v>
      </c>
      <c r="Q350" s="179">
        <f t="shared" si="156"/>
        <v>16883.230331477676</v>
      </c>
      <c r="R350" s="179">
        <f t="shared" si="156"/>
        <v>17344.142519527017</v>
      </c>
      <c r="S350" s="179">
        <f t="shared" si="156"/>
        <v>17817.637610310107</v>
      </c>
      <c r="T350" s="179">
        <f t="shared" si="156"/>
        <v>18304.059117071578</v>
      </c>
      <c r="U350" s="179">
        <f t="shared" si="156"/>
        <v>18803.759930967633</v>
      </c>
      <c r="V350" s="179">
        <f t="shared" si="156"/>
        <v>19317.102577083049</v>
      </c>
      <c r="W350" s="186">
        <v>0.38865403415502409</v>
      </c>
      <c r="X350" s="187">
        <f>W350*$B$19/$X$259</f>
        <v>0.81705337889381824</v>
      </c>
      <c r="Y350" s="184">
        <f>X350*1000000-V350</f>
        <v>797736.27631673519</v>
      </c>
    </row>
    <row r="351" spans="1:25" s="914" customFormat="1">
      <c r="A351" s="67" t="s">
        <v>16</v>
      </c>
      <c r="B351" s="179">
        <f t="shared" ref="B351:Q352" si="157">$C239*B$256</f>
        <v>286595.48147139081</v>
      </c>
      <c r="C351" s="179">
        <f t="shared" si="157"/>
        <v>294419.53811555979</v>
      </c>
      <c r="D351" s="179">
        <f t="shared" si="157"/>
        <v>302457.19150611461</v>
      </c>
      <c r="E351" s="179">
        <f t="shared" si="157"/>
        <v>310714.27283423155</v>
      </c>
      <c r="F351" s="179">
        <f t="shared" si="157"/>
        <v>319196.77248260612</v>
      </c>
      <c r="G351" s="179">
        <f t="shared" si="157"/>
        <v>327910.84437138127</v>
      </c>
      <c r="H351" s="179">
        <f t="shared" si="157"/>
        <v>336862.81042272004</v>
      </c>
      <c r="I351" s="179">
        <f t="shared" si="157"/>
        <v>346059.1651472603</v>
      </c>
      <c r="J351" s="179">
        <f t="shared" si="157"/>
        <v>355506.58035578055</v>
      </c>
      <c r="K351" s="179">
        <f t="shared" si="157"/>
        <v>365211.90999949339</v>
      </c>
      <c r="L351" s="179">
        <f t="shared" si="157"/>
        <v>375182.19514247961</v>
      </c>
      <c r="M351" s="179">
        <f t="shared" si="157"/>
        <v>385424.66906986933</v>
      </c>
      <c r="N351" s="179">
        <f t="shared" si="157"/>
        <v>395946.76253547682</v>
      </c>
      <c r="O351" s="179">
        <f t="shared" si="157"/>
        <v>406756.10915269534</v>
      </c>
      <c r="P351" s="179">
        <f t="shared" si="157"/>
        <v>417860.55093256396</v>
      </c>
      <c r="Q351" s="179">
        <f t="shared" si="157"/>
        <v>429268.14397302299</v>
      </c>
      <c r="R351" s="179">
        <f t="shared" si="156"/>
        <v>440987.16430348653</v>
      </c>
      <c r="S351" s="179">
        <f t="shared" si="156"/>
        <v>453026.1138889718</v>
      </c>
      <c r="T351" s="179">
        <f t="shared" si="156"/>
        <v>465393.72679814079</v>
      </c>
      <c r="U351" s="179">
        <f t="shared" si="156"/>
        <v>478098.97553973005</v>
      </c>
      <c r="V351" s="179">
        <f t="shared" si="156"/>
        <v>491151.07757196471</v>
      </c>
      <c r="W351" s="186">
        <v>0.27490138507030604</v>
      </c>
      <c r="X351" s="187">
        <f t="shared" ref="X351:X352" si="158">W351*$B$19/$X$259</f>
        <v>0.57791528144718396</v>
      </c>
      <c r="Y351" s="184">
        <f t="shared" ref="Y351:Y352" si="159">X351*1000000-V351</f>
        <v>86764.203875219217</v>
      </c>
    </row>
    <row r="352" spans="1:25" s="914" customFormat="1">
      <c r="A352" s="67" t="s">
        <v>23</v>
      </c>
      <c r="B352" s="179">
        <f t="shared" si="157"/>
        <v>305838.50576783781</v>
      </c>
      <c r="C352" s="179">
        <f t="shared" si="156"/>
        <v>314187.89697529981</v>
      </c>
      <c r="D352" s="179">
        <f t="shared" si="156"/>
        <v>322765.22656272555</v>
      </c>
      <c r="E352" s="179">
        <f t="shared" si="156"/>
        <v>331576.71724788798</v>
      </c>
      <c r="F352" s="179">
        <f t="shared" si="156"/>
        <v>340628.76162875537</v>
      </c>
      <c r="G352" s="179">
        <f t="shared" si="156"/>
        <v>349927.92682122043</v>
      </c>
      <c r="H352" s="179">
        <f t="shared" si="156"/>
        <v>359480.95922343974</v>
      </c>
      <c r="I352" s="179">
        <f t="shared" si="156"/>
        <v>369294.78941023967</v>
      </c>
      <c r="J352" s="179">
        <f t="shared" si="156"/>
        <v>379376.53716113925</v>
      </c>
      <c r="K352" s="179">
        <f t="shared" si="156"/>
        <v>389733.51662563841</v>
      </c>
      <c r="L352" s="179">
        <f t="shared" si="156"/>
        <v>400373.24162951839</v>
      </c>
      <c r="M352" s="179">
        <f t="shared" si="156"/>
        <v>411303.43112600426</v>
      </c>
      <c r="N352" s="179">
        <f t="shared" si="156"/>
        <v>422532.01479574421</v>
      </c>
      <c r="O352" s="179">
        <f t="shared" si="156"/>
        <v>434067.13879966812</v>
      </c>
      <c r="P352" s="179">
        <f t="shared" si="156"/>
        <v>445917.17168889905</v>
      </c>
      <c r="Q352" s="179">
        <f t="shared" si="156"/>
        <v>458090.71047600603</v>
      </c>
      <c r="R352" s="179">
        <f t="shared" si="156"/>
        <v>470596.586872001</v>
      </c>
      <c r="S352" s="179">
        <f t="shared" si="156"/>
        <v>483443.8736936067</v>
      </c>
      <c r="T352" s="179">
        <f t="shared" si="156"/>
        <v>496641.89144544222</v>
      </c>
      <c r="U352" s="179">
        <f t="shared" si="156"/>
        <v>510200.21508190286</v>
      </c>
      <c r="V352" s="179">
        <f>$C240*V$256</f>
        <v>524128.6809536388</v>
      </c>
      <c r="W352" s="186">
        <v>0.38739735967761679</v>
      </c>
      <c r="X352" s="187">
        <f t="shared" si="158"/>
        <v>0.81441151739824014</v>
      </c>
      <c r="Y352" s="184">
        <f t="shared" si="159"/>
        <v>290282.83644460136</v>
      </c>
    </row>
    <row r="353" spans="1:25" s="914" customFormat="1">
      <c r="B353" s="179"/>
      <c r="C353" s="179"/>
      <c r="D353" s="179"/>
      <c r="E353" s="179"/>
      <c r="F353" s="179"/>
      <c r="G353" s="179"/>
      <c r="H353" s="179"/>
      <c r="I353" s="179"/>
      <c r="J353" s="179"/>
      <c r="K353" s="179"/>
      <c r="L353" s="179"/>
      <c r="M353" s="179"/>
      <c r="N353" s="179"/>
      <c r="O353" s="179"/>
      <c r="P353" s="179"/>
      <c r="Q353" s="179"/>
      <c r="R353" s="179"/>
      <c r="S353" s="179"/>
      <c r="T353" s="179"/>
      <c r="U353" s="179"/>
      <c r="V353" s="179"/>
    </row>
    <row r="354" spans="1:25" s="914" customFormat="1">
      <c r="A354" s="145" t="s">
        <v>376</v>
      </c>
      <c r="B354" s="179"/>
      <c r="C354" s="179"/>
      <c r="D354" s="179"/>
      <c r="E354" s="179"/>
      <c r="F354" s="179"/>
      <c r="G354" s="179"/>
      <c r="H354" s="179"/>
      <c r="I354" s="179"/>
      <c r="J354" s="179"/>
      <c r="K354" s="179"/>
      <c r="L354" s="179"/>
      <c r="M354" s="179"/>
      <c r="N354" s="179"/>
      <c r="O354" s="179"/>
      <c r="P354" s="179"/>
      <c r="Q354" s="179"/>
      <c r="R354" s="179"/>
      <c r="S354" s="179"/>
      <c r="T354" s="179"/>
      <c r="U354" s="179"/>
      <c r="V354" s="179"/>
    </row>
    <row r="355" spans="1:25" s="914" customFormat="1">
      <c r="A355" s="67" t="s">
        <v>70</v>
      </c>
      <c r="B355" s="179">
        <f>$C243*B$256</f>
        <v>11271.876549838544</v>
      </c>
      <c r="C355" s="179">
        <f t="shared" ref="C355:V357" si="160">$C243*C$256</f>
        <v>11579.598779649137</v>
      </c>
      <c r="D355" s="179">
        <f t="shared" si="160"/>
        <v>11895.72182633356</v>
      </c>
      <c r="E355" s="179">
        <f t="shared" si="160"/>
        <v>12220.475032192466</v>
      </c>
      <c r="F355" s="179">
        <f t="shared" si="160"/>
        <v>12554.094000571322</v>
      </c>
      <c r="G355" s="179">
        <f t="shared" si="160"/>
        <v>12896.820766786921</v>
      </c>
      <c r="H355" s="179">
        <f t="shared" si="160"/>
        <v>13248.903973720204</v>
      </c>
      <c r="I355" s="179">
        <f t="shared" si="160"/>
        <v>13610.599052202768</v>
      </c>
      <c r="J355" s="179">
        <f t="shared" si="160"/>
        <v>13982.168406327904</v>
      </c>
      <c r="K355" s="179">
        <f t="shared" si="160"/>
        <v>14363.881603820657</v>
      </c>
      <c r="L355" s="179">
        <f t="shared" si="160"/>
        <v>14756.015571604963</v>
      </c>
      <c r="M355" s="179">
        <f t="shared" si="160"/>
        <v>15158.85479670978</v>
      </c>
      <c r="N355" s="179">
        <f t="shared" si="160"/>
        <v>15572.691532659957</v>
      </c>
      <c r="O355" s="179">
        <f t="shared" si="160"/>
        <v>15997.826011501576</v>
      </c>
      <c r="P355" s="179">
        <f t="shared" si="160"/>
        <v>16434.566661615572</v>
      </c>
      <c r="Q355" s="179">
        <f t="shared" si="160"/>
        <v>16883.230331477676</v>
      </c>
      <c r="R355" s="179">
        <f t="shared" si="160"/>
        <v>17344.142519527017</v>
      </c>
      <c r="S355" s="179">
        <f t="shared" si="160"/>
        <v>17817.637610310107</v>
      </c>
      <c r="T355" s="179">
        <f t="shared" si="160"/>
        <v>18304.059117071578</v>
      </c>
      <c r="U355" s="179">
        <f t="shared" si="160"/>
        <v>18803.759930967633</v>
      </c>
      <c r="V355" s="179">
        <f t="shared" si="160"/>
        <v>19317.102577083049</v>
      </c>
      <c r="W355" s="186">
        <v>0.16269558610838433</v>
      </c>
      <c r="X355" s="187">
        <f>W355*$B$19/$X$259</f>
        <v>0.34202907130495097</v>
      </c>
      <c r="Y355" s="184">
        <f>X355*1000000-V355</f>
        <v>322711.96872786793</v>
      </c>
    </row>
    <row r="356" spans="1:25" s="914" customFormat="1">
      <c r="A356" s="67" t="s">
        <v>16</v>
      </c>
      <c r="B356" s="179">
        <f t="shared" ref="B356:Q357" si="161">$C244*B$256</f>
        <v>142670.07258167202</v>
      </c>
      <c r="C356" s="179">
        <f t="shared" si="161"/>
        <v>146564.96556315169</v>
      </c>
      <c r="D356" s="179">
        <f t="shared" si="161"/>
        <v>150566.18912302575</v>
      </c>
      <c r="E356" s="179">
        <f t="shared" si="161"/>
        <v>154676.64608608437</v>
      </c>
      <c r="F356" s="179">
        <f t="shared" si="161"/>
        <v>158899.31852423449</v>
      </c>
      <c r="G356" s="179">
        <f t="shared" si="161"/>
        <v>163237.26991994609</v>
      </c>
      <c r="H356" s="179">
        <f t="shared" si="161"/>
        <v>167693.64738876064</v>
      </c>
      <c r="I356" s="179">
        <f t="shared" si="161"/>
        <v>172271.68396247382</v>
      </c>
      <c r="J356" s="179">
        <f t="shared" si="161"/>
        <v>176974.70093464936</v>
      </c>
      <c r="K356" s="179">
        <f t="shared" si="161"/>
        <v>181806.11027016531</v>
      </c>
      <c r="L356" s="179">
        <f t="shared" si="161"/>
        <v>186769.41708054085</v>
      </c>
      <c r="M356" s="179">
        <f t="shared" si="161"/>
        <v>191868.22216683964</v>
      </c>
      <c r="N356" s="179">
        <f t="shared" si="161"/>
        <v>197106.22463199438</v>
      </c>
      <c r="O356" s="179">
        <f t="shared" si="161"/>
        <v>202487.22456444785</v>
      </c>
      <c r="P356" s="179">
        <f t="shared" si="161"/>
        <v>208015.12579505728</v>
      </c>
      <c r="Q356" s="179">
        <f t="shared" si="161"/>
        <v>213693.93872926236</v>
      </c>
      <c r="R356" s="179">
        <f t="shared" si="160"/>
        <v>219527.78325657125</v>
      </c>
      <c r="S356" s="179">
        <f t="shared" si="160"/>
        <v>225520.89173947566</v>
      </c>
      <c r="T356" s="179">
        <f t="shared" si="160"/>
        <v>231677.61208396338</v>
      </c>
      <c r="U356" s="179">
        <f t="shared" si="160"/>
        <v>238002.41089385559</v>
      </c>
      <c r="V356" s="179">
        <f t="shared" si="160"/>
        <v>244499.87671125785</v>
      </c>
      <c r="W356" s="186">
        <v>0.13684863543355574</v>
      </c>
      <c r="X356" s="187">
        <f t="shared" ref="X356:X357" si="162">W356*$B$19/$X$259</f>
        <v>0.28769195776158041</v>
      </c>
      <c r="Y356" s="184">
        <f t="shared" ref="Y356:Y357" si="163">X356*1000000-V356</f>
        <v>43192.081050322566</v>
      </c>
    </row>
    <row r="357" spans="1:25" s="914" customFormat="1">
      <c r="A357" s="67" t="s">
        <v>23</v>
      </c>
      <c r="B357" s="179">
        <f t="shared" si="161"/>
        <v>152249.44089191221</v>
      </c>
      <c r="C357" s="179">
        <f t="shared" si="160"/>
        <v>156405.85062826143</v>
      </c>
      <c r="D357" s="179">
        <f t="shared" si="160"/>
        <v>160675.73035041298</v>
      </c>
      <c r="E357" s="179">
        <f t="shared" si="160"/>
        <v>165062.17778897926</v>
      </c>
      <c r="F357" s="179">
        <f t="shared" si="160"/>
        <v>169568.37524261841</v>
      </c>
      <c r="G357" s="179">
        <f t="shared" si="160"/>
        <v>174197.59188674192</v>
      </c>
      <c r="H357" s="179">
        <f t="shared" si="160"/>
        <v>178953.18614524999</v>
      </c>
      <c r="I357" s="179">
        <f t="shared" si="160"/>
        <v>183838.60812701532</v>
      </c>
      <c r="J357" s="179">
        <f t="shared" si="160"/>
        <v>188857.40212888285</v>
      </c>
      <c r="K357" s="179">
        <f t="shared" si="160"/>
        <v>194013.20920700138</v>
      </c>
      <c r="L357" s="179">
        <f t="shared" si="160"/>
        <v>199309.76981835256</v>
      </c>
      <c r="M357" s="179">
        <f t="shared" si="160"/>
        <v>204750.9265343936</v>
      </c>
      <c r="N357" s="179">
        <f t="shared" si="160"/>
        <v>210340.62682878255</v>
      </c>
      <c r="O357" s="179">
        <f t="shared" si="160"/>
        <v>216082.92594120832</v>
      </c>
      <c r="P357" s="179">
        <f t="shared" si="160"/>
        <v>221981.98981940333</v>
      </c>
      <c r="Q357" s="179">
        <f t="shared" si="160"/>
        <v>228042.09814147305</v>
      </c>
      <c r="R357" s="179">
        <f t="shared" si="160"/>
        <v>234267.64742073527</v>
      </c>
      <c r="S357" s="179">
        <f t="shared" si="160"/>
        <v>240663.15419532137</v>
      </c>
      <c r="T357" s="179">
        <f t="shared" si="160"/>
        <v>247233.25830485369</v>
      </c>
      <c r="U357" s="179">
        <f t="shared" si="160"/>
        <v>253982.72625657622</v>
      </c>
      <c r="V357" s="179">
        <f t="shared" si="160"/>
        <v>260916.45468338075</v>
      </c>
      <c r="W357" s="186">
        <v>0.19285024711274493</v>
      </c>
      <c r="X357" s="187">
        <f t="shared" si="162"/>
        <v>0.40542212913484349</v>
      </c>
      <c r="Y357" s="184">
        <f t="shared" si="163"/>
        <v>144505.67445146272</v>
      </c>
    </row>
    <row r="358" spans="1:25" s="914" customFormat="1">
      <c r="B358" s="179"/>
      <c r="C358" s="179"/>
      <c r="D358" s="179"/>
      <c r="E358" s="179"/>
      <c r="F358" s="179"/>
      <c r="G358" s="179"/>
      <c r="H358" s="179"/>
      <c r="I358" s="179"/>
      <c r="J358" s="179"/>
      <c r="K358" s="179"/>
      <c r="L358" s="179"/>
      <c r="M358" s="179"/>
      <c r="N358" s="179"/>
      <c r="O358" s="179"/>
      <c r="P358" s="179"/>
      <c r="Q358" s="179"/>
      <c r="R358" s="179"/>
      <c r="S358" s="179"/>
      <c r="T358" s="179"/>
      <c r="U358" s="179"/>
      <c r="V358" s="179"/>
    </row>
    <row r="359" spans="1:25" s="914" customFormat="1">
      <c r="A359" s="145" t="s">
        <v>377</v>
      </c>
      <c r="B359" s="179"/>
      <c r="C359" s="179"/>
      <c r="D359" s="179"/>
      <c r="E359" s="179"/>
      <c r="F359" s="179"/>
      <c r="G359" s="179"/>
      <c r="H359" s="179"/>
      <c r="I359" s="179"/>
      <c r="J359" s="179"/>
      <c r="K359" s="179"/>
      <c r="L359" s="179"/>
      <c r="M359" s="179"/>
      <c r="N359" s="179"/>
      <c r="O359" s="179"/>
      <c r="P359" s="179"/>
      <c r="Q359" s="179"/>
      <c r="R359" s="179"/>
      <c r="S359" s="179"/>
      <c r="T359" s="179"/>
      <c r="U359" s="179"/>
      <c r="V359" s="179"/>
    </row>
    <row r="360" spans="1:25" s="914" customFormat="1">
      <c r="A360" s="67" t="s">
        <v>70</v>
      </c>
      <c r="B360" s="179">
        <f>$C248*B$256</f>
        <v>14365.206832645174</v>
      </c>
      <c r="C360" s="179">
        <f>$C248*C$256*(1.02383)^C348</f>
        <v>15109.045272590161</v>
      </c>
      <c r="D360" s="179">
        <f t="shared" ref="D360:V360" si="164">$C248*D$256*(1.02383)^D348</f>
        <v>15891.400082761187</v>
      </c>
      <c r="E360" s="179">
        <f t="shared" si="164"/>
        <v>16714.26566233921</v>
      </c>
      <c r="F360" s="179">
        <f t="shared" si="164"/>
        <v>17579.739681609641</v>
      </c>
      <c r="G360" s="179">
        <f t="shared" si="164"/>
        <v>18490.028429397873</v>
      </c>
      <c r="H360" s="179">
        <f t="shared" si="164"/>
        <v>19447.452437397984</v>
      </c>
      <c r="I360" s="179">
        <f t="shared" si="164"/>
        <v>20454.452395732369</v>
      </c>
      <c r="J360" s="179">
        <f t="shared" si="164"/>
        <v>21513.595374822278</v>
      </c>
      <c r="K360" s="179">
        <f t="shared" si="164"/>
        <v>22627.581369430394</v>
      </c>
      <c r="L360" s="179">
        <f t="shared" si="164"/>
        <v>23799.250181557483</v>
      </c>
      <c r="M360" s="179">
        <f t="shared" si="164"/>
        <v>25031.588659739387</v>
      </c>
      <c r="N360" s="179">
        <f t="shared" si="164"/>
        <v>26327.738313198752</v>
      </c>
      <c r="O360" s="179">
        <f t="shared" si="164"/>
        <v>27691.003320261905</v>
      </c>
      <c r="P360" s="179">
        <f t="shared" si="164"/>
        <v>29124.858951455921</v>
      </c>
      <c r="Q360" s="179">
        <f t="shared" si="164"/>
        <v>30632.96042875847</v>
      </c>
      <c r="R360" s="179">
        <f t="shared" si="164"/>
        <v>32219.152243584456</v>
      </c>
      <c r="S360" s="179">
        <f t="shared" si="164"/>
        <v>33887.477957263371</v>
      </c>
      <c r="T360" s="179">
        <f t="shared" si="164"/>
        <v>35642.190508990658</v>
      </c>
      <c r="U360" s="179">
        <f t="shared" si="164"/>
        <v>37487.76305753069</v>
      </c>
      <c r="V360" s="179">
        <f t="shared" si="164"/>
        <v>39428.900384309178</v>
      </c>
      <c r="W360" s="186">
        <v>0.30917323394617646</v>
      </c>
      <c r="X360" s="187">
        <f>W360*$B$19/$X$259</f>
        <v>0.64996375506163495</v>
      </c>
      <c r="Y360" s="184">
        <f>X360*1000000-V360</f>
        <v>610534.85467732581</v>
      </c>
    </row>
    <row r="361" spans="1:25" s="914" customFormat="1">
      <c r="A361" s="67" t="s">
        <v>18</v>
      </c>
      <c r="B361" s="179">
        <f>$C249*B$256</f>
        <v>135099.23679088513</v>
      </c>
      <c r="C361" s="179">
        <f>$C249*C$256*(1.02383)^C348</f>
        <v>142094.75079239055</v>
      </c>
      <c r="D361" s="179">
        <f t="shared" ref="D361:V361" si="165">$C249*D$256*(1.02383)^D348</f>
        <v>149452.49641938624</v>
      </c>
      <c r="E361" s="179">
        <f t="shared" si="165"/>
        <v>157191.23022792756</v>
      </c>
      <c r="F361" s="179">
        <f t="shared" si="165"/>
        <v>165330.67999902734</v>
      </c>
      <c r="G361" s="179">
        <f t="shared" si="165"/>
        <v>173891.59502922714</v>
      </c>
      <c r="H361" s="179">
        <f t="shared" si="165"/>
        <v>182895.79902524216</v>
      </c>
      <c r="I361" s="179">
        <f t="shared" si="165"/>
        <v>192366.24573752086</v>
      </c>
      <c r="J361" s="179">
        <f t="shared" si="165"/>
        <v>202327.07747454106</v>
      </c>
      <c r="K361" s="179">
        <f t="shared" si="165"/>
        <v>212803.68664700913</v>
      </c>
      <c r="L361" s="179">
        <f t="shared" si="165"/>
        <v>223822.78049885211</v>
      </c>
      <c r="M361" s="179">
        <f t="shared" si="165"/>
        <v>235412.44919001701</v>
      </c>
      <c r="N361" s="179">
        <f t="shared" si="165"/>
        <v>247602.23740463515</v>
      </c>
      <c r="O361" s="179">
        <f t="shared" si="165"/>
        <v>260423.21966709793</v>
      </c>
      <c r="P361" s="179">
        <f t="shared" si="165"/>
        <v>273908.07955804002</v>
      </c>
      <c r="Q361" s="179">
        <f t="shared" si="165"/>
        <v>288091.19303217187</v>
      </c>
      <c r="R361" s="179">
        <f t="shared" si="165"/>
        <v>303008.71605035459</v>
      </c>
      <c r="S361" s="179">
        <f t="shared" si="165"/>
        <v>318698.67674931424</v>
      </c>
      <c r="T361" s="179">
        <f t="shared" si="165"/>
        <v>335201.07238395413</v>
      </c>
      <c r="U361" s="179">
        <f t="shared" si="165"/>
        <v>352557.97128939477</v>
      </c>
      <c r="V361" s="179">
        <f t="shared" si="165"/>
        <v>370813.6201226656</v>
      </c>
      <c r="W361" s="186">
        <v>5.4214695445088772</v>
      </c>
      <c r="X361" s="187">
        <f t="shared" ref="X361:X362" si="166">W361*$B$19/$X$259</f>
        <v>11.397360172888472</v>
      </c>
      <c r="Y361" s="184">
        <f t="shared" ref="Y361:Y362" si="167">X361*1000000-V361</f>
        <v>11026546.552765807</v>
      </c>
    </row>
    <row r="362" spans="1:25" s="914" customFormat="1">
      <c r="A362" s="67" t="s">
        <v>180</v>
      </c>
      <c r="B362" s="179">
        <f>$C250*B$256</f>
        <v>326929.69141121994</v>
      </c>
      <c r="C362" s="179">
        <f>$C250*C$256*(1.02383)^C348</f>
        <v>343858.29358619044</v>
      </c>
      <c r="D362" s="179">
        <f t="shared" ref="D362:V362" si="168">$C250*D$256*(1.02383)^D348</f>
        <v>361663.46824486949</v>
      </c>
      <c r="E362" s="179">
        <f t="shared" si="168"/>
        <v>380390.60480046767</v>
      </c>
      <c r="F362" s="179">
        <f t="shared" si="168"/>
        <v>400087.44295538391</v>
      </c>
      <c r="G362" s="179">
        <f t="shared" si="168"/>
        <v>420804.19440049439</v>
      </c>
      <c r="H362" s="179">
        <f t="shared" si="168"/>
        <v>442593.67081609665</v>
      </c>
      <c r="I362" s="179">
        <f t="shared" si="168"/>
        <v>465511.41850081622</v>
      </c>
      <c r="J362" s="179">
        <f t="shared" si="168"/>
        <v>489615.85997167137</v>
      </c>
      <c r="K362" s="179">
        <f t="shared" si="168"/>
        <v>514968.44289627031</v>
      </c>
      <c r="L362" s="179">
        <f t="shared" si="168"/>
        <v>541633.79673679883</v>
      </c>
      <c r="M362" s="179">
        <f t="shared" si="168"/>
        <v>569679.8975051227</v>
      </c>
      <c r="N362" s="179">
        <f t="shared" si="168"/>
        <v>599178.24104900064</v>
      </c>
      <c r="O362" s="179">
        <f t="shared" si="168"/>
        <v>630204.02531115478</v>
      </c>
      <c r="P362" s="179">
        <f t="shared" si="168"/>
        <v>662836.34202581644</v>
      </c>
      <c r="Q362" s="179">
        <f t="shared" si="168"/>
        <v>697158.37834142847</v>
      </c>
      <c r="R362" s="179">
        <f t="shared" si="168"/>
        <v>733257.62888348114</v>
      </c>
      <c r="S362" s="179">
        <f t="shared" si="168"/>
        <v>771226.11879808246</v>
      </c>
      <c r="T362" s="179">
        <f t="shared" si="168"/>
        <v>811160.63834484771</v>
      </c>
      <c r="U362" s="179">
        <f t="shared" si="168"/>
        <v>853162.98963714077</v>
      </c>
      <c r="V362" s="179">
        <f t="shared" si="168"/>
        <v>897340.2461586633</v>
      </c>
      <c r="W362" s="186">
        <v>0.38759581440448809</v>
      </c>
      <c r="X362" s="187">
        <f t="shared" si="166"/>
        <v>0.81482872162332987</v>
      </c>
      <c r="Y362" s="184">
        <f t="shared" si="167"/>
        <v>-82511.524535333388</v>
      </c>
    </row>
    <row r="363" spans="1:25" s="914" customFormat="1">
      <c r="A363" s="67"/>
      <c r="B363" s="179"/>
      <c r="C363" s="179"/>
      <c r="D363" s="179"/>
      <c r="E363" s="179"/>
      <c r="F363" s="179"/>
      <c r="G363" s="179"/>
      <c r="H363" s="179"/>
      <c r="I363" s="179"/>
      <c r="J363" s="179"/>
      <c r="K363" s="179"/>
      <c r="L363" s="179"/>
      <c r="M363" s="179"/>
      <c r="N363" s="179"/>
      <c r="O363" s="179"/>
      <c r="P363" s="179"/>
      <c r="Q363" s="179"/>
      <c r="R363" s="179"/>
      <c r="S363" s="179"/>
      <c r="T363" s="179"/>
      <c r="U363" s="179"/>
      <c r="V363" s="179"/>
    </row>
    <row r="364" spans="1:25" s="914" customFormat="1" ht="15.75" thickBot="1">
      <c r="A364" s="180" t="s">
        <v>387</v>
      </c>
      <c r="B364" s="181">
        <v>0</v>
      </c>
      <c r="C364" s="182">
        <v>0</v>
      </c>
      <c r="D364" s="182">
        <v>0.05</v>
      </c>
      <c r="E364" s="182">
        <v>0.25</v>
      </c>
      <c r="F364" s="182">
        <v>0.6</v>
      </c>
      <c r="G364" s="182">
        <v>0.95</v>
      </c>
      <c r="H364" s="182">
        <v>1</v>
      </c>
      <c r="I364" s="176">
        <f>H364</f>
        <v>1</v>
      </c>
      <c r="J364" s="176">
        <f t="shared" ref="J364" si="169">I364</f>
        <v>1</v>
      </c>
      <c r="K364" s="176">
        <f t="shared" ref="K364" si="170">J364</f>
        <v>1</v>
      </c>
      <c r="L364" s="176">
        <f t="shared" ref="L364" si="171">K364</f>
        <v>1</v>
      </c>
      <c r="M364" s="176">
        <f t="shared" ref="M364" si="172">L364</f>
        <v>1</v>
      </c>
      <c r="N364" s="176">
        <f t="shared" ref="N364" si="173">M364</f>
        <v>1</v>
      </c>
      <c r="O364" s="176">
        <f t="shared" ref="O364" si="174">N364</f>
        <v>1</v>
      </c>
      <c r="P364" s="176">
        <f t="shared" ref="P364" si="175">O364</f>
        <v>1</v>
      </c>
      <c r="Q364" s="176">
        <f t="shared" ref="Q364" si="176">P364</f>
        <v>1</v>
      </c>
      <c r="R364" s="176">
        <f t="shared" ref="R364" si="177">Q364</f>
        <v>1</v>
      </c>
      <c r="S364" s="176">
        <f t="shared" ref="S364" si="178">R364</f>
        <v>1</v>
      </c>
      <c r="T364" s="176">
        <f t="shared" ref="T364" si="179">S364</f>
        <v>1</v>
      </c>
      <c r="U364" s="176">
        <f t="shared" ref="U364" si="180">T364</f>
        <v>1</v>
      </c>
      <c r="V364" s="176">
        <f t="shared" ref="V364" si="181">U364</f>
        <v>1</v>
      </c>
    </row>
    <row r="365" spans="1:25" s="914" customFormat="1">
      <c r="B365" s="179"/>
      <c r="C365" s="179"/>
      <c r="D365" s="179"/>
      <c r="E365" s="179"/>
      <c r="F365" s="179"/>
      <c r="G365" s="179"/>
      <c r="H365" s="179"/>
      <c r="I365" s="179"/>
      <c r="J365" s="179"/>
      <c r="K365" s="179"/>
      <c r="L365" s="179"/>
      <c r="M365" s="179"/>
      <c r="N365" s="179"/>
      <c r="O365" s="179"/>
      <c r="P365" s="179"/>
      <c r="Q365" s="179"/>
      <c r="R365" s="179"/>
      <c r="S365" s="179"/>
      <c r="T365" s="179"/>
      <c r="U365" s="179"/>
      <c r="V365" s="179"/>
    </row>
    <row r="366" spans="1:25" s="914" customFormat="1">
      <c r="A366" s="67" t="s">
        <v>384</v>
      </c>
      <c r="B366" s="179">
        <f>SUM(B350:B352,B355:B357,B360:B362)*B364</f>
        <v>0</v>
      </c>
      <c r="C366" s="179">
        <f t="shared" ref="C366:V366" si="182">SUM(C350:C352,C355:C357,C360:C362)*C364</f>
        <v>0</v>
      </c>
      <c r="D366" s="179">
        <f t="shared" si="182"/>
        <v>74363.157297098151</v>
      </c>
      <c r="E366" s="179">
        <f t="shared" si="182"/>
        <v>385191.71617807559</v>
      </c>
      <c r="F366" s="179">
        <f t="shared" si="182"/>
        <v>957839.56710922671</v>
      </c>
      <c r="G366" s="179">
        <f t="shared" si="182"/>
        <v>1571540.4377723839</v>
      </c>
      <c r="H366" s="179">
        <f t="shared" si="182"/>
        <v>1714425.3334063478</v>
      </c>
      <c r="I366" s="179">
        <f t="shared" si="182"/>
        <v>1777017.5613854642</v>
      </c>
      <c r="J366" s="179">
        <f t="shared" si="182"/>
        <v>1842136.0902141426</v>
      </c>
      <c r="K366" s="179">
        <f t="shared" si="182"/>
        <v>1909892.2202226496</v>
      </c>
      <c r="L366" s="179">
        <f t="shared" si="182"/>
        <v>1980402.4822313096</v>
      </c>
      <c r="M366" s="179">
        <f t="shared" si="182"/>
        <v>2053788.8938454054</v>
      </c>
      <c r="N366" s="179">
        <f t="shared" si="182"/>
        <v>2130179.2286241525</v>
      </c>
      <c r="O366" s="179">
        <f t="shared" si="182"/>
        <v>2209707.2987795374</v>
      </c>
      <c r="P366" s="179">
        <f t="shared" si="182"/>
        <v>2292513.2520944672</v>
      </c>
      <c r="Q366" s="179">
        <f t="shared" si="182"/>
        <v>2378743.8837850783</v>
      </c>
      <c r="R366" s="179">
        <f t="shared" si="182"/>
        <v>2468552.9640692682</v>
      </c>
      <c r="S366" s="179">
        <f t="shared" si="182"/>
        <v>2562101.5822426556</v>
      </c>
      <c r="T366" s="179">
        <f t="shared" si="182"/>
        <v>2659558.5081043355</v>
      </c>
      <c r="U366" s="179">
        <f t="shared" si="182"/>
        <v>2761100.5716180657</v>
      </c>
      <c r="V366" s="179">
        <f t="shared" si="182"/>
        <v>2866913.0617400459</v>
      </c>
    </row>
    <row r="367" spans="1:25" s="914" customFormat="1">
      <c r="A367" s="67" t="s">
        <v>385</v>
      </c>
      <c r="B367" s="178">
        <f>NPV(0.1,C366:V366)</f>
        <v>11905278.790214354</v>
      </c>
    </row>
    <row r="369" spans="2:22">
      <c r="B369" s="185">
        <f>B366+B343</f>
        <v>0</v>
      </c>
      <c r="C369" s="185">
        <f t="shared" ref="C369:V369" si="183">C366+C343</f>
        <v>0</v>
      </c>
      <c r="D369" s="185">
        <f t="shared" si="183"/>
        <v>140969.31428269693</v>
      </c>
      <c r="E369" s="185">
        <f t="shared" si="183"/>
        <v>729558.35806291923</v>
      </c>
      <c r="F369" s="185">
        <f t="shared" si="183"/>
        <v>1812547.1735370175</v>
      </c>
      <c r="G369" s="185">
        <f t="shared" si="183"/>
        <v>2971205.8571416433</v>
      </c>
      <c r="H369" s="185">
        <f t="shared" si="183"/>
        <v>3238423.6534265243</v>
      </c>
      <c r="I369" s="185">
        <f t="shared" si="183"/>
        <v>3353606.1845463351</v>
      </c>
      <c r="J369" s="185">
        <f t="shared" si="183"/>
        <v>3473319.5489475811</v>
      </c>
      <c r="K369" s="185">
        <f t="shared" si="183"/>
        <v>3597759.2243662337</v>
      </c>
      <c r="L369" s="185">
        <f t="shared" si="183"/>
        <v>3727129.7421990093</v>
      </c>
      <c r="M369" s="185">
        <f t="shared" si="183"/>
        <v>3861645.127142787</v>
      </c>
      <c r="N369" s="185">
        <f t="shared" si="183"/>
        <v>4001529.3588026147</v>
      </c>
      <c r="O369" s="185">
        <f t="shared" si="183"/>
        <v>4147016.8563841227</v>
      </c>
      <c r="P369" s="185">
        <f t="shared" si="183"/>
        <v>4298352.9876433201</v>
      </c>
      <c r="Q369" s="185">
        <f t="shared" si="183"/>
        <v>4455794.6033269297</v>
      </c>
      <c r="R369" s="185">
        <f t="shared" si="183"/>
        <v>4619610.5983995711</v>
      </c>
      <c r="S369" s="185">
        <f t="shared" si="183"/>
        <v>4790082.501420659</v>
      </c>
      <c r="T369" s="185">
        <f t="shared" si="183"/>
        <v>4967505.0935037229</v>
      </c>
      <c r="U369" s="185">
        <f t="shared" si="183"/>
        <v>5152187.0583644183</v>
      </c>
      <c r="V369" s="185">
        <f t="shared" si="183"/>
        <v>5344451.665040765</v>
      </c>
    </row>
    <row r="370" spans="2:22">
      <c r="B370" s="185">
        <f>B369-B276</f>
        <v>0</v>
      </c>
      <c r="C370" s="185">
        <f t="shared" ref="C370:V370" si="184">C369-C276</f>
        <v>0</v>
      </c>
      <c r="D370" s="185">
        <f t="shared" si="184"/>
        <v>0</v>
      </c>
      <c r="E370" s="185">
        <f t="shared" si="184"/>
        <v>0</v>
      </c>
      <c r="F370" s="185">
        <f t="shared" si="184"/>
        <v>0</v>
      </c>
      <c r="G370" s="185">
        <f t="shared" si="184"/>
        <v>0</v>
      </c>
      <c r="H370" s="185">
        <f t="shared" si="184"/>
        <v>0</v>
      </c>
      <c r="I370" s="185">
        <f t="shared" si="184"/>
        <v>0</v>
      </c>
      <c r="J370" s="185">
        <f t="shared" si="184"/>
        <v>0</v>
      </c>
      <c r="K370" s="185">
        <f t="shared" si="184"/>
        <v>0</v>
      </c>
      <c r="L370" s="185">
        <f t="shared" si="184"/>
        <v>0</v>
      </c>
      <c r="M370" s="185">
        <f t="shared" si="184"/>
        <v>0</v>
      </c>
      <c r="N370" s="185">
        <f t="shared" si="184"/>
        <v>0</v>
      </c>
      <c r="O370" s="185">
        <f t="shared" si="184"/>
        <v>0</v>
      </c>
      <c r="P370" s="185">
        <f t="shared" si="184"/>
        <v>0</v>
      </c>
      <c r="Q370" s="185">
        <f t="shared" si="184"/>
        <v>0</v>
      </c>
      <c r="R370" s="185">
        <f t="shared" si="184"/>
        <v>0</v>
      </c>
      <c r="S370" s="185">
        <f t="shared" si="184"/>
        <v>0</v>
      </c>
      <c r="T370" s="185">
        <f t="shared" si="184"/>
        <v>0</v>
      </c>
      <c r="U370" s="185">
        <f t="shared" si="184"/>
        <v>0</v>
      </c>
      <c r="V370" s="185">
        <f t="shared" si="184"/>
        <v>0</v>
      </c>
    </row>
  </sheetData>
  <mergeCells count="27">
    <mergeCell ref="J71:L71"/>
    <mergeCell ref="N71:P71"/>
    <mergeCell ref="H112:H113"/>
    <mergeCell ref="I112:I113"/>
    <mergeCell ref="M122:M124"/>
    <mergeCell ref="N122:N124"/>
    <mergeCell ref="A7:P7"/>
    <mergeCell ref="A3:P3"/>
    <mergeCell ref="A6:P6"/>
    <mergeCell ref="A8:P8"/>
    <mergeCell ref="A4:P4"/>
    <mergeCell ref="A5:P5"/>
    <mergeCell ref="B39:D39"/>
    <mergeCell ref="B40:D40"/>
    <mergeCell ref="A52:C52"/>
    <mergeCell ref="A9:P9"/>
    <mergeCell ref="A34:A38"/>
    <mergeCell ref="B34:F34"/>
    <mergeCell ref="G34:H34"/>
    <mergeCell ref="I34:J34"/>
    <mergeCell ref="B35:D37"/>
    <mergeCell ref="E35:E37"/>
    <mergeCell ref="F35:F37"/>
    <mergeCell ref="G35:G37"/>
    <mergeCell ref="H35:H37"/>
    <mergeCell ref="I35:I37"/>
    <mergeCell ref="J35:J37"/>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A1:CG231"/>
  <sheetViews>
    <sheetView zoomScale="90" zoomScaleNormal="90" workbookViewId="0"/>
  </sheetViews>
  <sheetFormatPr defaultRowHeight="15"/>
  <cols>
    <col min="1" max="1" width="2.7109375" style="1" customWidth="1"/>
    <col min="2" max="2" width="52.28515625" style="1" customWidth="1"/>
    <col min="3" max="3" width="19.5703125" style="1" customWidth="1"/>
    <col min="4" max="4" width="11.28515625" style="1" customWidth="1"/>
    <col min="5" max="5" width="10.42578125" style="1" bestFit="1" customWidth="1"/>
    <col min="6" max="6" width="22.140625" style="1" bestFit="1" customWidth="1"/>
    <col min="7" max="17" width="9.140625" style="1"/>
    <col min="18" max="18" width="12.140625" style="1" bestFit="1" customWidth="1"/>
    <col min="19" max="24" width="9.140625" style="1"/>
    <col min="25" max="25" width="11.5703125" style="1" bestFit="1" customWidth="1"/>
    <col min="26" max="45" width="10.42578125" style="1" bestFit="1" customWidth="1"/>
    <col min="46" max="80" width="11.5703125" style="1" bestFit="1" customWidth="1"/>
    <col min="81" max="16384" width="9.140625" style="1"/>
  </cols>
  <sheetData>
    <row r="1" spans="2:26" s="914" customFormat="1">
      <c r="H1" s="1028" t="s">
        <v>1624</v>
      </c>
    </row>
    <row r="2" spans="2:26" s="914" customFormat="1">
      <c r="H2" s="1028"/>
    </row>
    <row r="3" spans="2:26" ht="15.75">
      <c r="B3" s="196" t="s">
        <v>471</v>
      </c>
      <c r="C3" s="289" t="s">
        <v>1345</v>
      </c>
    </row>
    <row r="4" spans="2:26" ht="15.75">
      <c r="B4" s="196"/>
      <c r="C4" s="914" t="s">
        <v>1344</v>
      </c>
    </row>
    <row r="5" spans="2:26" ht="15.75">
      <c r="B5" s="196" t="s">
        <v>470</v>
      </c>
    </row>
    <row r="6" spans="2:26">
      <c r="B6" s="1" t="s">
        <v>1355</v>
      </c>
      <c r="E6" s="201"/>
      <c r="F6" s="201"/>
      <c r="G6" s="201"/>
      <c r="H6" s="201"/>
      <c r="I6" s="201"/>
      <c r="J6" s="201"/>
      <c r="K6" s="201"/>
      <c r="L6" s="201"/>
      <c r="M6" s="201"/>
      <c r="N6" s="201"/>
      <c r="O6" s="201"/>
      <c r="P6" s="201"/>
      <c r="Q6" s="201"/>
      <c r="R6" s="201"/>
      <c r="S6" s="201"/>
      <c r="T6" s="201"/>
      <c r="U6" s="201"/>
      <c r="V6" s="201"/>
      <c r="W6" s="201"/>
      <c r="X6" s="201"/>
      <c r="Y6" s="201"/>
      <c r="Z6" s="201"/>
    </row>
    <row r="7" spans="2:26">
      <c r="B7" s="1" t="s">
        <v>469</v>
      </c>
      <c r="I7" s="232"/>
      <c r="J7" s="232"/>
      <c r="K7" s="232"/>
      <c r="L7" s="232"/>
      <c r="M7" s="232"/>
      <c r="N7" s="232"/>
      <c r="O7" s="232"/>
      <c r="P7" s="232"/>
      <c r="Q7" s="232"/>
      <c r="R7" s="232"/>
      <c r="S7" s="232"/>
      <c r="T7" s="232"/>
      <c r="U7" s="232"/>
      <c r="V7" s="232"/>
      <c r="W7" s="232"/>
    </row>
    <row r="8" spans="2:26">
      <c r="B8" s="233" t="s">
        <v>461</v>
      </c>
      <c r="C8" s="244" t="s">
        <v>459</v>
      </c>
      <c r="D8" s="244" t="s">
        <v>458</v>
      </c>
      <c r="E8" s="244" t="s">
        <v>457</v>
      </c>
      <c r="F8" s="244" t="s">
        <v>456</v>
      </c>
      <c r="G8" s="247" t="s">
        <v>1350</v>
      </c>
      <c r="I8" s="232"/>
      <c r="J8" s="232"/>
      <c r="K8" s="232"/>
      <c r="L8" s="232"/>
      <c r="M8" s="232"/>
      <c r="N8" s="232"/>
      <c r="O8" s="232"/>
      <c r="P8" s="232"/>
      <c r="Q8" s="232"/>
      <c r="R8" s="232"/>
      <c r="S8" s="232"/>
      <c r="T8" s="232"/>
      <c r="U8" s="232"/>
      <c r="V8" s="232"/>
      <c r="W8" s="232"/>
    </row>
    <row r="9" spans="2:26">
      <c r="B9" s="233"/>
      <c r="C9" s="233">
        <v>0.15</v>
      </c>
      <c r="D9" s="233">
        <v>-1.6999999999999999E-3</v>
      </c>
      <c r="E9" s="233">
        <f>-0.113</f>
        <v>-0.113</v>
      </c>
      <c r="F9" s="233">
        <v>1.49E-2</v>
      </c>
      <c r="G9" s="247" t="s">
        <v>1348</v>
      </c>
      <c r="I9" s="232"/>
      <c r="J9" s="232"/>
      <c r="K9" s="232"/>
      <c r="L9" s="232"/>
      <c r="M9" s="232"/>
      <c r="N9" s="232"/>
      <c r="O9" s="232"/>
      <c r="P9" s="232"/>
      <c r="Q9" s="232"/>
      <c r="R9" s="232"/>
      <c r="S9" s="232"/>
      <c r="T9" s="232"/>
      <c r="U9" s="232"/>
      <c r="V9" s="232"/>
      <c r="W9" s="232"/>
    </row>
    <row r="10" spans="2:26" s="914" customFormat="1">
      <c r="B10" s="233"/>
      <c r="C10" s="233" t="s">
        <v>1349</v>
      </c>
      <c r="D10" s="233"/>
      <c r="E10" s="233"/>
      <c r="F10" s="233"/>
      <c r="G10" s="247"/>
      <c r="I10" s="232"/>
      <c r="J10" s="232"/>
      <c r="K10" s="232"/>
      <c r="L10" s="232"/>
      <c r="M10" s="232"/>
      <c r="N10" s="232"/>
      <c r="O10" s="232"/>
      <c r="P10" s="232"/>
      <c r="Q10" s="232"/>
      <c r="R10" s="232"/>
      <c r="S10" s="232"/>
      <c r="T10" s="232"/>
      <c r="U10" s="232"/>
      <c r="V10" s="232"/>
      <c r="W10" s="232"/>
    </row>
    <row r="11" spans="2:26">
      <c r="B11" s="233" t="s">
        <v>460</v>
      </c>
      <c r="C11" s="245" t="s">
        <v>459</v>
      </c>
      <c r="D11" s="244" t="s">
        <v>458</v>
      </c>
      <c r="E11" s="244" t="s">
        <v>457</v>
      </c>
      <c r="F11" s="244" t="s">
        <v>456</v>
      </c>
      <c r="I11" s="232"/>
      <c r="J11" s="232"/>
      <c r="K11" s="232"/>
      <c r="L11" s="232"/>
      <c r="M11" s="232"/>
      <c r="N11" s="232"/>
      <c r="O11" s="232"/>
      <c r="P11" s="232"/>
      <c r="Q11" s="232"/>
      <c r="R11" s="232"/>
      <c r="S11" s="232"/>
      <c r="T11" s="232"/>
      <c r="U11" s="232"/>
      <c r="V11" s="232"/>
      <c r="W11" s="232"/>
    </row>
    <row r="12" spans="2:26" ht="29.25" customHeight="1">
      <c r="B12" s="242" t="s">
        <v>451</v>
      </c>
      <c r="C12" s="233">
        <v>1</v>
      </c>
      <c r="D12" s="233">
        <f>(C12^2)</f>
        <v>1</v>
      </c>
      <c r="E12" s="233">
        <f>0.74*2</f>
        <v>1.48</v>
      </c>
      <c r="F12" s="233">
        <f>(E12^2)</f>
        <v>2.1903999999999999</v>
      </c>
      <c r="G12" s="1302" t="s">
        <v>1381</v>
      </c>
      <c r="H12" s="1302"/>
      <c r="I12" s="1302"/>
      <c r="J12" s="1302"/>
      <c r="K12" s="1302"/>
      <c r="L12" s="1302"/>
      <c r="M12" s="1302"/>
      <c r="N12" s="1302"/>
      <c r="O12" s="232"/>
      <c r="P12" s="232"/>
      <c r="Q12" s="232"/>
      <c r="R12" s="232"/>
      <c r="S12" s="232"/>
      <c r="T12" s="232"/>
      <c r="U12" s="232"/>
      <c r="V12" s="232"/>
      <c r="W12" s="232"/>
    </row>
    <row r="13" spans="2:26">
      <c r="B13" s="205"/>
      <c r="C13" s="7" t="s">
        <v>1347</v>
      </c>
      <c r="D13" s="204"/>
      <c r="E13" s="249"/>
      <c r="F13" s="72"/>
      <c r="I13" s="236"/>
      <c r="J13" s="236"/>
      <c r="K13" s="236"/>
      <c r="L13" s="236"/>
      <c r="M13" s="236"/>
      <c r="N13" s="236"/>
      <c r="O13" s="232"/>
      <c r="P13" s="232"/>
      <c r="Q13" s="232"/>
      <c r="R13" s="232"/>
      <c r="S13" s="232"/>
      <c r="T13" s="232"/>
      <c r="U13" s="232"/>
      <c r="V13" s="232"/>
      <c r="W13" s="232"/>
    </row>
    <row r="14" spans="2:26">
      <c r="B14" s="205" t="s">
        <v>468</v>
      </c>
      <c r="C14" s="7"/>
      <c r="D14" s="204"/>
      <c r="E14" s="249"/>
      <c r="F14" s="72"/>
      <c r="I14" s="124"/>
      <c r="J14" s="236"/>
      <c r="K14" s="236"/>
      <c r="L14" s="236"/>
      <c r="M14" s="124"/>
      <c r="N14" s="236"/>
      <c r="O14" s="232"/>
      <c r="P14" s="232"/>
      <c r="Q14" s="232"/>
      <c r="R14" s="232"/>
      <c r="S14" s="232"/>
      <c r="T14" s="232"/>
      <c r="U14" s="232"/>
      <c r="V14" s="232"/>
      <c r="W14" s="232"/>
    </row>
    <row r="15" spans="2:26">
      <c r="B15" s="250" t="s">
        <v>467</v>
      </c>
      <c r="C15" s="226">
        <v>0.7</v>
      </c>
      <c r="D15" s="1" t="s">
        <v>547</v>
      </c>
      <c r="E15" s="249"/>
      <c r="F15" s="72"/>
      <c r="I15" s="124"/>
      <c r="J15" s="236"/>
      <c r="K15" s="236"/>
      <c r="L15" s="236"/>
      <c r="M15" s="124"/>
      <c r="N15" s="236"/>
      <c r="O15" s="232"/>
      <c r="P15" s="232"/>
      <c r="Q15" s="232"/>
      <c r="R15" s="232"/>
      <c r="S15" s="232"/>
      <c r="T15" s="232"/>
      <c r="U15" s="232"/>
      <c r="V15" s="232"/>
      <c r="W15" s="232"/>
    </row>
    <row r="16" spans="2:26">
      <c r="B16" s="250" t="s">
        <v>466</v>
      </c>
      <c r="C16" s="226">
        <v>0.8</v>
      </c>
      <c r="D16" s="212" t="s">
        <v>547</v>
      </c>
      <c r="E16" s="249"/>
      <c r="F16" s="72"/>
      <c r="I16" s="124"/>
      <c r="J16" s="236"/>
      <c r="K16" s="236"/>
      <c r="L16" s="236"/>
      <c r="M16" s="124"/>
      <c r="N16" s="236"/>
      <c r="O16" s="232"/>
      <c r="P16" s="232"/>
      <c r="Q16" s="232"/>
      <c r="R16" s="232"/>
      <c r="S16" s="232"/>
      <c r="T16" s="232"/>
      <c r="U16" s="232"/>
      <c r="V16" s="232"/>
      <c r="W16" s="232"/>
    </row>
    <row r="17" spans="2:23">
      <c r="B17" s="205"/>
      <c r="C17" s="7"/>
      <c r="D17" s="204"/>
      <c r="E17" s="249"/>
      <c r="F17" s="72"/>
      <c r="I17" s="124"/>
      <c r="J17" s="1" t="s">
        <v>760</v>
      </c>
      <c r="K17" s="236"/>
      <c r="L17" s="236"/>
      <c r="M17" s="124"/>
      <c r="N17" s="236"/>
      <c r="O17" s="232"/>
      <c r="P17" s="232"/>
      <c r="Q17" s="232"/>
      <c r="R17" s="232"/>
      <c r="S17" s="232"/>
      <c r="T17" s="232"/>
      <c r="U17" s="232"/>
      <c r="V17" s="232"/>
      <c r="W17" s="232"/>
    </row>
    <row r="18" spans="2:23">
      <c r="B18" s="205" t="s">
        <v>465</v>
      </c>
      <c r="C18" s="7"/>
      <c r="D18" s="204"/>
      <c r="E18" s="249"/>
      <c r="F18" s="72"/>
      <c r="I18" s="236"/>
      <c r="K18" s="236" t="s">
        <v>464</v>
      </c>
      <c r="L18" s="236"/>
      <c r="M18" s="248" t="s">
        <v>463</v>
      </c>
      <c r="N18" s="236"/>
      <c r="O18" s="236" t="s">
        <v>462</v>
      </c>
      <c r="P18" s="232"/>
      <c r="Q18" s="232"/>
      <c r="R18" s="232"/>
      <c r="S18" s="232"/>
      <c r="T18" s="232"/>
      <c r="U18" s="232"/>
      <c r="V18" s="232"/>
      <c r="W18" s="232"/>
    </row>
    <row r="19" spans="2:23">
      <c r="B19" s="233" t="s">
        <v>461</v>
      </c>
      <c r="C19" s="244" t="s">
        <v>459</v>
      </c>
      <c r="D19" s="244" t="s">
        <v>458</v>
      </c>
      <c r="E19" s="244" t="s">
        <v>457</v>
      </c>
      <c r="F19" s="244" t="s">
        <v>456</v>
      </c>
      <c r="I19" s="236"/>
      <c r="J19" s="247" t="s">
        <v>358</v>
      </c>
      <c r="K19" s="103">
        <v>0.92979744931472896</v>
      </c>
      <c r="L19" s="236"/>
      <c r="M19" s="246"/>
      <c r="N19" s="236"/>
      <c r="O19" s="236">
        <v>7</v>
      </c>
      <c r="P19" s="232"/>
      <c r="Q19" s="232"/>
      <c r="R19" s="232"/>
      <c r="S19" s="232"/>
      <c r="T19" s="232"/>
      <c r="U19" s="232"/>
      <c r="V19" s="232"/>
      <c r="W19" s="232"/>
    </row>
    <row r="20" spans="2:23">
      <c r="B20" s="233"/>
      <c r="C20" s="233">
        <v>7.0000000000000007E-2</v>
      </c>
      <c r="D20" s="233">
        <v>-6.9999999999999999E-4</v>
      </c>
      <c r="E20" s="233">
        <f>-0.069</f>
        <v>-6.9000000000000006E-2</v>
      </c>
      <c r="F20" s="233">
        <v>1.1599999999999999E-2</v>
      </c>
      <c r="G20" s="247" t="s">
        <v>1346</v>
      </c>
      <c r="J20" s="1" t="s">
        <v>357</v>
      </c>
      <c r="K20" s="90">
        <f>40%*M20</f>
        <v>0.1636</v>
      </c>
      <c r="L20" s="236" t="s">
        <v>762</v>
      </c>
      <c r="M20" s="237">
        <v>0.40899999999999997</v>
      </c>
      <c r="N20" s="236"/>
      <c r="O20" s="236">
        <v>5</v>
      </c>
      <c r="Q20" s="232"/>
      <c r="R20" s="232"/>
      <c r="S20" s="232"/>
      <c r="T20" s="232"/>
      <c r="U20" s="232"/>
      <c r="V20" s="232"/>
      <c r="W20" s="232"/>
    </row>
    <row r="21" spans="2:23">
      <c r="B21" s="233" t="s">
        <v>460</v>
      </c>
      <c r="C21" s="245" t="s">
        <v>459</v>
      </c>
      <c r="D21" s="244" t="s">
        <v>458</v>
      </c>
      <c r="E21" s="244" t="s">
        <v>457</v>
      </c>
      <c r="F21" s="244" t="s">
        <v>456</v>
      </c>
      <c r="J21" s="1" t="s">
        <v>443</v>
      </c>
      <c r="K21" s="243">
        <v>0.06</v>
      </c>
      <c r="L21" s="236" t="s">
        <v>761</v>
      </c>
      <c r="M21" s="243">
        <v>0.1</v>
      </c>
      <c r="N21" s="236" t="s">
        <v>761</v>
      </c>
      <c r="O21" s="236">
        <v>4</v>
      </c>
      <c r="Q21" s="232"/>
      <c r="R21" s="232"/>
      <c r="S21" s="232"/>
      <c r="T21" s="232"/>
      <c r="U21" s="232"/>
      <c r="V21" s="232"/>
      <c r="W21" s="232"/>
    </row>
    <row r="22" spans="2:23">
      <c r="B22" s="136" t="s">
        <v>455</v>
      </c>
      <c r="C22" s="112">
        <f>health!T84</f>
        <v>28.760916366666056</v>
      </c>
      <c r="D22" s="75">
        <f>C22^2</f>
        <v>827.1903102503594</v>
      </c>
      <c r="E22" s="112">
        <f>O29</f>
        <v>8.5876940484010333</v>
      </c>
      <c r="F22" s="75">
        <f>E22^2</f>
        <v>73.748489068942533</v>
      </c>
      <c r="J22" s="1" t="s">
        <v>454</v>
      </c>
      <c r="K22" s="236"/>
      <c r="L22" s="236" t="s">
        <v>453</v>
      </c>
      <c r="M22" s="236"/>
      <c r="N22" s="236"/>
      <c r="O22" s="236" t="s">
        <v>452</v>
      </c>
      <c r="P22" s="1" t="s">
        <v>763</v>
      </c>
      <c r="Q22" s="232"/>
      <c r="R22" s="232"/>
      <c r="S22" s="232"/>
      <c r="T22" s="232"/>
      <c r="U22" s="232"/>
      <c r="V22" s="232"/>
      <c r="W22" s="232"/>
    </row>
    <row r="23" spans="2:23">
      <c r="B23" s="242" t="s">
        <v>451</v>
      </c>
      <c r="C23" s="240">
        <f>C12*C15*C16</f>
        <v>0.55999999999999994</v>
      </c>
      <c r="D23" s="233"/>
      <c r="E23" s="233">
        <f>E12*C15*C16</f>
        <v>0.82880000000000009</v>
      </c>
      <c r="F23" s="233"/>
      <c r="J23" s="1" t="s">
        <v>450</v>
      </c>
      <c r="K23" s="236"/>
      <c r="L23" s="237">
        <f>100%-K19</f>
        <v>7.0202550685271037E-2</v>
      </c>
      <c r="M23" s="236"/>
      <c r="N23" s="236"/>
      <c r="O23" s="235">
        <f>(2/3)*O19</f>
        <v>4.6666666666666661</v>
      </c>
      <c r="Q23" s="232"/>
      <c r="R23" s="232"/>
      <c r="S23" s="232"/>
      <c r="T23" s="232"/>
      <c r="U23" s="232"/>
      <c r="V23" s="232"/>
      <c r="W23" s="232"/>
    </row>
    <row r="24" spans="2:23">
      <c r="B24" s="136" t="s">
        <v>449</v>
      </c>
      <c r="C24" s="241">
        <f>C22+C23</f>
        <v>29.320916366666054</v>
      </c>
      <c r="D24" s="75">
        <f>C24^2</f>
        <v>859.71613658102524</v>
      </c>
      <c r="E24" s="241">
        <f>E22+E23</f>
        <v>9.4164940484010327</v>
      </c>
      <c r="F24" s="75">
        <f>E24^2</f>
        <v>88.67036016357207</v>
      </c>
      <c r="J24" s="1" t="s">
        <v>358</v>
      </c>
      <c r="K24" s="236"/>
      <c r="L24" s="237">
        <f>K19-M20</f>
        <v>0.52079744931472893</v>
      </c>
      <c r="M24" s="236"/>
      <c r="N24" s="236"/>
      <c r="O24" s="235">
        <f>O19</f>
        <v>7</v>
      </c>
      <c r="Q24" s="232"/>
      <c r="R24" s="232"/>
      <c r="S24" s="232"/>
      <c r="T24" s="232"/>
      <c r="U24" s="232"/>
      <c r="V24" s="232"/>
      <c r="W24" s="232"/>
    </row>
    <row r="25" spans="2:23">
      <c r="B25" s="136"/>
      <c r="C25" s="240"/>
      <c r="D25" s="233"/>
      <c r="E25" s="233" t="s">
        <v>760</v>
      </c>
      <c r="F25" s="233"/>
      <c r="J25" s="1" t="s">
        <v>448</v>
      </c>
      <c r="K25" s="236"/>
      <c r="L25" s="237">
        <f>M20-K20</f>
        <v>0.24539999999999998</v>
      </c>
      <c r="M25" s="236"/>
      <c r="N25" s="236"/>
      <c r="O25" s="235">
        <f>AVERAGE(O24,O26)</f>
        <v>9.5</v>
      </c>
      <c r="Q25" s="232"/>
      <c r="R25" s="232"/>
      <c r="S25" s="232"/>
      <c r="T25" s="232"/>
      <c r="U25" s="232"/>
      <c r="V25" s="232"/>
      <c r="W25" s="232"/>
    </row>
    <row r="26" spans="2:23">
      <c r="B26" s="233" t="s">
        <v>447</v>
      </c>
      <c r="C26" s="240"/>
      <c r="D26" s="233"/>
      <c r="E26" s="233"/>
      <c r="F26" s="233"/>
      <c r="J26" s="1" t="s">
        <v>357</v>
      </c>
      <c r="L26" s="103">
        <f>K20-M21</f>
        <v>6.359999999999999E-2</v>
      </c>
      <c r="M26" s="236"/>
      <c r="N26" s="236"/>
      <c r="O26" s="235">
        <f>O19+O20</f>
        <v>12</v>
      </c>
      <c r="Q26" s="232"/>
      <c r="R26" s="232"/>
      <c r="S26" s="232"/>
      <c r="T26" s="232"/>
      <c r="U26" s="232"/>
      <c r="V26" s="232"/>
      <c r="W26" s="232"/>
    </row>
    <row r="27" spans="2:23">
      <c r="B27" s="136" t="s">
        <v>446</v>
      </c>
      <c r="C27" s="240">
        <f>SUMPRODUCT(C20:F20,C22:F22)</f>
        <v>1.6971625123514347</v>
      </c>
      <c r="D27" s="233"/>
      <c r="E27" s="233"/>
      <c r="F27" s="233"/>
      <c r="J27" s="1" t="s">
        <v>445</v>
      </c>
      <c r="K27" s="236"/>
      <c r="L27" s="237">
        <f>M21-K21</f>
        <v>4.0000000000000008E-2</v>
      </c>
      <c r="M27" s="236"/>
      <c r="N27" s="236"/>
      <c r="O27" s="235">
        <f>AVERAGE(O26,O28)</f>
        <v>14</v>
      </c>
      <c r="Q27" s="232"/>
      <c r="R27" s="232"/>
      <c r="S27" s="232"/>
      <c r="T27" s="232"/>
      <c r="U27" s="232"/>
      <c r="V27" s="232"/>
      <c r="W27" s="232"/>
    </row>
    <row r="28" spans="2:23">
      <c r="B28" s="136" t="s">
        <v>444</v>
      </c>
      <c r="C28" s="240">
        <f>SUMPRODUCT(C20:F20,C24:F24)</f>
        <v>1.829500938617671</v>
      </c>
      <c r="D28" s="233"/>
      <c r="E28" s="233"/>
      <c r="F28" s="233"/>
      <c r="J28" s="1" t="s">
        <v>443</v>
      </c>
      <c r="K28" s="236"/>
      <c r="L28" s="237">
        <f>K21</f>
        <v>0.06</v>
      </c>
      <c r="M28" s="236"/>
      <c r="N28" s="236"/>
      <c r="O28" s="239">
        <f>O19+O20+O21</f>
        <v>16</v>
      </c>
      <c r="Q28" s="232"/>
      <c r="R28" s="232"/>
      <c r="S28" s="158" t="s">
        <v>472</v>
      </c>
      <c r="T28" s="251"/>
      <c r="U28" s="251"/>
      <c r="V28" s="232"/>
      <c r="W28" s="232"/>
    </row>
    <row r="29" spans="2:23">
      <c r="C29" s="238"/>
      <c r="D29" s="233"/>
      <c r="E29" s="233"/>
      <c r="F29" s="233"/>
      <c r="J29" s="1" t="s">
        <v>442</v>
      </c>
      <c r="K29" s="236"/>
      <c r="L29" s="237"/>
      <c r="M29" s="236"/>
      <c r="N29" s="236"/>
      <c r="O29" s="235">
        <f>SUMPRODUCT(L23:L28,O23:O28)</f>
        <v>8.5876940484010333</v>
      </c>
      <c r="Q29" s="232"/>
      <c r="R29" s="232"/>
      <c r="S29" s="252" t="s">
        <v>473</v>
      </c>
      <c r="T29" s="253">
        <v>0</v>
      </c>
      <c r="U29" s="158"/>
      <c r="V29" s="232"/>
      <c r="W29" s="232"/>
    </row>
    <row r="30" spans="2:23">
      <c r="B30" s="233" t="s">
        <v>441</v>
      </c>
      <c r="C30" s="234">
        <f>EXP(C28)/EXP(C27)-1</f>
        <v>0.1414945656493698</v>
      </c>
      <c r="D30" s="233" t="s">
        <v>440</v>
      </c>
      <c r="E30" s="233"/>
      <c r="F30" s="233"/>
      <c r="J30" s="541" t="s">
        <v>742</v>
      </c>
      <c r="K30" s="542"/>
      <c r="L30" s="541"/>
      <c r="M30" s="541"/>
      <c r="N30" s="541"/>
      <c r="O30" s="541"/>
      <c r="P30" s="158"/>
      <c r="Q30" s="543"/>
      <c r="R30" s="158"/>
      <c r="S30" s="252" t="s">
        <v>474</v>
      </c>
      <c r="T30" s="253">
        <v>0</v>
      </c>
      <c r="U30" s="158"/>
      <c r="V30" s="232"/>
      <c r="W30" s="232"/>
    </row>
    <row r="31" spans="2:23">
      <c r="E31" s="233"/>
      <c r="F31" s="233"/>
      <c r="J31" s="541" t="s">
        <v>743</v>
      </c>
      <c r="K31" s="542"/>
      <c r="L31" s="541"/>
      <c r="M31" s="541"/>
      <c r="N31" s="541"/>
      <c r="O31" s="541"/>
      <c r="P31" s="158"/>
      <c r="Q31" s="158"/>
      <c r="R31" s="158"/>
      <c r="S31" s="252" t="s">
        <v>475</v>
      </c>
      <c r="T31" s="253">
        <f>1%*0</f>
        <v>0</v>
      </c>
      <c r="U31" s="158" t="s">
        <v>740</v>
      </c>
      <c r="V31" s="232"/>
      <c r="W31" s="232"/>
    </row>
    <row r="32" spans="2:23">
      <c r="B32" s="1" t="s">
        <v>439</v>
      </c>
      <c r="C32" s="12">
        <v>1</v>
      </c>
      <c r="D32" s="1" t="s">
        <v>757</v>
      </c>
      <c r="J32" s="544" t="s">
        <v>93</v>
      </c>
      <c r="K32" s="545" t="s">
        <v>744</v>
      </c>
      <c r="L32" s="546" t="s">
        <v>745</v>
      </c>
      <c r="M32" s="547" t="s">
        <v>746</v>
      </c>
      <c r="N32" s="547" t="s">
        <v>754</v>
      </c>
      <c r="O32" s="158" t="s">
        <v>748</v>
      </c>
      <c r="P32" s="547" t="s">
        <v>755</v>
      </c>
      <c r="Q32" s="158"/>
      <c r="R32" s="158" t="s">
        <v>750</v>
      </c>
      <c r="S32" s="115"/>
      <c r="U32" s="12"/>
    </row>
    <row r="33" spans="1:80">
      <c r="B33" s="1" t="s">
        <v>438</v>
      </c>
      <c r="C33" s="12">
        <v>14</v>
      </c>
      <c r="J33" s="481">
        <v>2000</v>
      </c>
      <c r="K33" s="548">
        <v>39.769637454815403</v>
      </c>
      <c r="L33" s="541"/>
      <c r="M33" s="133">
        <v>9.3778330122147192E-3</v>
      </c>
      <c r="N33" s="549">
        <f t="shared" ref="N33:N36" si="0">N34/(1+M33)</f>
        <v>90.457190646077194</v>
      </c>
      <c r="O33" s="287">
        <v>2499044442112</v>
      </c>
      <c r="P33" s="158"/>
      <c r="Q33" s="158"/>
      <c r="R33" s="158"/>
      <c r="S33" s="115"/>
      <c r="T33" s="12"/>
      <c r="U33" s="12"/>
      <c r="Y33" s="540"/>
    </row>
    <row r="34" spans="1:80">
      <c r="B34" s="1" t="s">
        <v>437</v>
      </c>
      <c r="C34" s="12">
        <v>55</v>
      </c>
      <c r="F34" s="914"/>
      <c r="G34" s="914"/>
      <c r="H34" s="914"/>
      <c r="I34" s="914"/>
      <c r="J34" s="481">
        <v>2001</v>
      </c>
      <c r="K34" s="548">
        <v>48.277867065377997</v>
      </c>
      <c r="L34" s="550">
        <f>(K34-K33)/K33</f>
        <v>0.21393782179254936</v>
      </c>
      <c r="M34" s="133">
        <v>2.3848413954639401E-2</v>
      </c>
      <c r="N34" s="549">
        <f t="shared" si="0"/>
        <v>91.305483074710182</v>
      </c>
      <c r="O34" s="287">
        <v>2621311025152</v>
      </c>
      <c r="P34" s="551">
        <f>(O34-O33)/O33</f>
        <v>4.8925333611382155E-2</v>
      </c>
      <c r="Q34" s="158"/>
      <c r="R34" s="158"/>
      <c r="S34" s="115"/>
      <c r="T34" s="109"/>
      <c r="U34" s="109"/>
    </row>
    <row r="35" spans="1:80">
      <c r="B35" s="1" t="s">
        <v>436</v>
      </c>
      <c r="C35" s="12">
        <f>C34-C33</f>
        <v>41</v>
      </c>
      <c r="F35" s="914"/>
      <c r="G35" s="914"/>
      <c r="H35" s="914"/>
      <c r="I35" s="914"/>
      <c r="J35" s="481">
        <v>2002</v>
      </c>
      <c r="K35" s="548">
        <v>59.0116516363586</v>
      </c>
      <c r="L35" s="550">
        <f t="shared" ref="L35:L42" si="1">(K35-K34)/K34</f>
        <v>0.22233344643094707</v>
      </c>
      <c r="M35" s="133">
        <v>3.8817397624366398E-3</v>
      </c>
      <c r="N35" s="549">
        <f t="shared" si="0"/>
        <v>93.482974031404183</v>
      </c>
      <c r="O35" s="287">
        <v>2692488975515.7437</v>
      </c>
      <c r="P35" s="551">
        <f t="shared" ref="P35:P42" si="2">(O35-O34)/O34</f>
        <v>2.7153569218142021E-2</v>
      </c>
      <c r="Q35" s="158"/>
      <c r="R35" s="158"/>
      <c r="S35" s="158"/>
      <c r="T35" s="158"/>
      <c r="U35" s="158"/>
    </row>
    <row r="36" spans="1:80">
      <c r="F36" s="914"/>
      <c r="G36" s="915"/>
      <c r="H36" s="914"/>
      <c r="I36" s="914"/>
      <c r="J36" s="481">
        <v>2003</v>
      </c>
      <c r="K36" s="548">
        <v>71.641076520665194</v>
      </c>
      <c r="L36" s="550">
        <f t="shared" si="1"/>
        <v>0.21401578390199266</v>
      </c>
      <c r="M36" s="133">
        <v>3.3446799864373399E-2</v>
      </c>
      <c r="N36" s="549">
        <f t="shared" si="0"/>
        <v>93.845850608812725</v>
      </c>
      <c r="O36" s="287">
        <v>2845110652295.5903</v>
      </c>
      <c r="P36" s="551">
        <f t="shared" si="2"/>
        <v>5.6684234612552925E-2</v>
      </c>
      <c r="Q36" s="158"/>
      <c r="R36" s="158"/>
      <c r="S36" s="158"/>
      <c r="T36" s="161"/>
      <c r="U36" s="158"/>
    </row>
    <row r="37" spans="1:80">
      <c r="B37" s="1" t="s">
        <v>435</v>
      </c>
      <c r="F37" s="914"/>
      <c r="G37" s="914"/>
      <c r="H37" s="914"/>
      <c r="I37" s="914"/>
      <c r="J37" s="481">
        <v>2004</v>
      </c>
      <c r="K37" s="548">
        <v>84.513394065121304</v>
      </c>
      <c r="L37" s="550">
        <f t="shared" si="1"/>
        <v>0.17967789108728749</v>
      </c>
      <c r="M37" s="133">
        <v>3.1090534842684099E-2</v>
      </c>
      <c r="N37" s="549">
        <f>N38/(1+M37)</f>
        <v>96.984693992227577</v>
      </c>
      <c r="O37" s="287">
        <v>2999805000000</v>
      </c>
      <c r="P37" s="551">
        <f t="shared" si="2"/>
        <v>5.4371996948376626E-2</v>
      </c>
      <c r="Q37" s="158"/>
      <c r="R37" s="158"/>
      <c r="S37" s="158"/>
      <c r="T37" s="158"/>
      <c r="U37" s="158"/>
    </row>
    <row r="38" spans="1:80">
      <c r="B38" s="115" t="s">
        <v>434</v>
      </c>
      <c r="J38" s="481">
        <v>2005</v>
      </c>
      <c r="K38" s="548">
        <v>100</v>
      </c>
      <c r="L38" s="550">
        <f t="shared" si="1"/>
        <v>0.18324439701173972</v>
      </c>
      <c r="M38" s="133">
        <v>2.8147285038391201E-2</v>
      </c>
      <c r="N38" s="552">
        <v>100</v>
      </c>
      <c r="O38" s="287">
        <v>3155795000000</v>
      </c>
      <c r="P38" s="551">
        <f t="shared" si="2"/>
        <v>5.2000046669700199E-2</v>
      </c>
      <c r="Q38" s="158"/>
      <c r="R38" s="158"/>
      <c r="S38" s="158"/>
      <c r="T38" s="159"/>
      <c r="U38" s="158"/>
    </row>
    <row r="39" spans="1:80">
      <c r="B39" s="115">
        <v>1.8</v>
      </c>
      <c r="C39" s="1" t="s">
        <v>433</v>
      </c>
      <c r="J39" s="481">
        <v>2006</v>
      </c>
      <c r="K39" s="548">
        <v>109.019572472265</v>
      </c>
      <c r="L39" s="550">
        <f t="shared" si="1"/>
        <v>9.0195724722649973E-2</v>
      </c>
      <c r="M39" s="133">
        <v>3.8616107172161102E-2</v>
      </c>
      <c r="N39" s="549">
        <f>N38*(1+M39)</f>
        <v>103.86161071721611</v>
      </c>
      <c r="O39" s="287">
        <v>3356135325422.4502</v>
      </c>
      <c r="P39" s="551">
        <f t="shared" si="2"/>
        <v>6.3483314164085494E-2</v>
      </c>
      <c r="Q39" s="158"/>
      <c r="R39" s="158"/>
      <c r="S39" s="158"/>
      <c r="T39" s="160"/>
      <c r="U39" s="161"/>
    </row>
    <row r="40" spans="1:80">
      <c r="B40" s="115">
        <v>2.5</v>
      </c>
      <c r="C40" s="1" t="s">
        <v>432</v>
      </c>
      <c r="J40" s="481">
        <v>2007</v>
      </c>
      <c r="K40" s="548">
        <v>120.63816944307599</v>
      </c>
      <c r="L40" s="550">
        <f t="shared" si="1"/>
        <v>0.10657349600015001</v>
      </c>
      <c r="M40" s="133">
        <v>3.6541159402364097E-2</v>
      </c>
      <c r="N40" s="549">
        <f t="shared" ref="N40:N45" si="3">N39*(1+M40)</f>
        <v>107.6568343902202</v>
      </c>
      <c r="O40" s="287">
        <v>3563997611969.4399</v>
      </c>
      <c r="P40" s="551">
        <f t="shared" si="2"/>
        <v>6.1935013458024157E-2</v>
      </c>
      <c r="Q40" s="158"/>
      <c r="R40" s="158"/>
      <c r="S40" s="158"/>
      <c r="U40" s="158"/>
    </row>
    <row r="41" spans="1:80">
      <c r="B41" s="231">
        <f>EXP(B40)/EXP(B39)</f>
        <v>2.0137527074704762</v>
      </c>
      <c r="C41" s="1" t="s">
        <v>431</v>
      </c>
      <c r="J41" s="481">
        <v>2008</v>
      </c>
      <c r="K41" s="548">
        <v>135.652087337214</v>
      </c>
      <c r="L41" s="550">
        <f t="shared" si="1"/>
        <v>0.12445412561753461</v>
      </c>
      <c r="M41" s="133">
        <v>3.08799236486446E-2</v>
      </c>
      <c r="N41" s="549">
        <f t="shared" si="3"/>
        <v>110.98126921644497</v>
      </c>
      <c r="O41" s="287">
        <v>3765436029701.6401</v>
      </c>
      <c r="P41" s="551">
        <f t="shared" si="2"/>
        <v>5.6520357100039345E-2</v>
      </c>
      <c r="Q41" s="161"/>
      <c r="R41" s="553"/>
      <c r="S41" s="158"/>
      <c r="T41" s="158"/>
      <c r="U41" s="158"/>
    </row>
    <row r="42" spans="1:80">
      <c r="B42" s="115" t="s">
        <v>430</v>
      </c>
      <c r="C42" s="230">
        <f>1-(1/B41)</f>
        <v>0.50341469620859036</v>
      </c>
      <c r="J42" s="481">
        <v>2009</v>
      </c>
      <c r="K42" s="548">
        <v>153.823258008339</v>
      </c>
      <c r="L42" s="550">
        <f t="shared" si="1"/>
        <v>0.1339542282600765</v>
      </c>
      <c r="M42" s="133">
        <v>3.7194173620328702E-2</v>
      </c>
      <c r="N42" s="549">
        <f t="shared" si="3"/>
        <v>115.10912581228587</v>
      </c>
      <c r="O42" s="287">
        <v>4003015203173.5601</v>
      </c>
      <c r="P42" s="551">
        <f t="shared" si="2"/>
        <v>6.3094731021295522E-2</v>
      </c>
      <c r="Q42" s="554"/>
      <c r="R42" s="553"/>
      <c r="S42" s="158"/>
      <c r="T42" s="158"/>
      <c r="U42" s="158"/>
    </row>
    <row r="43" spans="1:80">
      <c r="B43" s="115" t="s">
        <v>429</v>
      </c>
      <c r="C43" s="146">
        <f>-25/LN(0.005)</f>
        <v>4.7184791454438715</v>
      </c>
      <c r="D43" s="1" t="s">
        <v>428</v>
      </c>
      <c r="J43" s="481">
        <v>2010</v>
      </c>
      <c r="K43" s="548">
        <f>K42*(1+L43)</f>
        <v>169.35940706718122</v>
      </c>
      <c r="L43" s="555">
        <v>0.10100000000000001</v>
      </c>
      <c r="M43" s="556">
        <f>AVERAGE(M33:M42)</f>
        <v>2.73023970318238E-2</v>
      </c>
      <c r="N43" s="549">
        <f t="shared" si="3"/>
        <v>118.25188086719905</v>
      </c>
      <c r="O43" s="541"/>
      <c r="P43" s="557">
        <v>5.5E-2</v>
      </c>
      <c r="Q43" s="543"/>
      <c r="R43" s="543"/>
      <c r="S43" s="158"/>
      <c r="T43" s="253"/>
      <c r="U43" s="158"/>
    </row>
    <row r="44" spans="1:80">
      <c r="B44" s="115"/>
      <c r="C44" s="146"/>
      <c r="J44" s="558">
        <v>2011</v>
      </c>
      <c r="K44" s="559">
        <f>K43*(1+L44)</f>
        <v>182.06136259721981</v>
      </c>
      <c r="L44" s="560">
        <v>7.4999999999999997E-2</v>
      </c>
      <c r="M44" s="561">
        <f>M43</f>
        <v>2.73023970318238E-2</v>
      </c>
      <c r="N44" s="562">
        <f t="shared" si="3"/>
        <v>121.48044066839525</v>
      </c>
      <c r="O44" s="541"/>
      <c r="P44" s="557">
        <v>0.06</v>
      </c>
      <c r="Q44" s="543"/>
      <c r="R44" s="553"/>
      <c r="S44" s="158"/>
      <c r="T44" s="253"/>
      <c r="U44" s="158"/>
    </row>
    <row r="45" spans="1:80" ht="15.75">
      <c r="A45" s="196" t="s">
        <v>427</v>
      </c>
      <c r="C45" s="229">
        <v>1</v>
      </c>
      <c r="D45" s="1" t="s">
        <v>426</v>
      </c>
      <c r="F45" s="228">
        <f>C45*D46</f>
        <v>0.64893605886478101</v>
      </c>
      <c r="J45" s="563">
        <v>2012</v>
      </c>
      <c r="K45" s="548">
        <f>K44*(1+L45)</f>
        <v>193.89535116603909</v>
      </c>
      <c r="L45" s="555">
        <v>6.5000000000000002E-2</v>
      </c>
      <c r="M45" s="556">
        <f>M44</f>
        <v>2.73023970318238E-2</v>
      </c>
      <c r="N45" s="549">
        <f t="shared" si="3"/>
        <v>124.79714789112469</v>
      </c>
      <c r="O45" s="541"/>
      <c r="P45" s="557">
        <v>6.2E-2</v>
      </c>
      <c r="Q45" s="543"/>
      <c r="R45" s="543"/>
    </row>
    <row r="46" spans="1:80">
      <c r="D46" s="227">
        <v>0.64893605886478101</v>
      </c>
      <c r="E46" s="12" t="str">
        <f>IF(E48&gt;=$C$34,"RET","")</f>
        <v/>
      </c>
      <c r="F46" s="12" t="str">
        <f>IF(F48&gt;=$C$34,"RET","")</f>
        <v/>
      </c>
      <c r="G46" s="12" t="str">
        <f>IF(G48&gt;=$C$34,"RET","")</f>
        <v/>
      </c>
      <c r="H46" s="12" t="str">
        <f>IF(H48&gt;=$C$34,"RET","")</f>
        <v/>
      </c>
      <c r="I46" s="12" t="str">
        <f>IF(I48&gt;=$C$34,"RET","")</f>
        <v/>
      </c>
      <c r="J46" s="541" t="s">
        <v>545</v>
      </c>
      <c r="K46" s="1" t="s">
        <v>752</v>
      </c>
      <c r="L46" s="543" t="s">
        <v>753</v>
      </c>
      <c r="M46" s="541" t="s">
        <v>306</v>
      </c>
      <c r="N46" s="541"/>
      <c r="O46" s="541"/>
      <c r="P46" s="557">
        <f>Q42</f>
        <v>0</v>
      </c>
      <c r="Q46" s="543"/>
      <c r="R46" s="543"/>
      <c r="S46" s="12" t="str">
        <f t="shared" ref="S46:AX46" si="4">IF(S48&gt;=$C$34,"RET","")</f>
        <v/>
      </c>
      <c r="T46" s="12" t="str">
        <f t="shared" si="4"/>
        <v/>
      </c>
      <c r="U46" s="12" t="str">
        <f t="shared" si="4"/>
        <v/>
      </c>
      <c r="V46" s="12" t="str">
        <f t="shared" si="4"/>
        <v/>
      </c>
      <c r="W46" s="12" t="str">
        <f t="shared" si="4"/>
        <v/>
      </c>
      <c r="X46" s="12" t="str">
        <f t="shared" si="4"/>
        <v/>
      </c>
      <c r="Y46" s="12" t="str">
        <f t="shared" si="4"/>
        <v/>
      </c>
      <c r="Z46" s="12" t="str">
        <f t="shared" si="4"/>
        <v/>
      </c>
      <c r="AA46" s="12" t="str">
        <f t="shared" si="4"/>
        <v/>
      </c>
      <c r="AB46" s="12" t="str">
        <f t="shared" si="4"/>
        <v/>
      </c>
      <c r="AC46" s="12" t="str">
        <f t="shared" si="4"/>
        <v/>
      </c>
      <c r="AD46" s="12" t="str">
        <f t="shared" si="4"/>
        <v/>
      </c>
      <c r="AE46" s="12" t="str">
        <f t="shared" si="4"/>
        <v/>
      </c>
      <c r="AF46" s="12" t="str">
        <f t="shared" si="4"/>
        <v/>
      </c>
      <c r="AG46" s="12" t="str">
        <f t="shared" si="4"/>
        <v/>
      </c>
      <c r="AH46" s="12" t="str">
        <f t="shared" si="4"/>
        <v/>
      </c>
      <c r="AI46" s="12" t="str">
        <f t="shared" si="4"/>
        <v/>
      </c>
      <c r="AJ46" s="12" t="str">
        <f t="shared" si="4"/>
        <v/>
      </c>
      <c r="AK46" s="12" t="str">
        <f t="shared" si="4"/>
        <v/>
      </c>
      <c r="AL46" s="12" t="str">
        <f t="shared" si="4"/>
        <v/>
      </c>
      <c r="AM46" s="12" t="str">
        <f t="shared" si="4"/>
        <v/>
      </c>
      <c r="AN46" s="12" t="str">
        <f t="shared" si="4"/>
        <v/>
      </c>
      <c r="AO46" s="12" t="str">
        <f t="shared" si="4"/>
        <v/>
      </c>
      <c r="AP46" s="12" t="str">
        <f t="shared" si="4"/>
        <v/>
      </c>
      <c r="AQ46" s="12" t="str">
        <f t="shared" si="4"/>
        <v/>
      </c>
      <c r="AR46" s="12" t="str">
        <f t="shared" si="4"/>
        <v/>
      </c>
      <c r="AS46" s="12" t="str">
        <f t="shared" si="4"/>
        <v/>
      </c>
      <c r="AT46" s="12" t="str">
        <f t="shared" si="4"/>
        <v>RET</v>
      </c>
      <c r="AU46" s="12" t="str">
        <f t="shared" si="4"/>
        <v>RET</v>
      </c>
      <c r="AV46" s="12" t="str">
        <f t="shared" si="4"/>
        <v>RET</v>
      </c>
      <c r="AW46" s="12" t="str">
        <f t="shared" si="4"/>
        <v>RET</v>
      </c>
      <c r="AX46" s="12" t="str">
        <f t="shared" si="4"/>
        <v>RET</v>
      </c>
      <c r="AY46" s="12" t="str">
        <f t="shared" ref="AY46:CB46" si="5">IF(AY48&gt;=$C$34,"RET","")</f>
        <v>RET</v>
      </c>
      <c r="AZ46" s="12" t="str">
        <f t="shared" si="5"/>
        <v>RET</v>
      </c>
      <c r="BA46" s="12" t="str">
        <f t="shared" si="5"/>
        <v>RET</v>
      </c>
      <c r="BB46" s="12" t="str">
        <f t="shared" si="5"/>
        <v>RET</v>
      </c>
      <c r="BC46" s="12" t="str">
        <f t="shared" si="5"/>
        <v>RET</v>
      </c>
      <c r="BD46" s="12" t="str">
        <f t="shared" si="5"/>
        <v>RET</v>
      </c>
      <c r="BE46" s="12" t="str">
        <f t="shared" si="5"/>
        <v>RET</v>
      </c>
      <c r="BF46" s="12" t="str">
        <f t="shared" si="5"/>
        <v>RET</v>
      </c>
      <c r="BG46" s="12" t="str">
        <f t="shared" si="5"/>
        <v>RET</v>
      </c>
      <c r="BH46" s="12" t="str">
        <f t="shared" si="5"/>
        <v>RET</v>
      </c>
      <c r="BI46" s="12" t="str">
        <f t="shared" si="5"/>
        <v>RET</v>
      </c>
      <c r="BJ46" s="12" t="str">
        <f t="shared" si="5"/>
        <v>RET</v>
      </c>
      <c r="BK46" s="12" t="str">
        <f t="shared" si="5"/>
        <v>RET</v>
      </c>
      <c r="BL46" s="12" t="str">
        <f t="shared" si="5"/>
        <v>RET</v>
      </c>
      <c r="BM46" s="12" t="str">
        <f t="shared" si="5"/>
        <v>RET</v>
      </c>
      <c r="BN46" s="12" t="str">
        <f t="shared" si="5"/>
        <v>RET</v>
      </c>
      <c r="BO46" s="12" t="str">
        <f t="shared" si="5"/>
        <v>RET</v>
      </c>
      <c r="BP46" s="12" t="str">
        <f t="shared" si="5"/>
        <v>RET</v>
      </c>
      <c r="BQ46" s="12" t="str">
        <f t="shared" si="5"/>
        <v>RET</v>
      </c>
      <c r="BR46" s="12" t="str">
        <f t="shared" si="5"/>
        <v>RET</v>
      </c>
      <c r="BS46" s="12" t="str">
        <f t="shared" si="5"/>
        <v>RET</v>
      </c>
      <c r="BT46" s="12" t="str">
        <f t="shared" si="5"/>
        <v>RET</v>
      </c>
      <c r="BU46" s="12" t="str">
        <f t="shared" si="5"/>
        <v>RET</v>
      </c>
      <c r="BV46" s="12" t="str">
        <f t="shared" si="5"/>
        <v>RET</v>
      </c>
      <c r="BW46" s="12" t="str">
        <f t="shared" si="5"/>
        <v>RET</v>
      </c>
      <c r="BX46" s="12" t="str">
        <f t="shared" si="5"/>
        <v>RET</v>
      </c>
      <c r="BY46" s="12" t="str">
        <f t="shared" si="5"/>
        <v>RET</v>
      </c>
      <c r="BZ46" s="12" t="str">
        <f t="shared" si="5"/>
        <v>RET</v>
      </c>
      <c r="CA46" s="12" t="str">
        <f t="shared" si="5"/>
        <v>RET</v>
      </c>
      <c r="CB46" s="12" t="str">
        <f t="shared" si="5"/>
        <v>RET</v>
      </c>
    </row>
    <row r="47" spans="1:80">
      <c r="B47" s="1" t="s">
        <v>425</v>
      </c>
      <c r="D47" s="226">
        <v>0.4700556914934369</v>
      </c>
      <c r="E47" s="225">
        <v>1</v>
      </c>
      <c r="F47" s="225">
        <f t="shared" ref="F47:AK47" si="6">E47+1</f>
        <v>2</v>
      </c>
      <c r="G47" s="225">
        <f t="shared" si="6"/>
        <v>3</v>
      </c>
      <c r="H47" s="225">
        <f t="shared" si="6"/>
        <v>4</v>
      </c>
      <c r="I47" s="225">
        <f t="shared" si="6"/>
        <v>5</v>
      </c>
      <c r="J47" s="225">
        <f t="shared" si="6"/>
        <v>6</v>
      </c>
      <c r="K47" s="225">
        <f t="shared" si="6"/>
        <v>7</v>
      </c>
      <c r="L47" s="225">
        <f t="shared" si="6"/>
        <v>8</v>
      </c>
      <c r="M47" s="225">
        <f t="shared" si="6"/>
        <v>9</v>
      </c>
      <c r="N47" s="225">
        <f t="shared" si="6"/>
        <v>10</v>
      </c>
      <c r="O47" s="225">
        <f t="shared" si="6"/>
        <v>11</v>
      </c>
      <c r="P47" s="225">
        <f t="shared" si="6"/>
        <v>12</v>
      </c>
      <c r="Q47" s="225">
        <f t="shared" si="6"/>
        <v>13</v>
      </c>
      <c r="R47" s="225">
        <f t="shared" si="6"/>
        <v>14</v>
      </c>
      <c r="S47" s="225">
        <f t="shared" si="6"/>
        <v>15</v>
      </c>
      <c r="T47" s="225">
        <f t="shared" si="6"/>
        <v>16</v>
      </c>
      <c r="U47" s="225">
        <f t="shared" si="6"/>
        <v>17</v>
      </c>
      <c r="V47" s="225">
        <f t="shared" si="6"/>
        <v>18</v>
      </c>
      <c r="W47" s="225">
        <f t="shared" si="6"/>
        <v>19</v>
      </c>
      <c r="X47" s="225">
        <f t="shared" si="6"/>
        <v>20</v>
      </c>
      <c r="Y47" s="225">
        <f t="shared" si="6"/>
        <v>21</v>
      </c>
      <c r="Z47" s="225">
        <f t="shared" si="6"/>
        <v>22</v>
      </c>
      <c r="AA47" s="225">
        <f t="shared" si="6"/>
        <v>23</v>
      </c>
      <c r="AB47" s="225">
        <f t="shared" si="6"/>
        <v>24</v>
      </c>
      <c r="AC47" s="225">
        <f t="shared" si="6"/>
        <v>25</v>
      </c>
      <c r="AD47" s="225">
        <f t="shared" si="6"/>
        <v>26</v>
      </c>
      <c r="AE47" s="225">
        <f t="shared" si="6"/>
        <v>27</v>
      </c>
      <c r="AF47" s="225">
        <f t="shared" si="6"/>
        <v>28</v>
      </c>
      <c r="AG47" s="225">
        <f t="shared" si="6"/>
        <v>29</v>
      </c>
      <c r="AH47" s="225">
        <f t="shared" si="6"/>
        <v>30</v>
      </c>
      <c r="AI47" s="225">
        <f t="shared" si="6"/>
        <v>31</v>
      </c>
      <c r="AJ47" s="225">
        <f t="shared" si="6"/>
        <v>32</v>
      </c>
      <c r="AK47" s="225">
        <f t="shared" si="6"/>
        <v>33</v>
      </c>
      <c r="AL47" s="225">
        <f t="shared" ref="AL47:BQ47" si="7">AK47+1</f>
        <v>34</v>
      </c>
      <c r="AM47" s="225">
        <f t="shared" si="7"/>
        <v>35</v>
      </c>
      <c r="AN47" s="225">
        <f t="shared" si="7"/>
        <v>36</v>
      </c>
      <c r="AO47" s="225">
        <f t="shared" si="7"/>
        <v>37</v>
      </c>
      <c r="AP47" s="225">
        <f t="shared" si="7"/>
        <v>38</v>
      </c>
      <c r="AQ47" s="225">
        <f t="shared" si="7"/>
        <v>39</v>
      </c>
      <c r="AR47" s="225">
        <f t="shared" si="7"/>
        <v>40</v>
      </c>
      <c r="AS47" s="225">
        <f t="shared" si="7"/>
        <v>41</v>
      </c>
      <c r="AT47" s="225">
        <f t="shared" si="7"/>
        <v>42</v>
      </c>
      <c r="AU47" s="225">
        <f t="shared" si="7"/>
        <v>43</v>
      </c>
      <c r="AV47" s="225">
        <f t="shared" si="7"/>
        <v>44</v>
      </c>
      <c r="AW47" s="225">
        <f t="shared" si="7"/>
        <v>45</v>
      </c>
      <c r="AX47" s="225">
        <f t="shared" si="7"/>
        <v>46</v>
      </c>
      <c r="AY47" s="225">
        <f t="shared" si="7"/>
        <v>47</v>
      </c>
      <c r="AZ47" s="225">
        <f t="shared" si="7"/>
        <v>48</v>
      </c>
      <c r="BA47" s="225">
        <f t="shared" si="7"/>
        <v>49</v>
      </c>
      <c r="BB47" s="225">
        <f t="shared" si="7"/>
        <v>50</v>
      </c>
      <c r="BC47" s="225">
        <f t="shared" si="7"/>
        <v>51</v>
      </c>
      <c r="BD47" s="225">
        <f t="shared" si="7"/>
        <v>52</v>
      </c>
      <c r="BE47" s="225">
        <f t="shared" si="7"/>
        <v>53</v>
      </c>
      <c r="BF47" s="225">
        <f t="shared" si="7"/>
        <v>54</v>
      </c>
      <c r="BG47" s="225">
        <f t="shared" si="7"/>
        <v>55</v>
      </c>
      <c r="BH47" s="225">
        <f t="shared" si="7"/>
        <v>56</v>
      </c>
      <c r="BI47" s="225">
        <f t="shared" si="7"/>
        <v>57</v>
      </c>
      <c r="BJ47" s="225">
        <f t="shared" si="7"/>
        <v>58</v>
      </c>
      <c r="BK47" s="225">
        <f t="shared" si="7"/>
        <v>59</v>
      </c>
      <c r="BL47" s="225">
        <f t="shared" si="7"/>
        <v>60</v>
      </c>
      <c r="BM47" s="225">
        <f t="shared" si="7"/>
        <v>61</v>
      </c>
      <c r="BN47" s="225">
        <f t="shared" si="7"/>
        <v>62</v>
      </c>
      <c r="BO47" s="225">
        <f t="shared" si="7"/>
        <v>63</v>
      </c>
      <c r="BP47" s="225">
        <f t="shared" si="7"/>
        <v>64</v>
      </c>
      <c r="BQ47" s="225">
        <f t="shared" si="7"/>
        <v>65</v>
      </c>
      <c r="BR47" s="225">
        <f t="shared" ref="BR47:CB47" si="8">BQ47+1</f>
        <v>66</v>
      </c>
      <c r="BS47" s="225">
        <f t="shared" si="8"/>
        <v>67</v>
      </c>
      <c r="BT47" s="225">
        <f t="shared" si="8"/>
        <v>68</v>
      </c>
      <c r="BU47" s="225">
        <f t="shared" si="8"/>
        <v>69</v>
      </c>
      <c r="BV47" s="225">
        <f t="shared" si="8"/>
        <v>70</v>
      </c>
      <c r="BW47" s="225">
        <f t="shared" si="8"/>
        <v>71</v>
      </c>
      <c r="BX47" s="225">
        <f t="shared" si="8"/>
        <v>72</v>
      </c>
      <c r="BY47" s="225">
        <f t="shared" si="8"/>
        <v>73</v>
      </c>
      <c r="BZ47" s="225">
        <f t="shared" si="8"/>
        <v>74</v>
      </c>
      <c r="CA47" s="225">
        <f t="shared" si="8"/>
        <v>75</v>
      </c>
      <c r="CB47" s="225">
        <f t="shared" si="8"/>
        <v>76</v>
      </c>
    </row>
    <row r="48" spans="1:80">
      <c r="B48" s="136" t="s">
        <v>424</v>
      </c>
      <c r="C48" s="136" t="s">
        <v>423</v>
      </c>
      <c r="D48" s="224">
        <f>(D47-D46)/D46</f>
        <v>-0.27565176095202543</v>
      </c>
      <c r="E48" s="12">
        <f>C33</f>
        <v>14</v>
      </c>
      <c r="F48" s="12">
        <f>E48+1</f>
        <v>15</v>
      </c>
      <c r="G48" s="12">
        <f t="shared" ref="G48:AK48" si="9">F48+1</f>
        <v>16</v>
      </c>
      <c r="H48" s="12">
        <f t="shared" si="9"/>
        <v>17</v>
      </c>
      <c r="I48" s="12">
        <f t="shared" si="9"/>
        <v>18</v>
      </c>
      <c r="J48" s="12">
        <f t="shared" si="9"/>
        <v>19</v>
      </c>
      <c r="K48" s="12">
        <f t="shared" si="9"/>
        <v>20</v>
      </c>
      <c r="L48" s="12">
        <f t="shared" si="9"/>
        <v>21</v>
      </c>
      <c r="M48" s="12">
        <f t="shared" si="9"/>
        <v>22</v>
      </c>
      <c r="N48" s="12">
        <f t="shared" si="9"/>
        <v>23</v>
      </c>
      <c r="O48" s="12">
        <f t="shared" si="9"/>
        <v>24</v>
      </c>
      <c r="P48" s="12">
        <f t="shared" si="9"/>
        <v>25</v>
      </c>
      <c r="Q48" s="12">
        <f t="shared" si="9"/>
        <v>26</v>
      </c>
      <c r="R48" s="12">
        <f t="shared" si="9"/>
        <v>27</v>
      </c>
      <c r="S48" s="12">
        <f t="shared" si="9"/>
        <v>28</v>
      </c>
      <c r="T48" s="12">
        <f t="shared" si="9"/>
        <v>29</v>
      </c>
      <c r="U48" s="12">
        <f t="shared" si="9"/>
        <v>30</v>
      </c>
      <c r="V48" s="12">
        <f t="shared" si="9"/>
        <v>31</v>
      </c>
      <c r="W48" s="12">
        <f t="shared" si="9"/>
        <v>32</v>
      </c>
      <c r="X48" s="12">
        <f t="shared" si="9"/>
        <v>33</v>
      </c>
      <c r="Y48" s="12">
        <f t="shared" si="9"/>
        <v>34</v>
      </c>
      <c r="Z48" s="12">
        <f t="shared" si="9"/>
        <v>35</v>
      </c>
      <c r="AA48" s="12">
        <f t="shared" si="9"/>
        <v>36</v>
      </c>
      <c r="AB48" s="12">
        <f t="shared" si="9"/>
        <v>37</v>
      </c>
      <c r="AC48" s="12">
        <f t="shared" si="9"/>
        <v>38</v>
      </c>
      <c r="AD48" s="12">
        <f t="shared" si="9"/>
        <v>39</v>
      </c>
      <c r="AE48" s="12">
        <f t="shared" si="9"/>
        <v>40</v>
      </c>
      <c r="AF48" s="12">
        <f t="shared" si="9"/>
        <v>41</v>
      </c>
      <c r="AG48" s="12">
        <f t="shared" si="9"/>
        <v>42</v>
      </c>
      <c r="AH48" s="12">
        <f t="shared" si="9"/>
        <v>43</v>
      </c>
      <c r="AI48" s="12">
        <f t="shared" si="9"/>
        <v>44</v>
      </c>
      <c r="AJ48" s="12">
        <f t="shared" si="9"/>
        <v>45</v>
      </c>
      <c r="AK48" s="12">
        <f t="shared" si="9"/>
        <v>46</v>
      </c>
      <c r="AL48" s="12">
        <f t="shared" ref="AL48:BQ48" si="10">AK48+1</f>
        <v>47</v>
      </c>
      <c r="AM48" s="12">
        <f t="shared" si="10"/>
        <v>48</v>
      </c>
      <c r="AN48" s="12">
        <f t="shared" si="10"/>
        <v>49</v>
      </c>
      <c r="AO48" s="12">
        <f t="shared" si="10"/>
        <v>50</v>
      </c>
      <c r="AP48" s="12">
        <f t="shared" si="10"/>
        <v>51</v>
      </c>
      <c r="AQ48" s="12">
        <f t="shared" si="10"/>
        <v>52</v>
      </c>
      <c r="AR48" s="12">
        <f t="shared" si="10"/>
        <v>53</v>
      </c>
      <c r="AS48" s="12">
        <f t="shared" si="10"/>
        <v>54</v>
      </c>
      <c r="AT48" s="12">
        <f t="shared" si="10"/>
        <v>55</v>
      </c>
      <c r="AU48" s="12">
        <f t="shared" si="10"/>
        <v>56</v>
      </c>
      <c r="AV48" s="12">
        <f t="shared" si="10"/>
        <v>57</v>
      </c>
      <c r="AW48" s="12">
        <f t="shared" si="10"/>
        <v>58</v>
      </c>
      <c r="AX48" s="12">
        <f t="shared" si="10"/>
        <v>59</v>
      </c>
      <c r="AY48" s="12">
        <f t="shared" si="10"/>
        <v>60</v>
      </c>
      <c r="AZ48" s="12">
        <f t="shared" si="10"/>
        <v>61</v>
      </c>
      <c r="BA48" s="12">
        <f t="shared" si="10"/>
        <v>62</v>
      </c>
      <c r="BB48" s="12">
        <f t="shared" si="10"/>
        <v>63</v>
      </c>
      <c r="BC48" s="12">
        <f t="shared" si="10"/>
        <v>64</v>
      </c>
      <c r="BD48" s="12">
        <f t="shared" si="10"/>
        <v>65</v>
      </c>
      <c r="BE48" s="12">
        <f t="shared" si="10"/>
        <v>66</v>
      </c>
      <c r="BF48" s="12">
        <f t="shared" si="10"/>
        <v>67</v>
      </c>
      <c r="BG48" s="12">
        <f t="shared" si="10"/>
        <v>68</v>
      </c>
      <c r="BH48" s="12">
        <f t="shared" si="10"/>
        <v>69</v>
      </c>
      <c r="BI48" s="12">
        <f t="shared" si="10"/>
        <v>70</v>
      </c>
      <c r="BJ48" s="12">
        <f t="shared" si="10"/>
        <v>71</v>
      </c>
      <c r="BK48" s="12">
        <f t="shared" si="10"/>
        <v>72</v>
      </c>
      <c r="BL48" s="12">
        <f t="shared" si="10"/>
        <v>73</v>
      </c>
      <c r="BM48" s="12">
        <f t="shared" si="10"/>
        <v>74</v>
      </c>
      <c r="BN48" s="12">
        <f t="shared" si="10"/>
        <v>75</v>
      </c>
      <c r="BO48" s="12">
        <f t="shared" si="10"/>
        <v>76</v>
      </c>
      <c r="BP48" s="12">
        <f t="shared" si="10"/>
        <v>77</v>
      </c>
      <c r="BQ48" s="12">
        <f t="shared" si="10"/>
        <v>78</v>
      </c>
      <c r="BR48" s="12">
        <f t="shared" ref="BR48:CB48" si="11">BQ48+1</f>
        <v>79</v>
      </c>
      <c r="BS48" s="12">
        <f t="shared" si="11"/>
        <v>80</v>
      </c>
      <c r="BT48" s="12">
        <f t="shared" si="11"/>
        <v>81</v>
      </c>
      <c r="BU48" s="12">
        <f t="shared" si="11"/>
        <v>82</v>
      </c>
      <c r="BV48" s="12">
        <f t="shared" si="11"/>
        <v>83</v>
      </c>
      <c r="BW48" s="12">
        <f t="shared" si="11"/>
        <v>84</v>
      </c>
      <c r="BX48" s="12">
        <f t="shared" si="11"/>
        <v>85</v>
      </c>
      <c r="BY48" s="12">
        <f t="shared" si="11"/>
        <v>86</v>
      </c>
      <c r="BZ48" s="12">
        <f t="shared" si="11"/>
        <v>87</v>
      </c>
      <c r="CA48" s="12">
        <f t="shared" si="11"/>
        <v>88</v>
      </c>
      <c r="CB48" s="12">
        <f t="shared" si="11"/>
        <v>89</v>
      </c>
    </row>
    <row r="49" spans="2:80">
      <c r="B49" s="136" t="s">
        <v>422</v>
      </c>
      <c r="C49" s="136"/>
      <c r="D49" s="136"/>
      <c r="E49" s="223">
        <f>IF(E48&lt;$C$34,(1/$B$41)+(1/$B$41)*(1-EXP(-(E47-1)/$C$43)),0)</f>
        <v>0.49658530379140958</v>
      </c>
      <c r="F49" s="223">
        <f t="shared" ref="F49:AJ49" si="12">IF(F48&lt;$C$34,(1/$B$41)+(1/$B$41)*(1-EXP(-(F47-1)/$C$43)),0)</f>
        <v>0.59142358867624178</v>
      </c>
      <c r="G49" s="223">
        <f t="shared" si="12"/>
        <v>0.66814957702062983</v>
      </c>
      <c r="H49" s="223">
        <f t="shared" si="12"/>
        <v>0.7302223706669082</v>
      </c>
      <c r="I49" s="223">
        <f t="shared" si="12"/>
        <v>0.78044044923709188</v>
      </c>
      <c r="J49" s="223">
        <f t="shared" si="12"/>
        <v>0.82106783632799551</v>
      </c>
      <c r="K49" s="223">
        <f t="shared" si="12"/>
        <v>0.85393617037879554</v>
      </c>
      <c r="L49" s="223">
        <f t="shared" si="12"/>
        <v>0.88052728195724272</v>
      </c>
      <c r="M49" s="223">
        <f t="shared" si="12"/>
        <v>0.90204000036531851</v>
      </c>
      <c r="N49" s="223">
        <f t="shared" si="12"/>
        <v>0.91944420146235983</v>
      </c>
      <c r="O49" s="223">
        <f t="shared" si="12"/>
        <v>0.9335245333888238</v>
      </c>
      <c r="P49" s="223">
        <f t="shared" si="12"/>
        <v>0.94491579151403016</v>
      </c>
      <c r="Q49" s="223">
        <f t="shared" si="12"/>
        <v>0.95413153744621204</v>
      </c>
      <c r="R49" s="223">
        <f t="shared" si="12"/>
        <v>0.96158725235961529</v>
      </c>
      <c r="S49" s="223">
        <f t="shared" si="12"/>
        <v>0.9676190684794399</v>
      </c>
      <c r="T49" s="223">
        <f t="shared" si="12"/>
        <v>0.97249892321181064</v>
      </c>
      <c r="U49" s="223">
        <f t="shared" si="12"/>
        <v>0.97644681912507858</v>
      </c>
      <c r="V49" s="223">
        <f t="shared" si="12"/>
        <v>0.97964074250943844</v>
      </c>
      <c r="W49" s="223">
        <f t="shared" si="12"/>
        <v>0.98222468768156879</v>
      </c>
      <c r="X49" s="223">
        <f t="shared" si="12"/>
        <v>0.9843151488007269</v>
      </c>
      <c r="Y49" s="223">
        <f t="shared" si="12"/>
        <v>0.98600637187227136</v>
      </c>
      <c r="Z49" s="223">
        <f t="shared" si="12"/>
        <v>0.98737460371906893</v>
      </c>
      <c r="AA49" s="223">
        <f t="shared" si="12"/>
        <v>0.98848152948071988</v>
      </c>
      <c r="AB49" s="223">
        <f t="shared" si="12"/>
        <v>0.98937705361624861</v>
      </c>
      <c r="AC49" s="223">
        <f t="shared" si="12"/>
        <v>0.99010154978852905</v>
      </c>
      <c r="AD49" s="223">
        <f t="shared" si="12"/>
        <v>0.99068768106386207</v>
      </c>
      <c r="AE49" s="223">
        <f t="shared" si="12"/>
        <v>0.99116187248828624</v>
      </c>
      <c r="AF49" s="223">
        <f t="shared" si="12"/>
        <v>0.99154550243000816</v>
      </c>
      <c r="AG49" s="223">
        <f t="shared" si="12"/>
        <v>0.99185586639823964</v>
      </c>
      <c r="AH49" s="223">
        <f t="shared" si="12"/>
        <v>0.99210695679109051</v>
      </c>
      <c r="AI49" s="223">
        <f t="shared" si="12"/>
        <v>0.992310093726545</v>
      </c>
      <c r="AJ49" s="223">
        <f t="shared" si="12"/>
        <v>0.99247443539679903</v>
      </c>
      <c r="AK49" s="223">
        <f t="shared" ref="AK49:BP49" si="13">IF(AK48&lt;$C$34,(1/$B$41)+(1/$B$41)*(1-EXP(-(AK47-1)/$C$43)),0)</f>
        <v>0.9926073909546913</v>
      </c>
      <c r="AL49" s="223">
        <f t="shared" si="13"/>
        <v>0.99271495454673164</v>
      </c>
      <c r="AM49" s="223">
        <f t="shared" si="13"/>
        <v>0.99280197555221683</v>
      </c>
      <c r="AN49" s="223">
        <f t="shared" si="13"/>
        <v>0.99287237721184929</v>
      </c>
      <c r="AO49" s="223">
        <f t="shared" si="13"/>
        <v>0.99292933350247514</v>
      </c>
      <c r="AP49" s="223">
        <f t="shared" si="13"/>
        <v>0.99297541223213615</v>
      </c>
      <c r="AQ49" s="223">
        <f t="shared" si="13"/>
        <v>0.99301269080670318</v>
      </c>
      <c r="AR49" s="223">
        <f t="shared" si="13"/>
        <v>0.99304284988730229</v>
      </c>
      <c r="AS49" s="223">
        <f t="shared" si="13"/>
        <v>0.99306724916096412</v>
      </c>
      <c r="AT49" s="223">
        <f t="shared" si="13"/>
        <v>0</v>
      </c>
      <c r="AU49" s="223">
        <f t="shared" si="13"/>
        <v>0</v>
      </c>
      <c r="AV49" s="223">
        <f t="shared" si="13"/>
        <v>0</v>
      </c>
      <c r="AW49" s="223">
        <f t="shared" si="13"/>
        <v>0</v>
      </c>
      <c r="AX49" s="223">
        <f t="shared" si="13"/>
        <v>0</v>
      </c>
      <c r="AY49" s="223">
        <f t="shared" si="13"/>
        <v>0</v>
      </c>
      <c r="AZ49" s="223">
        <f t="shared" si="13"/>
        <v>0</v>
      </c>
      <c r="BA49" s="223">
        <f t="shared" si="13"/>
        <v>0</v>
      </c>
      <c r="BB49" s="223">
        <f t="shared" si="13"/>
        <v>0</v>
      </c>
      <c r="BC49" s="223">
        <f t="shared" si="13"/>
        <v>0</v>
      </c>
      <c r="BD49" s="223">
        <f t="shared" si="13"/>
        <v>0</v>
      </c>
      <c r="BE49" s="223">
        <f t="shared" si="13"/>
        <v>0</v>
      </c>
      <c r="BF49" s="223">
        <f t="shared" si="13"/>
        <v>0</v>
      </c>
      <c r="BG49" s="223">
        <f t="shared" si="13"/>
        <v>0</v>
      </c>
      <c r="BH49" s="223">
        <f t="shared" si="13"/>
        <v>0</v>
      </c>
      <c r="BI49" s="223">
        <f t="shared" si="13"/>
        <v>0</v>
      </c>
      <c r="BJ49" s="223">
        <f t="shared" si="13"/>
        <v>0</v>
      </c>
      <c r="BK49" s="223">
        <f t="shared" si="13"/>
        <v>0</v>
      </c>
      <c r="BL49" s="223">
        <f t="shared" si="13"/>
        <v>0</v>
      </c>
      <c r="BM49" s="223">
        <f t="shared" si="13"/>
        <v>0</v>
      </c>
      <c r="BN49" s="223">
        <f t="shared" si="13"/>
        <v>0</v>
      </c>
      <c r="BO49" s="223">
        <f t="shared" si="13"/>
        <v>0</v>
      </c>
      <c r="BP49" s="223">
        <f t="shared" si="13"/>
        <v>0</v>
      </c>
      <c r="BQ49" s="223">
        <f t="shared" ref="BQ49:CB49" si="14">IF(BQ48&lt;$C$34,(1/$B$41)+(1/$B$41)*(1-EXP(-(BQ47-1)/$C$43)),0)</f>
        <v>0</v>
      </c>
      <c r="BR49" s="223">
        <f t="shared" si="14"/>
        <v>0</v>
      </c>
      <c r="BS49" s="223">
        <f t="shared" si="14"/>
        <v>0</v>
      </c>
      <c r="BT49" s="223">
        <f t="shared" si="14"/>
        <v>0</v>
      </c>
      <c r="BU49" s="223">
        <f t="shared" si="14"/>
        <v>0</v>
      </c>
      <c r="BV49" s="223">
        <f t="shared" si="14"/>
        <v>0</v>
      </c>
      <c r="BW49" s="223">
        <f t="shared" si="14"/>
        <v>0</v>
      </c>
      <c r="BX49" s="223">
        <f t="shared" si="14"/>
        <v>0</v>
      </c>
      <c r="BY49" s="223">
        <f t="shared" si="14"/>
        <v>0</v>
      </c>
      <c r="BZ49" s="223">
        <f t="shared" si="14"/>
        <v>0</v>
      </c>
      <c r="CA49" s="223">
        <f t="shared" si="14"/>
        <v>0</v>
      </c>
      <c r="CB49" s="223">
        <f t="shared" si="14"/>
        <v>0</v>
      </c>
    </row>
    <row r="50" spans="2:80">
      <c r="B50" s="136"/>
      <c r="AC50" s="103"/>
    </row>
    <row r="51" spans="2:80">
      <c r="B51" s="1" t="s">
        <v>421</v>
      </c>
      <c r="D51" s="222">
        <f>C92*C45</f>
        <v>0.47069427380338652</v>
      </c>
      <c r="E51" s="1" t="s">
        <v>1343</v>
      </c>
      <c r="F51" s="4"/>
      <c r="AC51" s="103"/>
    </row>
    <row r="52" spans="2:80" s="914" customFormat="1">
      <c r="B52" s="136"/>
      <c r="D52" s="10"/>
      <c r="F52" s="4"/>
      <c r="AC52" s="103"/>
    </row>
    <row r="53" spans="2:80" s="914" customFormat="1">
      <c r="B53" s="914" t="s">
        <v>1499</v>
      </c>
      <c r="C53" s="75"/>
      <c r="D53" s="10"/>
      <c r="F53" s="4"/>
      <c r="AC53" s="103"/>
    </row>
    <row r="54" spans="2:80" s="914" customFormat="1">
      <c r="B54" s="914" t="s">
        <v>1476</v>
      </c>
      <c r="C54" s="9"/>
      <c r="D54" s="10"/>
      <c r="F54" s="4"/>
      <c r="AC54" s="103"/>
    </row>
    <row r="55" spans="2:80" s="914" customFormat="1">
      <c r="B55" s="914" t="s">
        <v>1477</v>
      </c>
      <c r="C55" s="1"/>
      <c r="D55" s="1011"/>
      <c r="AC55" s="103"/>
    </row>
    <row r="56" spans="2:80" s="914" customFormat="1">
      <c r="B56" s="136"/>
      <c r="D56" s="1011"/>
      <c r="AC56" s="103"/>
    </row>
    <row r="57" spans="2:80" s="914" customFormat="1">
      <c r="B57" s="914" t="s">
        <v>1472</v>
      </c>
      <c r="AC57" s="103"/>
    </row>
    <row r="58" spans="2:80" s="914" customFormat="1">
      <c r="B58" s="914" t="s">
        <v>1473</v>
      </c>
      <c r="AC58" s="103"/>
    </row>
    <row r="59" spans="2:80" s="914" customFormat="1">
      <c r="B59" s="914">
        <v>0.48299999999999998</v>
      </c>
      <c r="AC59" s="103"/>
    </row>
    <row r="60" spans="2:80" s="914" customFormat="1">
      <c r="B60" s="914" t="s">
        <v>1474</v>
      </c>
      <c r="AC60" s="103"/>
    </row>
    <row r="61" spans="2:80" s="914" customFormat="1">
      <c r="B61" s="914">
        <v>0.372</v>
      </c>
      <c r="AC61" s="103"/>
    </row>
    <row r="62" spans="2:80" s="914" customFormat="1">
      <c r="B62" s="914" t="s">
        <v>1475</v>
      </c>
      <c r="AC62" s="103"/>
    </row>
    <row r="63" spans="2:80" s="914" customFormat="1">
      <c r="B63" s="914">
        <v>2.2890000000000001</v>
      </c>
      <c r="AC63" s="103"/>
    </row>
    <row r="64" spans="2:80" s="914" customFormat="1">
      <c r="AC64" s="103"/>
    </row>
    <row r="65" spans="2:29" s="914" customFormat="1">
      <c r="B65" s="914" t="s">
        <v>1478</v>
      </c>
      <c r="AC65" s="103"/>
    </row>
    <row r="66" spans="2:29" s="914" customFormat="1">
      <c r="B66" s="914" t="s">
        <v>1479</v>
      </c>
      <c r="AC66" s="103"/>
    </row>
    <row r="67" spans="2:29" s="914" customFormat="1">
      <c r="AC67" s="103"/>
    </row>
    <row r="68" spans="2:29" s="914" customFormat="1">
      <c r="AC68" s="103"/>
    </row>
    <row r="69" spans="2:29" s="914" customFormat="1">
      <c r="AC69" s="103"/>
    </row>
    <row r="70" spans="2:29" s="914" customFormat="1">
      <c r="AC70" s="103"/>
    </row>
    <row r="71" spans="2:29" s="914" customFormat="1">
      <c r="B71" s="914" t="s">
        <v>1480</v>
      </c>
      <c r="AC71" s="103"/>
    </row>
    <row r="72" spans="2:29" s="914" customFormat="1">
      <c r="AC72" s="103"/>
    </row>
    <row r="73" spans="2:29" s="914" customFormat="1">
      <c r="B73" s="914" t="s">
        <v>1481</v>
      </c>
      <c r="C73" s="914" t="s">
        <v>1482</v>
      </c>
      <c r="AC73" s="103"/>
    </row>
    <row r="74" spans="2:29" s="914" customFormat="1">
      <c r="B74" s="914" t="s">
        <v>1483</v>
      </c>
      <c r="C74" s="914" t="s">
        <v>1484</v>
      </c>
      <c r="D74" s="914">
        <v>0.48299999999999998</v>
      </c>
      <c r="AC74" s="103"/>
    </row>
    <row r="75" spans="2:29" s="914" customFormat="1">
      <c r="B75" s="914" t="s">
        <v>1485</v>
      </c>
      <c r="C75" s="914" t="s">
        <v>1486</v>
      </c>
      <c r="D75" s="914">
        <v>0.372</v>
      </c>
      <c r="AC75" s="103"/>
    </row>
    <row r="76" spans="2:29" s="914" customFormat="1">
      <c r="B76" s="914" t="s">
        <v>1487</v>
      </c>
      <c r="C76" s="914" t="s">
        <v>1488</v>
      </c>
      <c r="D76" s="914">
        <v>2.2890000000000001</v>
      </c>
      <c r="AC76" s="103"/>
    </row>
    <row r="77" spans="2:29" s="914" customFormat="1">
      <c r="B77" s="914" t="s">
        <v>1489</v>
      </c>
      <c r="AC77" s="103"/>
    </row>
    <row r="78" spans="2:29" s="914" customFormat="1">
      <c r="AC78" s="103"/>
    </row>
    <row r="79" spans="2:29" s="914" customFormat="1">
      <c r="AC79" s="103"/>
    </row>
    <row r="80" spans="2:29" s="914" customFormat="1">
      <c r="B80" s="914" t="s">
        <v>1490</v>
      </c>
      <c r="AC80" s="103"/>
    </row>
    <row r="81" spans="2:85" s="914" customFormat="1">
      <c r="AC81" s="103"/>
    </row>
    <row r="82" spans="2:85" s="914" customFormat="1">
      <c r="B82" s="914" t="s">
        <v>1491</v>
      </c>
      <c r="C82" s="914">
        <f>((1+SUM(D74:D75)*(D76-1))^2+4*D76*(1-D76)*D74*D75)^(1/2)</f>
        <v>1.5159987283111422</v>
      </c>
      <c r="AC82" s="103"/>
    </row>
    <row r="83" spans="2:85" s="914" customFormat="1">
      <c r="B83" s="914" t="s">
        <v>1492</v>
      </c>
      <c r="C83" s="914">
        <f>(1+SUM(D74:D75)*(D76-1)-C82)/(2*(D76-1))</f>
        <v>0.22734533424703568</v>
      </c>
      <c r="AC83" s="103"/>
    </row>
    <row r="84" spans="2:85" s="914" customFormat="1">
      <c r="AC84" s="103"/>
    </row>
    <row r="85" spans="2:85" s="914" customFormat="1">
      <c r="B85" s="914" t="s">
        <v>1493</v>
      </c>
      <c r="AC85" s="103"/>
    </row>
    <row r="86" spans="2:85" s="914" customFormat="1">
      <c r="C86" s="914" t="s">
        <v>1494</v>
      </c>
      <c r="D86" s="914" t="s">
        <v>1495</v>
      </c>
      <c r="AC86" s="103"/>
    </row>
    <row r="87" spans="2:85" s="914" customFormat="1">
      <c r="B87" s="914" t="s">
        <v>1496</v>
      </c>
      <c r="C87" s="914">
        <f>C83</f>
        <v>0.22734533424703568</v>
      </c>
      <c r="D87" s="914">
        <f>D74-C87</f>
        <v>0.25565466575296431</v>
      </c>
      <c r="AC87" s="103"/>
    </row>
    <row r="88" spans="2:85" s="914" customFormat="1">
      <c r="B88" s="914" t="s">
        <v>1497</v>
      </c>
      <c r="C88" s="914">
        <f>D75-C87</f>
        <v>0.14465466575296432</v>
      </c>
      <c r="D88" s="914">
        <f>(1-D74)-C88</f>
        <v>0.3723453342470357</v>
      </c>
      <c r="AC88" s="103"/>
    </row>
    <row r="89" spans="2:85" s="914" customFormat="1">
      <c r="AC89" s="103"/>
    </row>
    <row r="90" spans="2:85" s="914" customFormat="1">
      <c r="B90" s="914" t="s">
        <v>1498</v>
      </c>
      <c r="AC90" s="103"/>
    </row>
    <row r="91" spans="2:85" s="914" customFormat="1">
      <c r="C91" s="914" t="s">
        <v>1494</v>
      </c>
      <c r="D91" s="914" t="s">
        <v>1495</v>
      </c>
      <c r="AC91" s="103"/>
    </row>
    <row r="92" spans="2:85" s="914" customFormat="1">
      <c r="B92" s="914" t="s">
        <v>1496</v>
      </c>
      <c r="C92" s="914">
        <f>C87/(C87+D87)</f>
        <v>0.47069427380338652</v>
      </c>
      <c r="AC92" s="103"/>
    </row>
    <row r="93" spans="2:85" s="914" customFormat="1">
      <c r="B93" s="914" t="s">
        <v>1497</v>
      </c>
      <c r="C93" s="914">
        <f>C88/(C88+D88)</f>
        <v>0.27979625870979558</v>
      </c>
      <c r="AC93" s="103"/>
    </row>
    <row r="94" spans="2:85" s="914" customFormat="1">
      <c r="B94" s="136"/>
      <c r="D94" s="1011"/>
      <c r="AC94" s="103"/>
    </row>
    <row r="95" spans="2:85">
      <c r="B95" s="136"/>
      <c r="E95" s="221"/>
      <c r="F95" s="221"/>
      <c r="G95" s="221" t="s">
        <v>420</v>
      </c>
      <c r="H95" s="220"/>
      <c r="I95" s="219"/>
      <c r="J95" s="218"/>
      <c r="K95" s="218"/>
      <c r="L95" s="218"/>
      <c r="M95" s="218"/>
      <c r="N95" s="218"/>
      <c r="O95" s="218"/>
      <c r="P95" s="218"/>
      <c r="Q95" s="218"/>
      <c r="R95" s="218"/>
      <c r="S95" s="218"/>
      <c r="T95" s="218"/>
      <c r="U95" s="218"/>
      <c r="V95" s="218"/>
      <c r="W95" s="218"/>
      <c r="X95" s="218"/>
      <c r="Y95" s="217"/>
    </row>
    <row r="96" spans="2:85">
      <c r="B96" s="205" t="s">
        <v>1358</v>
      </c>
      <c r="C96" s="713">
        <f>D51-C93</f>
        <v>0.19089801509359094</v>
      </c>
      <c r="D96" s="216" t="s">
        <v>419</v>
      </c>
      <c r="E96" s="215">
        <v>2012</v>
      </c>
      <c r="F96" s="215">
        <f t="shared" ref="F96:AK96" si="15">E96+1</f>
        <v>2013</v>
      </c>
      <c r="G96" s="215">
        <f t="shared" si="15"/>
        <v>2014</v>
      </c>
      <c r="H96" s="215">
        <f t="shared" si="15"/>
        <v>2015</v>
      </c>
      <c r="I96" s="215">
        <f t="shared" si="15"/>
        <v>2016</v>
      </c>
      <c r="J96" s="215">
        <f t="shared" si="15"/>
        <v>2017</v>
      </c>
      <c r="K96" s="215">
        <f t="shared" si="15"/>
        <v>2018</v>
      </c>
      <c r="L96" s="215">
        <f t="shared" si="15"/>
        <v>2019</v>
      </c>
      <c r="M96" s="215">
        <f t="shared" si="15"/>
        <v>2020</v>
      </c>
      <c r="N96" s="215">
        <f t="shared" si="15"/>
        <v>2021</v>
      </c>
      <c r="O96" s="215">
        <f t="shared" si="15"/>
        <v>2022</v>
      </c>
      <c r="P96" s="215">
        <f t="shared" si="15"/>
        <v>2023</v>
      </c>
      <c r="Q96" s="215">
        <f t="shared" si="15"/>
        <v>2024</v>
      </c>
      <c r="R96" s="215">
        <f t="shared" si="15"/>
        <v>2025</v>
      </c>
      <c r="S96" s="215">
        <f t="shared" si="15"/>
        <v>2026</v>
      </c>
      <c r="T96" s="215">
        <f t="shared" si="15"/>
        <v>2027</v>
      </c>
      <c r="U96" s="215">
        <f t="shared" si="15"/>
        <v>2028</v>
      </c>
      <c r="V96" s="215">
        <f t="shared" si="15"/>
        <v>2029</v>
      </c>
      <c r="W96" s="215">
        <f t="shared" si="15"/>
        <v>2030</v>
      </c>
      <c r="X96" s="215">
        <f t="shared" si="15"/>
        <v>2031</v>
      </c>
      <c r="Y96" s="215">
        <f t="shared" si="15"/>
        <v>2032</v>
      </c>
      <c r="Z96" s="215">
        <f t="shared" si="15"/>
        <v>2033</v>
      </c>
      <c r="AA96" s="215">
        <f t="shared" si="15"/>
        <v>2034</v>
      </c>
      <c r="AB96" s="215">
        <f t="shared" si="15"/>
        <v>2035</v>
      </c>
      <c r="AC96" s="215">
        <f t="shared" si="15"/>
        <v>2036</v>
      </c>
      <c r="AD96" s="215">
        <f t="shared" si="15"/>
        <v>2037</v>
      </c>
      <c r="AE96" s="215">
        <f t="shared" si="15"/>
        <v>2038</v>
      </c>
      <c r="AF96" s="215">
        <f t="shared" si="15"/>
        <v>2039</v>
      </c>
      <c r="AG96" s="215">
        <f t="shared" si="15"/>
        <v>2040</v>
      </c>
      <c r="AH96" s="215">
        <f t="shared" si="15"/>
        <v>2041</v>
      </c>
      <c r="AI96" s="215">
        <f t="shared" si="15"/>
        <v>2042</v>
      </c>
      <c r="AJ96" s="215">
        <f t="shared" si="15"/>
        <v>2043</v>
      </c>
      <c r="AK96" s="215">
        <f t="shared" si="15"/>
        <v>2044</v>
      </c>
      <c r="AL96" s="215">
        <f t="shared" ref="AL96:BQ96" si="16">AK96+1</f>
        <v>2045</v>
      </c>
      <c r="AM96" s="215">
        <f t="shared" si="16"/>
        <v>2046</v>
      </c>
      <c r="AN96" s="215">
        <f t="shared" si="16"/>
        <v>2047</v>
      </c>
      <c r="AO96" s="215">
        <f t="shared" si="16"/>
        <v>2048</v>
      </c>
      <c r="AP96" s="215">
        <f t="shared" si="16"/>
        <v>2049</v>
      </c>
      <c r="AQ96" s="215">
        <f t="shared" si="16"/>
        <v>2050</v>
      </c>
      <c r="AR96" s="215">
        <f t="shared" si="16"/>
        <v>2051</v>
      </c>
      <c r="AS96" s="215">
        <f t="shared" si="16"/>
        <v>2052</v>
      </c>
      <c r="AT96" s="215">
        <f t="shared" si="16"/>
        <v>2053</v>
      </c>
      <c r="AU96" s="215">
        <f t="shared" si="16"/>
        <v>2054</v>
      </c>
      <c r="AV96" s="215">
        <f t="shared" si="16"/>
        <v>2055</v>
      </c>
      <c r="AW96" s="215">
        <f t="shared" si="16"/>
        <v>2056</v>
      </c>
      <c r="AX96" s="215">
        <f t="shared" si="16"/>
        <v>2057</v>
      </c>
      <c r="AY96" s="215">
        <f t="shared" si="16"/>
        <v>2058</v>
      </c>
      <c r="AZ96" s="215">
        <f t="shared" si="16"/>
        <v>2059</v>
      </c>
      <c r="BA96" s="215">
        <f t="shared" si="16"/>
        <v>2060</v>
      </c>
      <c r="BB96" s="215">
        <f t="shared" si="16"/>
        <v>2061</v>
      </c>
      <c r="BC96" s="215">
        <f t="shared" si="16"/>
        <v>2062</v>
      </c>
      <c r="BD96" s="215">
        <f t="shared" si="16"/>
        <v>2063</v>
      </c>
      <c r="BE96" s="215">
        <f t="shared" si="16"/>
        <v>2064</v>
      </c>
      <c r="BF96" s="215">
        <f t="shared" si="16"/>
        <v>2065</v>
      </c>
      <c r="BG96" s="215">
        <f t="shared" si="16"/>
        <v>2066</v>
      </c>
      <c r="BH96" s="215">
        <f t="shared" si="16"/>
        <v>2067</v>
      </c>
      <c r="BI96" s="215">
        <f t="shared" si="16"/>
        <v>2068</v>
      </c>
      <c r="BJ96" s="215">
        <f t="shared" si="16"/>
        <v>2069</v>
      </c>
      <c r="BK96" s="215">
        <f t="shared" si="16"/>
        <v>2070</v>
      </c>
      <c r="BL96" s="215">
        <f t="shared" si="16"/>
        <v>2071</v>
      </c>
      <c r="BM96" s="215">
        <f t="shared" si="16"/>
        <v>2072</v>
      </c>
      <c r="BN96" s="215">
        <f t="shared" si="16"/>
        <v>2073</v>
      </c>
      <c r="BO96" s="215">
        <f t="shared" si="16"/>
        <v>2074</v>
      </c>
      <c r="BP96" s="215">
        <f t="shared" si="16"/>
        <v>2075</v>
      </c>
      <c r="BQ96" s="215">
        <f t="shared" si="16"/>
        <v>2076</v>
      </c>
      <c r="BR96" s="215">
        <f t="shared" ref="BR96:CB96" si="17">BQ96+1</f>
        <v>2077</v>
      </c>
      <c r="BS96" s="215">
        <f t="shared" si="17"/>
        <v>2078</v>
      </c>
      <c r="BT96" s="215">
        <f t="shared" si="17"/>
        <v>2079</v>
      </c>
      <c r="BU96" s="215">
        <f t="shared" si="17"/>
        <v>2080</v>
      </c>
      <c r="BV96" s="215">
        <f t="shared" si="17"/>
        <v>2081</v>
      </c>
      <c r="BW96" s="215">
        <f t="shared" si="17"/>
        <v>2082</v>
      </c>
      <c r="BX96" s="215">
        <f t="shared" si="17"/>
        <v>2083</v>
      </c>
      <c r="BY96" s="215">
        <f t="shared" si="17"/>
        <v>2084</v>
      </c>
      <c r="BZ96" s="215">
        <f t="shared" si="17"/>
        <v>2085</v>
      </c>
      <c r="CA96" s="215">
        <f t="shared" si="17"/>
        <v>2086</v>
      </c>
      <c r="CB96" s="215">
        <f t="shared" si="17"/>
        <v>2087</v>
      </c>
      <c r="CC96" s="204"/>
      <c r="CD96" s="204"/>
      <c r="CE96" s="204"/>
      <c r="CF96" s="204"/>
      <c r="CG96" s="204"/>
    </row>
    <row r="97" spans="2:85" ht="15" customHeight="1">
      <c r="D97" s="12"/>
      <c r="E97" s="214">
        <v>0</v>
      </c>
      <c r="F97" s="214">
        <f t="shared" ref="F97:AK97" si="18">E97+1</f>
        <v>1</v>
      </c>
      <c r="G97" s="214">
        <f t="shared" si="18"/>
        <v>2</v>
      </c>
      <c r="H97" s="214">
        <f t="shared" si="18"/>
        <v>3</v>
      </c>
      <c r="I97" s="214">
        <f t="shared" si="18"/>
        <v>4</v>
      </c>
      <c r="J97" s="214">
        <f t="shared" si="18"/>
        <v>5</v>
      </c>
      <c r="K97" s="214">
        <f t="shared" si="18"/>
        <v>6</v>
      </c>
      <c r="L97" s="214">
        <f t="shared" si="18"/>
        <v>7</v>
      </c>
      <c r="M97" s="214">
        <f t="shared" si="18"/>
        <v>8</v>
      </c>
      <c r="N97" s="214">
        <f t="shared" si="18"/>
        <v>9</v>
      </c>
      <c r="O97" s="214">
        <f t="shared" si="18"/>
        <v>10</v>
      </c>
      <c r="P97" s="214">
        <f t="shared" si="18"/>
        <v>11</v>
      </c>
      <c r="Q97" s="214">
        <f t="shared" si="18"/>
        <v>12</v>
      </c>
      <c r="R97" s="214">
        <f t="shared" si="18"/>
        <v>13</v>
      </c>
      <c r="S97" s="214">
        <f t="shared" si="18"/>
        <v>14</v>
      </c>
      <c r="T97" s="214">
        <f t="shared" si="18"/>
        <v>15</v>
      </c>
      <c r="U97" s="214">
        <f t="shared" si="18"/>
        <v>16</v>
      </c>
      <c r="V97" s="214">
        <f t="shared" si="18"/>
        <v>17</v>
      </c>
      <c r="W97" s="214">
        <f t="shared" si="18"/>
        <v>18</v>
      </c>
      <c r="X97" s="214">
        <f t="shared" si="18"/>
        <v>19</v>
      </c>
      <c r="Y97" s="214">
        <f t="shared" si="18"/>
        <v>20</v>
      </c>
      <c r="Z97" s="214">
        <f t="shared" si="18"/>
        <v>21</v>
      </c>
      <c r="AA97" s="214">
        <f t="shared" si="18"/>
        <v>22</v>
      </c>
      <c r="AB97" s="214">
        <f t="shared" si="18"/>
        <v>23</v>
      </c>
      <c r="AC97" s="214">
        <f t="shared" si="18"/>
        <v>24</v>
      </c>
      <c r="AD97" s="214">
        <f t="shared" si="18"/>
        <v>25</v>
      </c>
      <c r="AE97" s="214">
        <f t="shared" si="18"/>
        <v>26</v>
      </c>
      <c r="AF97" s="214">
        <f t="shared" si="18"/>
        <v>27</v>
      </c>
      <c r="AG97" s="214">
        <f t="shared" si="18"/>
        <v>28</v>
      </c>
      <c r="AH97" s="214">
        <f t="shared" si="18"/>
        <v>29</v>
      </c>
      <c r="AI97" s="214">
        <f t="shared" si="18"/>
        <v>30</v>
      </c>
      <c r="AJ97" s="214">
        <f t="shared" si="18"/>
        <v>31</v>
      </c>
      <c r="AK97" s="214">
        <f t="shared" si="18"/>
        <v>32</v>
      </c>
      <c r="AL97" s="214">
        <f t="shared" ref="AL97:BQ97" si="19">AK97+1</f>
        <v>33</v>
      </c>
      <c r="AM97" s="214">
        <f t="shared" si="19"/>
        <v>34</v>
      </c>
      <c r="AN97" s="214">
        <f t="shared" si="19"/>
        <v>35</v>
      </c>
      <c r="AO97" s="214">
        <f t="shared" si="19"/>
        <v>36</v>
      </c>
      <c r="AP97" s="214">
        <f t="shared" si="19"/>
        <v>37</v>
      </c>
      <c r="AQ97" s="214">
        <f t="shared" si="19"/>
        <v>38</v>
      </c>
      <c r="AR97" s="214">
        <f t="shared" si="19"/>
        <v>39</v>
      </c>
      <c r="AS97" s="214">
        <f t="shared" si="19"/>
        <v>40</v>
      </c>
      <c r="AT97" s="214">
        <f t="shared" si="19"/>
        <v>41</v>
      </c>
      <c r="AU97" s="214">
        <f t="shared" si="19"/>
        <v>42</v>
      </c>
      <c r="AV97" s="214">
        <f t="shared" si="19"/>
        <v>43</v>
      </c>
      <c r="AW97" s="214">
        <f t="shared" si="19"/>
        <v>44</v>
      </c>
      <c r="AX97" s="214">
        <f t="shared" si="19"/>
        <v>45</v>
      </c>
      <c r="AY97" s="214">
        <f t="shared" si="19"/>
        <v>46</v>
      </c>
      <c r="AZ97" s="214">
        <f t="shared" si="19"/>
        <v>47</v>
      </c>
      <c r="BA97" s="214">
        <f t="shared" si="19"/>
        <v>48</v>
      </c>
      <c r="BB97" s="214">
        <f t="shared" si="19"/>
        <v>49</v>
      </c>
      <c r="BC97" s="214">
        <f t="shared" si="19"/>
        <v>50</v>
      </c>
      <c r="BD97" s="214">
        <f t="shared" si="19"/>
        <v>51</v>
      </c>
      <c r="BE97" s="214">
        <f t="shared" si="19"/>
        <v>52</v>
      </c>
      <c r="BF97" s="214">
        <f t="shared" si="19"/>
        <v>53</v>
      </c>
      <c r="BG97" s="214">
        <f t="shared" si="19"/>
        <v>54</v>
      </c>
      <c r="BH97" s="214">
        <f t="shared" si="19"/>
        <v>55</v>
      </c>
      <c r="BI97" s="214">
        <f t="shared" si="19"/>
        <v>56</v>
      </c>
      <c r="BJ97" s="214">
        <f t="shared" si="19"/>
        <v>57</v>
      </c>
      <c r="BK97" s="214">
        <f t="shared" si="19"/>
        <v>58</v>
      </c>
      <c r="BL97" s="214">
        <f t="shared" si="19"/>
        <v>59</v>
      </c>
      <c r="BM97" s="214">
        <f t="shared" si="19"/>
        <v>60</v>
      </c>
      <c r="BN97" s="214">
        <f t="shared" si="19"/>
        <v>61</v>
      </c>
      <c r="BO97" s="214">
        <f t="shared" si="19"/>
        <v>62</v>
      </c>
      <c r="BP97" s="214">
        <f t="shared" si="19"/>
        <v>63</v>
      </c>
      <c r="BQ97" s="214">
        <f t="shared" si="19"/>
        <v>64</v>
      </c>
      <c r="BR97" s="214">
        <f t="shared" ref="BR97:CB97" si="20">BQ97+1</f>
        <v>65</v>
      </c>
      <c r="BS97" s="214">
        <f t="shared" si="20"/>
        <v>66</v>
      </c>
      <c r="BT97" s="214">
        <f t="shared" si="20"/>
        <v>67</v>
      </c>
      <c r="BU97" s="214">
        <f t="shared" si="20"/>
        <v>68</v>
      </c>
      <c r="BV97" s="214">
        <f t="shared" si="20"/>
        <v>69</v>
      </c>
      <c r="BW97" s="214">
        <f t="shared" si="20"/>
        <v>70</v>
      </c>
      <c r="BX97" s="214">
        <f t="shared" si="20"/>
        <v>71</v>
      </c>
      <c r="BY97" s="214">
        <f t="shared" si="20"/>
        <v>72</v>
      </c>
      <c r="BZ97" s="214">
        <f t="shared" si="20"/>
        <v>73</v>
      </c>
      <c r="CA97" s="214">
        <f t="shared" si="20"/>
        <v>74</v>
      </c>
      <c r="CB97" s="214">
        <f t="shared" si="20"/>
        <v>75</v>
      </c>
      <c r="CC97" s="214"/>
      <c r="CD97" s="214"/>
      <c r="CE97" s="214"/>
      <c r="CF97" s="214"/>
      <c r="CG97" s="214"/>
    </row>
    <row r="98" spans="2:85" ht="15" customHeight="1">
      <c r="D98" s="12"/>
    </row>
    <row r="99" spans="2:85" ht="15" customHeight="1">
      <c r="B99" s="183" t="s">
        <v>418</v>
      </c>
      <c r="C99" s="1" t="s">
        <v>758</v>
      </c>
      <c r="D99" s="213" t="s">
        <v>227</v>
      </c>
      <c r="E99" s="154">
        <f>T29</f>
        <v>0</v>
      </c>
      <c r="F99" s="154">
        <f t="shared" ref="F99:AK99" si="21">E99</f>
        <v>0</v>
      </c>
      <c r="G99" s="154">
        <f t="shared" si="21"/>
        <v>0</v>
      </c>
      <c r="H99" s="154">
        <f t="shared" si="21"/>
        <v>0</v>
      </c>
      <c r="I99" s="154">
        <f t="shared" si="21"/>
        <v>0</v>
      </c>
      <c r="J99" s="154">
        <f t="shared" si="21"/>
        <v>0</v>
      </c>
      <c r="K99" s="154">
        <f t="shared" si="21"/>
        <v>0</v>
      </c>
      <c r="L99" s="154">
        <f t="shared" si="21"/>
        <v>0</v>
      </c>
      <c r="M99" s="154">
        <f t="shared" si="21"/>
        <v>0</v>
      </c>
      <c r="N99" s="154">
        <f t="shared" si="21"/>
        <v>0</v>
      </c>
      <c r="O99" s="154">
        <f t="shared" si="21"/>
        <v>0</v>
      </c>
      <c r="P99" s="154">
        <f t="shared" si="21"/>
        <v>0</v>
      </c>
      <c r="Q99" s="154">
        <f t="shared" si="21"/>
        <v>0</v>
      </c>
      <c r="R99" s="154">
        <f t="shared" si="21"/>
        <v>0</v>
      </c>
      <c r="S99" s="154">
        <f t="shared" si="21"/>
        <v>0</v>
      </c>
      <c r="T99" s="154">
        <f t="shared" si="21"/>
        <v>0</v>
      </c>
      <c r="U99" s="154">
        <f t="shared" si="21"/>
        <v>0</v>
      </c>
      <c r="V99" s="154">
        <f t="shared" si="21"/>
        <v>0</v>
      </c>
      <c r="W99" s="154">
        <f t="shared" si="21"/>
        <v>0</v>
      </c>
      <c r="X99" s="154">
        <f t="shared" si="21"/>
        <v>0</v>
      </c>
      <c r="Y99" s="154">
        <f t="shared" si="21"/>
        <v>0</v>
      </c>
      <c r="Z99" s="154">
        <f t="shared" si="21"/>
        <v>0</v>
      </c>
      <c r="AA99" s="154">
        <f t="shared" si="21"/>
        <v>0</v>
      </c>
      <c r="AB99" s="154">
        <f t="shared" si="21"/>
        <v>0</v>
      </c>
      <c r="AC99" s="154">
        <f t="shared" si="21"/>
        <v>0</v>
      </c>
      <c r="AD99" s="154">
        <f t="shared" si="21"/>
        <v>0</v>
      </c>
      <c r="AE99" s="154">
        <f t="shared" si="21"/>
        <v>0</v>
      </c>
      <c r="AF99" s="154">
        <f t="shared" si="21"/>
        <v>0</v>
      </c>
      <c r="AG99" s="154">
        <f t="shared" si="21"/>
        <v>0</v>
      </c>
      <c r="AH99" s="154">
        <f t="shared" si="21"/>
        <v>0</v>
      </c>
      <c r="AI99" s="154">
        <f t="shared" si="21"/>
        <v>0</v>
      </c>
      <c r="AJ99" s="154">
        <f t="shared" si="21"/>
        <v>0</v>
      </c>
      <c r="AK99" s="154">
        <f t="shared" si="21"/>
        <v>0</v>
      </c>
      <c r="AL99" s="154">
        <f t="shared" ref="AL99:BQ99" si="22">AK99</f>
        <v>0</v>
      </c>
      <c r="AM99" s="154">
        <f t="shared" si="22"/>
        <v>0</v>
      </c>
      <c r="AN99" s="154">
        <f t="shared" si="22"/>
        <v>0</v>
      </c>
      <c r="AO99" s="154">
        <f t="shared" si="22"/>
        <v>0</v>
      </c>
      <c r="AP99" s="154">
        <f t="shared" si="22"/>
        <v>0</v>
      </c>
      <c r="AQ99" s="154">
        <f t="shared" si="22"/>
        <v>0</v>
      </c>
      <c r="AR99" s="154">
        <f t="shared" si="22"/>
        <v>0</v>
      </c>
      <c r="AS99" s="154">
        <f t="shared" si="22"/>
        <v>0</v>
      </c>
      <c r="AT99" s="154">
        <f t="shared" si="22"/>
        <v>0</v>
      </c>
      <c r="AU99" s="154">
        <f t="shared" si="22"/>
        <v>0</v>
      </c>
      <c r="AV99" s="154">
        <f t="shared" si="22"/>
        <v>0</v>
      </c>
      <c r="AW99" s="154">
        <f t="shared" si="22"/>
        <v>0</v>
      </c>
      <c r="AX99" s="154">
        <f t="shared" si="22"/>
        <v>0</v>
      </c>
      <c r="AY99" s="154">
        <f t="shared" si="22"/>
        <v>0</v>
      </c>
      <c r="AZ99" s="154">
        <f t="shared" si="22"/>
        <v>0</v>
      </c>
      <c r="BA99" s="154">
        <f t="shared" si="22"/>
        <v>0</v>
      </c>
      <c r="BB99" s="154">
        <f t="shared" si="22"/>
        <v>0</v>
      </c>
      <c r="BC99" s="154">
        <f t="shared" si="22"/>
        <v>0</v>
      </c>
      <c r="BD99" s="154">
        <f t="shared" si="22"/>
        <v>0</v>
      </c>
      <c r="BE99" s="154">
        <f t="shared" si="22"/>
        <v>0</v>
      </c>
      <c r="BF99" s="154">
        <f t="shared" si="22"/>
        <v>0</v>
      </c>
      <c r="BG99" s="154">
        <f t="shared" si="22"/>
        <v>0</v>
      </c>
      <c r="BH99" s="154">
        <f t="shared" si="22"/>
        <v>0</v>
      </c>
      <c r="BI99" s="154">
        <f t="shared" si="22"/>
        <v>0</v>
      </c>
      <c r="BJ99" s="154">
        <f t="shared" si="22"/>
        <v>0</v>
      </c>
      <c r="BK99" s="154">
        <f t="shared" si="22"/>
        <v>0</v>
      </c>
      <c r="BL99" s="154">
        <f t="shared" si="22"/>
        <v>0</v>
      </c>
      <c r="BM99" s="154">
        <f t="shared" si="22"/>
        <v>0</v>
      </c>
      <c r="BN99" s="154">
        <f t="shared" si="22"/>
        <v>0</v>
      </c>
      <c r="BO99" s="154">
        <f t="shared" si="22"/>
        <v>0</v>
      </c>
      <c r="BP99" s="154">
        <f t="shared" si="22"/>
        <v>0</v>
      </c>
      <c r="BQ99" s="154">
        <f t="shared" si="22"/>
        <v>0</v>
      </c>
      <c r="BR99" s="154">
        <f t="shared" ref="BR99:CB99" si="23">BQ99</f>
        <v>0</v>
      </c>
      <c r="BS99" s="154">
        <f t="shared" si="23"/>
        <v>0</v>
      </c>
      <c r="BT99" s="154">
        <f t="shared" si="23"/>
        <v>0</v>
      </c>
      <c r="BU99" s="154">
        <f t="shared" si="23"/>
        <v>0</v>
      </c>
      <c r="BV99" s="154">
        <f t="shared" si="23"/>
        <v>0</v>
      </c>
      <c r="BW99" s="154">
        <f t="shared" si="23"/>
        <v>0</v>
      </c>
      <c r="BX99" s="154">
        <f t="shared" si="23"/>
        <v>0</v>
      </c>
      <c r="BY99" s="154">
        <f t="shared" si="23"/>
        <v>0</v>
      </c>
      <c r="BZ99" s="154">
        <f t="shared" si="23"/>
        <v>0</v>
      </c>
      <c r="CA99" s="154">
        <f t="shared" si="23"/>
        <v>0</v>
      </c>
      <c r="CB99" s="154">
        <f t="shared" si="23"/>
        <v>0</v>
      </c>
    </row>
    <row r="100" spans="2:85" ht="15" customHeight="1">
      <c r="B100" s="183" t="s">
        <v>417</v>
      </c>
      <c r="D100" s="213" t="s">
        <v>227</v>
      </c>
      <c r="E100" s="154">
        <f>Drainage!D3*Drainage!AA224+Drainage!D4*Drainage!AA229</f>
        <v>2.3825835057635247E-2</v>
      </c>
      <c r="F100" s="154">
        <f t="shared" ref="F100:AK100" si="24">E100</f>
        <v>2.3825835057635247E-2</v>
      </c>
      <c r="G100" s="154">
        <f t="shared" si="24"/>
        <v>2.3825835057635247E-2</v>
      </c>
      <c r="H100" s="154">
        <f t="shared" si="24"/>
        <v>2.3825835057635247E-2</v>
      </c>
      <c r="I100" s="154">
        <f t="shared" si="24"/>
        <v>2.3825835057635247E-2</v>
      </c>
      <c r="J100" s="154">
        <f t="shared" si="24"/>
        <v>2.3825835057635247E-2</v>
      </c>
      <c r="K100" s="154">
        <f t="shared" si="24"/>
        <v>2.3825835057635247E-2</v>
      </c>
      <c r="L100" s="154">
        <f t="shared" si="24"/>
        <v>2.3825835057635247E-2</v>
      </c>
      <c r="M100" s="154">
        <f t="shared" si="24"/>
        <v>2.3825835057635247E-2</v>
      </c>
      <c r="N100" s="154">
        <f t="shared" si="24"/>
        <v>2.3825835057635247E-2</v>
      </c>
      <c r="O100" s="154">
        <f t="shared" si="24"/>
        <v>2.3825835057635247E-2</v>
      </c>
      <c r="P100" s="154">
        <f t="shared" si="24"/>
        <v>2.3825835057635247E-2</v>
      </c>
      <c r="Q100" s="154">
        <f t="shared" si="24"/>
        <v>2.3825835057635247E-2</v>
      </c>
      <c r="R100" s="154">
        <f t="shared" si="24"/>
        <v>2.3825835057635247E-2</v>
      </c>
      <c r="S100" s="154">
        <f t="shared" si="24"/>
        <v>2.3825835057635247E-2</v>
      </c>
      <c r="T100" s="154">
        <f t="shared" si="24"/>
        <v>2.3825835057635247E-2</v>
      </c>
      <c r="U100" s="154">
        <f t="shared" si="24"/>
        <v>2.3825835057635247E-2</v>
      </c>
      <c r="V100" s="154">
        <f t="shared" si="24"/>
        <v>2.3825835057635247E-2</v>
      </c>
      <c r="W100" s="154">
        <f t="shared" si="24"/>
        <v>2.3825835057635247E-2</v>
      </c>
      <c r="X100" s="154">
        <f t="shared" si="24"/>
        <v>2.3825835057635247E-2</v>
      </c>
      <c r="Y100" s="154">
        <f t="shared" si="24"/>
        <v>2.3825835057635247E-2</v>
      </c>
      <c r="Z100" s="154">
        <f t="shared" si="24"/>
        <v>2.3825835057635247E-2</v>
      </c>
      <c r="AA100" s="154">
        <f t="shared" si="24"/>
        <v>2.3825835057635247E-2</v>
      </c>
      <c r="AB100" s="154">
        <f t="shared" si="24"/>
        <v>2.3825835057635247E-2</v>
      </c>
      <c r="AC100" s="154">
        <f t="shared" si="24"/>
        <v>2.3825835057635247E-2</v>
      </c>
      <c r="AD100" s="154">
        <f t="shared" si="24"/>
        <v>2.3825835057635247E-2</v>
      </c>
      <c r="AE100" s="154">
        <f t="shared" si="24"/>
        <v>2.3825835057635247E-2</v>
      </c>
      <c r="AF100" s="154">
        <f t="shared" si="24"/>
        <v>2.3825835057635247E-2</v>
      </c>
      <c r="AG100" s="154">
        <f t="shared" si="24"/>
        <v>2.3825835057635247E-2</v>
      </c>
      <c r="AH100" s="154">
        <f t="shared" si="24"/>
        <v>2.3825835057635247E-2</v>
      </c>
      <c r="AI100" s="154">
        <f t="shared" si="24"/>
        <v>2.3825835057635247E-2</v>
      </c>
      <c r="AJ100" s="154">
        <f t="shared" si="24"/>
        <v>2.3825835057635247E-2</v>
      </c>
      <c r="AK100" s="154">
        <f t="shared" si="24"/>
        <v>2.3825835057635247E-2</v>
      </c>
      <c r="AL100" s="154">
        <f t="shared" ref="AL100:BQ100" si="25">AK100</f>
        <v>2.3825835057635247E-2</v>
      </c>
      <c r="AM100" s="154">
        <f t="shared" si="25"/>
        <v>2.3825835057635247E-2</v>
      </c>
      <c r="AN100" s="154">
        <f t="shared" si="25"/>
        <v>2.3825835057635247E-2</v>
      </c>
      <c r="AO100" s="154">
        <f t="shared" si="25"/>
        <v>2.3825835057635247E-2</v>
      </c>
      <c r="AP100" s="154">
        <f t="shared" si="25"/>
        <v>2.3825835057635247E-2</v>
      </c>
      <c r="AQ100" s="154">
        <f t="shared" si="25"/>
        <v>2.3825835057635247E-2</v>
      </c>
      <c r="AR100" s="154">
        <f t="shared" si="25"/>
        <v>2.3825835057635247E-2</v>
      </c>
      <c r="AS100" s="154">
        <f t="shared" si="25"/>
        <v>2.3825835057635247E-2</v>
      </c>
      <c r="AT100" s="154">
        <f t="shared" si="25"/>
        <v>2.3825835057635247E-2</v>
      </c>
      <c r="AU100" s="154">
        <f t="shared" si="25"/>
        <v>2.3825835057635247E-2</v>
      </c>
      <c r="AV100" s="154">
        <f t="shared" si="25"/>
        <v>2.3825835057635247E-2</v>
      </c>
      <c r="AW100" s="154">
        <f t="shared" si="25"/>
        <v>2.3825835057635247E-2</v>
      </c>
      <c r="AX100" s="154">
        <f t="shared" si="25"/>
        <v>2.3825835057635247E-2</v>
      </c>
      <c r="AY100" s="154">
        <f t="shared" si="25"/>
        <v>2.3825835057635247E-2</v>
      </c>
      <c r="AZ100" s="154">
        <f t="shared" si="25"/>
        <v>2.3825835057635247E-2</v>
      </c>
      <c r="BA100" s="154">
        <f t="shared" si="25"/>
        <v>2.3825835057635247E-2</v>
      </c>
      <c r="BB100" s="154">
        <f t="shared" si="25"/>
        <v>2.3825835057635247E-2</v>
      </c>
      <c r="BC100" s="154">
        <f t="shared" si="25"/>
        <v>2.3825835057635247E-2</v>
      </c>
      <c r="BD100" s="154">
        <f t="shared" si="25"/>
        <v>2.3825835057635247E-2</v>
      </c>
      <c r="BE100" s="154">
        <f t="shared" si="25"/>
        <v>2.3825835057635247E-2</v>
      </c>
      <c r="BF100" s="154">
        <f t="shared" si="25"/>
        <v>2.3825835057635247E-2</v>
      </c>
      <c r="BG100" s="154">
        <f t="shared" si="25"/>
        <v>2.3825835057635247E-2</v>
      </c>
      <c r="BH100" s="154">
        <f t="shared" si="25"/>
        <v>2.3825835057635247E-2</v>
      </c>
      <c r="BI100" s="154">
        <f t="shared" si="25"/>
        <v>2.3825835057635247E-2</v>
      </c>
      <c r="BJ100" s="154">
        <f t="shared" si="25"/>
        <v>2.3825835057635247E-2</v>
      </c>
      <c r="BK100" s="154">
        <f t="shared" si="25"/>
        <v>2.3825835057635247E-2</v>
      </c>
      <c r="BL100" s="154">
        <f t="shared" si="25"/>
        <v>2.3825835057635247E-2</v>
      </c>
      <c r="BM100" s="154">
        <f t="shared" si="25"/>
        <v>2.3825835057635247E-2</v>
      </c>
      <c r="BN100" s="154">
        <f t="shared" si="25"/>
        <v>2.3825835057635247E-2</v>
      </c>
      <c r="BO100" s="154">
        <f t="shared" si="25"/>
        <v>2.3825835057635247E-2</v>
      </c>
      <c r="BP100" s="154">
        <f t="shared" si="25"/>
        <v>2.3825835057635247E-2</v>
      </c>
      <c r="BQ100" s="154">
        <f t="shared" si="25"/>
        <v>2.3825835057635247E-2</v>
      </c>
      <c r="BR100" s="154">
        <f t="shared" ref="BR100:CB100" si="26">BQ100</f>
        <v>2.3825835057635247E-2</v>
      </c>
      <c r="BS100" s="154">
        <f t="shared" si="26"/>
        <v>2.3825835057635247E-2</v>
      </c>
      <c r="BT100" s="154">
        <f t="shared" si="26"/>
        <v>2.3825835057635247E-2</v>
      </c>
      <c r="BU100" s="154">
        <f t="shared" si="26"/>
        <v>2.3825835057635247E-2</v>
      </c>
      <c r="BV100" s="154">
        <f t="shared" si="26"/>
        <v>2.3825835057635247E-2</v>
      </c>
      <c r="BW100" s="154">
        <f t="shared" si="26"/>
        <v>2.3825835057635247E-2</v>
      </c>
      <c r="BX100" s="154">
        <f t="shared" si="26"/>
        <v>2.3825835057635247E-2</v>
      </c>
      <c r="BY100" s="154">
        <f t="shared" si="26"/>
        <v>2.3825835057635247E-2</v>
      </c>
      <c r="BZ100" s="154">
        <f t="shared" si="26"/>
        <v>2.3825835057635247E-2</v>
      </c>
      <c r="CA100" s="154">
        <f t="shared" si="26"/>
        <v>2.3825835057635247E-2</v>
      </c>
      <c r="CB100" s="154">
        <f t="shared" si="26"/>
        <v>2.3825835057635247E-2</v>
      </c>
    </row>
    <row r="101" spans="2:85" ht="15" customHeight="1">
      <c r="B101" s="183"/>
      <c r="D101" s="213"/>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row>
    <row r="102" spans="2:85" s="72" customFormat="1">
      <c r="B102" s="205" t="s">
        <v>387</v>
      </c>
      <c r="D102" s="204" t="s">
        <v>227</v>
      </c>
      <c r="E102" s="202">
        <f>health!B274</f>
        <v>0</v>
      </c>
      <c r="F102" s="202">
        <f>health!C274</f>
        <v>0</v>
      </c>
      <c r="G102" s="202">
        <f>health!D274</f>
        <v>0.05</v>
      </c>
      <c r="H102" s="202">
        <f>health!E274</f>
        <v>0.25</v>
      </c>
      <c r="I102" s="202">
        <f>health!F274</f>
        <v>0.6</v>
      </c>
      <c r="J102" s="202">
        <f>health!G274</f>
        <v>0.95</v>
      </c>
      <c r="K102" s="202">
        <f>health!H274</f>
        <v>1</v>
      </c>
      <c r="L102" s="202">
        <f>health!I274</f>
        <v>1</v>
      </c>
      <c r="M102" s="202">
        <f>health!J274</f>
        <v>1</v>
      </c>
      <c r="N102" s="202">
        <f>health!K274</f>
        <v>1</v>
      </c>
      <c r="O102" s="202">
        <f>N102</f>
        <v>1</v>
      </c>
      <c r="P102" s="202">
        <f t="shared" ref="P102:CA102" si="27">O102</f>
        <v>1</v>
      </c>
      <c r="Q102" s="202">
        <f t="shared" si="27"/>
        <v>1</v>
      </c>
      <c r="R102" s="202">
        <f t="shared" si="27"/>
        <v>1</v>
      </c>
      <c r="S102" s="202">
        <f t="shared" si="27"/>
        <v>1</v>
      </c>
      <c r="T102" s="202">
        <f t="shared" si="27"/>
        <v>1</v>
      </c>
      <c r="U102" s="202">
        <f t="shared" si="27"/>
        <v>1</v>
      </c>
      <c r="V102" s="202">
        <f t="shared" si="27"/>
        <v>1</v>
      </c>
      <c r="W102" s="202">
        <f t="shared" si="27"/>
        <v>1</v>
      </c>
      <c r="X102" s="202">
        <f t="shared" si="27"/>
        <v>1</v>
      </c>
      <c r="Y102" s="202">
        <f t="shared" si="27"/>
        <v>1</v>
      </c>
      <c r="Z102" s="202">
        <f t="shared" si="27"/>
        <v>1</v>
      </c>
      <c r="AA102" s="202">
        <f t="shared" si="27"/>
        <v>1</v>
      </c>
      <c r="AB102" s="202">
        <f t="shared" si="27"/>
        <v>1</v>
      </c>
      <c r="AC102" s="202">
        <f t="shared" si="27"/>
        <v>1</v>
      </c>
      <c r="AD102" s="202">
        <f t="shared" si="27"/>
        <v>1</v>
      </c>
      <c r="AE102" s="202">
        <f t="shared" si="27"/>
        <v>1</v>
      </c>
      <c r="AF102" s="202">
        <f t="shared" si="27"/>
        <v>1</v>
      </c>
      <c r="AG102" s="202">
        <f t="shared" si="27"/>
        <v>1</v>
      </c>
      <c r="AH102" s="202">
        <f t="shared" si="27"/>
        <v>1</v>
      </c>
      <c r="AI102" s="202">
        <f t="shared" si="27"/>
        <v>1</v>
      </c>
      <c r="AJ102" s="202">
        <f t="shared" si="27"/>
        <v>1</v>
      </c>
      <c r="AK102" s="202">
        <f t="shared" si="27"/>
        <v>1</v>
      </c>
      <c r="AL102" s="202">
        <f t="shared" si="27"/>
        <v>1</v>
      </c>
      <c r="AM102" s="202">
        <f t="shared" si="27"/>
        <v>1</v>
      </c>
      <c r="AN102" s="202">
        <f t="shared" si="27"/>
        <v>1</v>
      </c>
      <c r="AO102" s="202">
        <f t="shared" si="27"/>
        <v>1</v>
      </c>
      <c r="AP102" s="202">
        <f t="shared" si="27"/>
        <v>1</v>
      </c>
      <c r="AQ102" s="202">
        <f t="shared" si="27"/>
        <v>1</v>
      </c>
      <c r="AR102" s="202">
        <f t="shared" si="27"/>
        <v>1</v>
      </c>
      <c r="AS102" s="202">
        <f t="shared" si="27"/>
        <v>1</v>
      </c>
      <c r="AT102" s="202">
        <f t="shared" si="27"/>
        <v>1</v>
      </c>
      <c r="AU102" s="202">
        <f t="shared" si="27"/>
        <v>1</v>
      </c>
      <c r="AV102" s="202">
        <f t="shared" si="27"/>
        <v>1</v>
      </c>
      <c r="AW102" s="202">
        <f t="shared" si="27"/>
        <v>1</v>
      </c>
      <c r="AX102" s="202">
        <f t="shared" si="27"/>
        <v>1</v>
      </c>
      <c r="AY102" s="202">
        <f t="shared" si="27"/>
        <v>1</v>
      </c>
      <c r="AZ102" s="202">
        <f t="shared" si="27"/>
        <v>1</v>
      </c>
      <c r="BA102" s="202">
        <f t="shared" si="27"/>
        <v>1</v>
      </c>
      <c r="BB102" s="202">
        <f t="shared" si="27"/>
        <v>1</v>
      </c>
      <c r="BC102" s="202">
        <f t="shared" si="27"/>
        <v>1</v>
      </c>
      <c r="BD102" s="202">
        <f t="shared" si="27"/>
        <v>1</v>
      </c>
      <c r="BE102" s="202">
        <f t="shared" si="27"/>
        <v>1</v>
      </c>
      <c r="BF102" s="202">
        <f t="shared" si="27"/>
        <v>1</v>
      </c>
      <c r="BG102" s="202">
        <f t="shared" si="27"/>
        <v>1</v>
      </c>
      <c r="BH102" s="202">
        <f t="shared" si="27"/>
        <v>1</v>
      </c>
      <c r="BI102" s="202">
        <f t="shared" si="27"/>
        <v>1</v>
      </c>
      <c r="BJ102" s="202">
        <f t="shared" si="27"/>
        <v>1</v>
      </c>
      <c r="BK102" s="202">
        <f t="shared" si="27"/>
        <v>1</v>
      </c>
      <c r="BL102" s="202">
        <f t="shared" si="27"/>
        <v>1</v>
      </c>
      <c r="BM102" s="202">
        <f t="shared" si="27"/>
        <v>1</v>
      </c>
      <c r="BN102" s="202">
        <f t="shared" si="27"/>
        <v>1</v>
      </c>
      <c r="BO102" s="202">
        <f t="shared" si="27"/>
        <v>1</v>
      </c>
      <c r="BP102" s="202">
        <f t="shared" si="27"/>
        <v>1</v>
      </c>
      <c r="BQ102" s="202">
        <f t="shared" si="27"/>
        <v>1</v>
      </c>
      <c r="BR102" s="202">
        <f t="shared" si="27"/>
        <v>1</v>
      </c>
      <c r="BS102" s="202">
        <f t="shared" si="27"/>
        <v>1</v>
      </c>
      <c r="BT102" s="202">
        <f t="shared" si="27"/>
        <v>1</v>
      </c>
      <c r="BU102" s="202">
        <f t="shared" si="27"/>
        <v>1</v>
      </c>
      <c r="BV102" s="202">
        <f t="shared" si="27"/>
        <v>1</v>
      </c>
      <c r="BW102" s="202">
        <f t="shared" si="27"/>
        <v>1</v>
      </c>
      <c r="BX102" s="202">
        <f t="shared" si="27"/>
        <v>1</v>
      </c>
      <c r="BY102" s="202">
        <f t="shared" si="27"/>
        <v>1</v>
      </c>
      <c r="BZ102" s="202">
        <f t="shared" si="27"/>
        <v>1</v>
      </c>
      <c r="CA102" s="202">
        <f t="shared" si="27"/>
        <v>1</v>
      </c>
      <c r="CB102" s="202">
        <f t="shared" ref="CB102" si="28">CA102</f>
        <v>1</v>
      </c>
    </row>
    <row r="103" spans="2:85" s="72" customFormat="1">
      <c r="D103" s="204"/>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row>
    <row r="104" spans="2:85" s="72" customFormat="1">
      <c r="B104" s="72" t="s">
        <v>415</v>
      </c>
      <c r="C104" s="146">
        <f>health!B18</f>
        <v>1.0628134265014697</v>
      </c>
      <c r="D104" s="206" t="s">
        <v>414</v>
      </c>
      <c r="E104" s="209" t="s">
        <v>741</v>
      </c>
      <c r="G104" s="202"/>
      <c r="H104" s="202"/>
      <c r="I104" s="202"/>
      <c r="J104" s="202"/>
      <c r="K104" s="202"/>
      <c r="L104" s="202"/>
      <c r="M104" s="202"/>
      <c r="N104" s="202"/>
      <c r="O104" s="202"/>
      <c r="P104" s="202"/>
      <c r="Q104" s="202"/>
      <c r="R104" s="202"/>
      <c r="S104" s="202"/>
      <c r="T104" s="202"/>
      <c r="U104" s="202"/>
      <c r="V104" s="202"/>
      <c r="W104" s="202"/>
      <c r="X104" s="202"/>
      <c r="Y104" s="202"/>
      <c r="Z104" s="202"/>
      <c r="AA104" s="202"/>
    </row>
    <row r="105" spans="2:85" s="72" customFormat="1">
      <c r="B105" s="72" t="s">
        <v>413</v>
      </c>
      <c r="C105" s="210">
        <f>C104*8*24*12</f>
        <v>2448.722134659386</v>
      </c>
      <c r="D105" s="206" t="s">
        <v>410</v>
      </c>
      <c r="E105" s="209" t="s">
        <v>412</v>
      </c>
      <c r="G105" s="202"/>
      <c r="H105" s="202"/>
      <c r="I105" s="202"/>
      <c r="J105" s="202"/>
      <c r="K105" s="202"/>
      <c r="L105" s="202"/>
      <c r="M105" s="202"/>
      <c r="N105" s="202"/>
      <c r="O105" s="202"/>
      <c r="P105" s="202"/>
      <c r="Q105" s="202"/>
      <c r="R105" s="202"/>
      <c r="S105" s="202"/>
      <c r="T105" s="202"/>
      <c r="U105" s="202"/>
      <c r="V105" s="202"/>
      <c r="W105" s="202"/>
      <c r="X105" s="202"/>
      <c r="Y105" s="202"/>
      <c r="Z105" s="202"/>
      <c r="AA105" s="202"/>
    </row>
    <row r="106" spans="2:85" s="72" customFormat="1">
      <c r="B106" s="208" t="s">
        <v>411</v>
      </c>
      <c r="C106" s="207"/>
      <c r="D106" s="206" t="s">
        <v>410</v>
      </c>
      <c r="E106" s="192">
        <f>$C$105</f>
        <v>2448.722134659386</v>
      </c>
      <c r="F106" s="192">
        <f>E106*(1+$M$43)</f>
        <v>2515.5781186004715</v>
      </c>
      <c r="G106" s="192">
        <f>F106*(1+$M$43)</f>
        <v>2584.2594311590701</v>
      </c>
      <c r="H106" s="192">
        <f t="shared" ref="H106:BR106" si="29">G106*(1+$M$43)</f>
        <v>2654.8159081818103</v>
      </c>
      <c r="I106" s="192">
        <f t="shared" si="29"/>
        <v>2727.2987461533921</v>
      </c>
      <c r="J106" s="192">
        <f t="shared" si="29"/>
        <v>2801.7605393452673</v>
      </c>
      <c r="K106" s="192">
        <f t="shared" si="29"/>
        <v>2878.2553179785687</v>
      </c>
      <c r="L106" s="192">
        <f t="shared" si="29"/>
        <v>2956.8385874289779</v>
      </c>
      <c r="M106" s="192">
        <f t="shared" si="29"/>
        <v>3037.567368501981</v>
      </c>
      <c r="N106" s="192">
        <f t="shared" si="29"/>
        <v>3120.5002388077341</v>
      </c>
      <c r="O106" s="192">
        <f t="shared" si="29"/>
        <v>3205.697375265564</v>
      </c>
      <c r="P106" s="192">
        <f t="shared" si="29"/>
        <v>3293.22059776894</v>
      </c>
      <c r="Q106" s="192">
        <f t="shared" si="29"/>
        <v>3383.1334140426079</v>
      </c>
      <c r="R106" s="192">
        <f t="shared" si="29"/>
        <v>3475.5010657244288</v>
      </c>
      <c r="S106" s="192">
        <f t="shared" si="29"/>
        <v>3570.390575705364</v>
      </c>
      <c r="T106" s="192">
        <f t="shared" si="29"/>
        <v>3667.8707967619539</v>
      </c>
      <c r="U106" s="192">
        <f t="shared" si="29"/>
        <v>3768.0124615165805</v>
      </c>
      <c r="V106" s="192">
        <f t="shared" si="29"/>
        <v>3870.8882337617661</v>
      </c>
      <c r="W106" s="192">
        <f t="shared" si="29"/>
        <v>3976.5727611857451</v>
      </c>
      <c r="X106" s="192">
        <f t="shared" si="29"/>
        <v>4085.1427295375743</v>
      </c>
      <c r="Y106" s="192">
        <f t="shared" si="29"/>
        <v>4196.6769182710777</v>
      </c>
      <c r="Z106" s="192">
        <f t="shared" si="29"/>
        <v>4311.2562577080053</v>
      </c>
      <c r="AA106" s="192">
        <f t="shared" si="29"/>
        <v>4428.9638877618845</v>
      </c>
      <c r="AB106" s="192">
        <f t="shared" si="29"/>
        <v>4549.885218265169</v>
      </c>
      <c r="AC106" s="192">
        <f t="shared" si="29"/>
        <v>4674.1079909434711</v>
      </c>
      <c r="AD106" s="192">
        <f t="shared" si="29"/>
        <v>4801.7223430818303</v>
      </c>
      <c r="AE106" s="192">
        <f t="shared" si="29"/>
        <v>4932.8208729292301</v>
      </c>
      <c r="AF106" s="192">
        <f t="shared" si="29"/>
        <v>5067.4987068888113</v>
      </c>
      <c r="AG106" s="192">
        <f t="shared" si="29"/>
        <v>5205.8535685425431</v>
      </c>
      <c r="AH106" s="192">
        <f t="shared" si="29"/>
        <v>5347.9858495604285</v>
      </c>
      <c r="AI106" s="192">
        <f t="shared" si="29"/>
        <v>5493.9986825457026</v>
      </c>
      <c r="AJ106" s="192">
        <f t="shared" si="29"/>
        <v>5643.9980158688822</v>
      </c>
      <c r="AK106" s="192">
        <f t="shared" si="29"/>
        <v>5798.0926905449605</v>
      </c>
      <c r="AL106" s="192">
        <f t="shared" si="29"/>
        <v>5956.3945192095343</v>
      </c>
      <c r="AM106" s="192">
        <f t="shared" si="29"/>
        <v>6119.0183672511721</v>
      </c>
      <c r="AN106" s="192">
        <f t="shared" si="29"/>
        <v>6286.0822361588862</v>
      </c>
      <c r="AO106" s="192">
        <f t="shared" si="29"/>
        <v>6457.7073491451911</v>
      </c>
      <c r="AP106" s="192">
        <f t="shared" si="29"/>
        <v>6634.0182391068793</v>
      </c>
      <c r="AQ106" s="192">
        <f t="shared" si="29"/>
        <v>6815.1428389873363</v>
      </c>
      <c r="AR106" s="192">
        <f t="shared" si="29"/>
        <v>7001.2125746059592</v>
      </c>
      <c r="AS106" s="192">
        <f t="shared" si="29"/>
        <v>7192.3624600220483</v>
      </c>
      <c r="AT106" s="192">
        <f t="shared" si="29"/>
        <v>7388.7311955023551</v>
      </c>
      <c r="AU106" s="192">
        <f t="shared" si="29"/>
        <v>7590.4612681633826</v>
      </c>
      <c r="AV106" s="192">
        <f t="shared" si="29"/>
        <v>7797.6990553614596</v>
      </c>
      <c r="AW106" s="192">
        <f t="shared" si="29"/>
        <v>8010.5949309056159</v>
      </c>
      <c r="AX106" s="192">
        <f t="shared" si="29"/>
        <v>8229.3033741703166</v>
      </c>
      <c r="AY106" s="192">
        <f t="shared" si="29"/>
        <v>8453.983082187242</v>
      </c>
      <c r="AZ106" s="192">
        <f t="shared" si="29"/>
        <v>8684.7970847974393</v>
      </c>
      <c r="BA106" s="192">
        <f t="shared" si="29"/>
        <v>8921.9128629474053</v>
      </c>
      <c r="BB106" s="192">
        <f t="shared" si="29"/>
        <v>9165.5024702149312</v>
      </c>
      <c r="BC106" s="192">
        <f t="shared" si="29"/>
        <v>9415.7426576529015</v>
      </c>
      <c r="BD106" s="192">
        <f t="shared" si="29"/>
        <v>9672.8150020416215</v>
      </c>
      <c r="BE106" s="192">
        <f t="shared" si="29"/>
        <v>9936.9060376427442</v>
      </c>
      <c r="BF106" s="192">
        <f t="shared" si="29"/>
        <v>10208.207391550393</v>
      </c>
      <c r="BG106" s="192">
        <f t="shared" si="29"/>
        <v>10486.9159227377</v>
      </c>
      <c r="BH106" s="192">
        <f t="shared" si="29"/>
        <v>10773.233864899639</v>
      </c>
      <c r="BI106" s="192">
        <f t="shared" si="29"/>
        <v>11067.368973195818</v>
      </c>
      <c r="BJ106" s="192">
        <f t="shared" si="29"/>
        <v>11369.534674999699</v>
      </c>
      <c r="BK106" s="192">
        <f t="shared" si="29"/>
        <v>11679.950224763628</v>
      </c>
      <c r="BL106" s="192">
        <f t="shared" si="29"/>
        <v>11998.840863112064</v>
      </c>
      <c r="BM106" s="192">
        <f t="shared" si="29"/>
        <v>12326.437980278421</v>
      </c>
      <c r="BN106" s="192">
        <f t="shared" si="29"/>
        <v>12662.979284004134</v>
      </c>
      <c r="BO106" s="192">
        <f t="shared" si="29"/>
        <v>13008.708972021774</v>
      </c>
      <c r="BP106" s="192">
        <f t="shared" si="29"/>
        <v>13363.877909247361</v>
      </c>
      <c r="BQ106" s="192">
        <f t="shared" si="29"/>
        <v>13728.743809810452</v>
      </c>
      <c r="BR106" s="192">
        <f t="shared" si="29"/>
        <v>14103.571424054091</v>
      </c>
      <c r="BS106" s="192">
        <f t="shared" ref="BS106:CB106" si="30">BR106*(1+$M$43)</f>
        <v>14488.6327306403</v>
      </c>
      <c r="BT106" s="192">
        <f t="shared" si="30"/>
        <v>14884.20713390052</v>
      </c>
      <c r="BU106" s="192">
        <f t="shared" si="30"/>
        <v>15290.581666574175</v>
      </c>
      <c r="BV106" s="192">
        <f t="shared" si="30"/>
        <v>15708.051198082509</v>
      </c>
      <c r="BW106" s="192">
        <f t="shared" si="30"/>
        <v>16136.918648488772</v>
      </c>
      <c r="BX106" s="192">
        <f t="shared" si="30"/>
        <v>16577.495208300053</v>
      </c>
      <c r="BY106" s="192">
        <f t="shared" si="30"/>
        <v>17030.100564270218</v>
      </c>
      <c r="BZ106" s="192">
        <f t="shared" si="30"/>
        <v>17495.06313136781</v>
      </c>
      <c r="CA106" s="192">
        <f t="shared" si="30"/>
        <v>17972.720291077236</v>
      </c>
      <c r="CB106" s="192">
        <f t="shared" si="30"/>
        <v>18463.418636206141</v>
      </c>
    </row>
    <row r="107" spans="2:85" s="72" customFormat="1">
      <c r="E107" s="204"/>
      <c r="F107" s="203"/>
      <c r="G107" s="202"/>
      <c r="H107" s="202"/>
      <c r="I107" s="202"/>
      <c r="J107" s="202"/>
      <c r="K107" s="202"/>
      <c r="L107" s="202"/>
      <c r="M107" s="202"/>
      <c r="N107" s="202"/>
      <c r="O107" s="202"/>
      <c r="P107" s="202"/>
      <c r="Q107" s="202"/>
      <c r="R107" s="202"/>
      <c r="S107" s="202"/>
      <c r="T107" s="202"/>
      <c r="U107" s="202"/>
      <c r="V107" s="202"/>
      <c r="W107" s="202"/>
      <c r="X107" s="202"/>
      <c r="Y107" s="202"/>
      <c r="Z107" s="202"/>
      <c r="AA107" s="202"/>
    </row>
    <row r="108" spans="2:85" ht="15" customHeight="1">
      <c r="B108" s="201" t="s">
        <v>409</v>
      </c>
      <c r="D108" s="12"/>
    </row>
    <row r="109" spans="2:85" ht="15" customHeight="1">
      <c r="B109" s="200" t="s">
        <v>391</v>
      </c>
      <c r="D109" s="12"/>
    </row>
    <row r="110" spans="2:85" ht="15" customHeight="1">
      <c r="B110" s="136" t="s">
        <v>407</v>
      </c>
      <c r="C110" s="1" t="s">
        <v>756</v>
      </c>
      <c r="D110" s="12" t="s">
        <v>404</v>
      </c>
      <c r="E110" s="1">
        <f>0.5*(C96)*health!$B$30*(health!$Q$73+health!$Q$74)*health!$F$87/1000</f>
        <v>1844.0772023302468</v>
      </c>
      <c r="F110" s="192">
        <f t="shared" ref="F110:AK110" si="31">E110*(1+F$99)</f>
        <v>1844.0772023302468</v>
      </c>
      <c r="G110" s="192">
        <f t="shared" si="31"/>
        <v>1844.0772023302468</v>
      </c>
      <c r="H110" s="192">
        <f t="shared" si="31"/>
        <v>1844.0772023302468</v>
      </c>
      <c r="I110" s="192">
        <f t="shared" si="31"/>
        <v>1844.0772023302468</v>
      </c>
      <c r="J110" s="192">
        <f t="shared" si="31"/>
        <v>1844.0772023302468</v>
      </c>
      <c r="K110" s="192">
        <f t="shared" si="31"/>
        <v>1844.0772023302468</v>
      </c>
      <c r="L110" s="192">
        <f t="shared" si="31"/>
        <v>1844.0772023302468</v>
      </c>
      <c r="M110" s="192">
        <f t="shared" si="31"/>
        <v>1844.0772023302468</v>
      </c>
      <c r="N110" s="192">
        <f t="shared" si="31"/>
        <v>1844.0772023302468</v>
      </c>
      <c r="O110" s="192">
        <f t="shared" si="31"/>
        <v>1844.0772023302468</v>
      </c>
      <c r="P110" s="192">
        <f t="shared" si="31"/>
        <v>1844.0772023302468</v>
      </c>
      <c r="Q110" s="192">
        <f t="shared" si="31"/>
        <v>1844.0772023302468</v>
      </c>
      <c r="R110" s="192">
        <f t="shared" si="31"/>
        <v>1844.0772023302468</v>
      </c>
      <c r="S110" s="192">
        <f t="shared" si="31"/>
        <v>1844.0772023302468</v>
      </c>
      <c r="T110" s="192">
        <f t="shared" si="31"/>
        <v>1844.0772023302468</v>
      </c>
      <c r="U110" s="192">
        <f t="shared" si="31"/>
        <v>1844.0772023302468</v>
      </c>
      <c r="V110" s="192">
        <f t="shared" si="31"/>
        <v>1844.0772023302468</v>
      </c>
      <c r="W110" s="192">
        <f t="shared" si="31"/>
        <v>1844.0772023302468</v>
      </c>
      <c r="X110" s="192">
        <f t="shared" si="31"/>
        <v>1844.0772023302468</v>
      </c>
      <c r="Y110" s="192">
        <f t="shared" si="31"/>
        <v>1844.0772023302468</v>
      </c>
      <c r="Z110" s="192">
        <f t="shared" si="31"/>
        <v>1844.0772023302468</v>
      </c>
      <c r="AA110" s="192">
        <f t="shared" si="31"/>
        <v>1844.0772023302468</v>
      </c>
      <c r="AB110" s="192">
        <f t="shared" si="31"/>
        <v>1844.0772023302468</v>
      </c>
      <c r="AC110" s="192">
        <f t="shared" si="31"/>
        <v>1844.0772023302468</v>
      </c>
      <c r="AD110" s="192">
        <f t="shared" si="31"/>
        <v>1844.0772023302468</v>
      </c>
      <c r="AE110" s="192">
        <f t="shared" si="31"/>
        <v>1844.0772023302468</v>
      </c>
      <c r="AF110" s="192">
        <f t="shared" si="31"/>
        <v>1844.0772023302468</v>
      </c>
      <c r="AG110" s="192">
        <f t="shared" si="31"/>
        <v>1844.0772023302468</v>
      </c>
      <c r="AH110" s="192">
        <f t="shared" si="31"/>
        <v>1844.0772023302468</v>
      </c>
      <c r="AI110" s="192">
        <f t="shared" si="31"/>
        <v>1844.0772023302468</v>
      </c>
      <c r="AJ110" s="192">
        <f t="shared" si="31"/>
        <v>1844.0772023302468</v>
      </c>
      <c r="AK110" s="192">
        <f t="shared" si="31"/>
        <v>1844.0772023302468</v>
      </c>
      <c r="AL110" s="192">
        <f t="shared" ref="AL110:BQ110" si="32">AK110*(1+AL$99)</f>
        <v>1844.0772023302468</v>
      </c>
      <c r="AM110" s="192">
        <f t="shared" si="32"/>
        <v>1844.0772023302468</v>
      </c>
      <c r="AN110" s="192">
        <f t="shared" si="32"/>
        <v>1844.0772023302468</v>
      </c>
      <c r="AO110" s="192">
        <f t="shared" si="32"/>
        <v>1844.0772023302468</v>
      </c>
      <c r="AP110" s="192">
        <f t="shared" si="32"/>
        <v>1844.0772023302468</v>
      </c>
      <c r="AQ110" s="192">
        <f t="shared" si="32"/>
        <v>1844.0772023302468</v>
      </c>
      <c r="AR110" s="192">
        <f t="shared" si="32"/>
        <v>1844.0772023302468</v>
      </c>
      <c r="AS110" s="192">
        <f t="shared" si="32"/>
        <v>1844.0772023302468</v>
      </c>
      <c r="AT110" s="192">
        <f t="shared" si="32"/>
        <v>1844.0772023302468</v>
      </c>
      <c r="AU110" s="192">
        <f t="shared" si="32"/>
        <v>1844.0772023302468</v>
      </c>
      <c r="AV110" s="192">
        <f t="shared" si="32"/>
        <v>1844.0772023302468</v>
      </c>
      <c r="AW110" s="192">
        <f t="shared" si="32"/>
        <v>1844.0772023302468</v>
      </c>
      <c r="AX110" s="192">
        <f t="shared" si="32"/>
        <v>1844.0772023302468</v>
      </c>
      <c r="AY110" s="192">
        <f t="shared" si="32"/>
        <v>1844.0772023302468</v>
      </c>
      <c r="AZ110" s="192">
        <f t="shared" si="32"/>
        <v>1844.0772023302468</v>
      </c>
      <c r="BA110" s="192">
        <f t="shared" si="32"/>
        <v>1844.0772023302468</v>
      </c>
      <c r="BB110" s="192">
        <f t="shared" si="32"/>
        <v>1844.0772023302468</v>
      </c>
      <c r="BC110" s="192">
        <f t="shared" si="32"/>
        <v>1844.0772023302468</v>
      </c>
      <c r="BD110" s="192">
        <f t="shared" si="32"/>
        <v>1844.0772023302468</v>
      </c>
      <c r="BE110" s="192">
        <f t="shared" si="32"/>
        <v>1844.0772023302468</v>
      </c>
      <c r="BF110" s="192">
        <f t="shared" si="32"/>
        <v>1844.0772023302468</v>
      </c>
      <c r="BG110" s="192">
        <f t="shared" si="32"/>
        <v>1844.0772023302468</v>
      </c>
      <c r="BH110" s="192">
        <f t="shared" si="32"/>
        <v>1844.0772023302468</v>
      </c>
      <c r="BI110" s="192">
        <f t="shared" si="32"/>
        <v>1844.0772023302468</v>
      </c>
      <c r="BJ110" s="192">
        <f t="shared" si="32"/>
        <v>1844.0772023302468</v>
      </c>
      <c r="BK110" s="192">
        <f t="shared" si="32"/>
        <v>1844.0772023302468</v>
      </c>
      <c r="BL110" s="192">
        <f t="shared" si="32"/>
        <v>1844.0772023302468</v>
      </c>
      <c r="BM110" s="192">
        <f t="shared" si="32"/>
        <v>1844.0772023302468</v>
      </c>
      <c r="BN110" s="192">
        <f t="shared" si="32"/>
        <v>1844.0772023302468</v>
      </c>
      <c r="BO110" s="192">
        <f t="shared" si="32"/>
        <v>1844.0772023302468</v>
      </c>
      <c r="BP110" s="192">
        <f t="shared" si="32"/>
        <v>1844.0772023302468</v>
      </c>
      <c r="BQ110" s="192">
        <f t="shared" si="32"/>
        <v>1844.0772023302468</v>
      </c>
      <c r="BR110" s="192">
        <f t="shared" ref="BR110:CB110" si="33">BQ110*(1+BR$99)</f>
        <v>1844.0772023302468</v>
      </c>
      <c r="BS110" s="192">
        <f t="shared" si="33"/>
        <v>1844.0772023302468</v>
      </c>
      <c r="BT110" s="192">
        <f t="shared" si="33"/>
        <v>1844.0772023302468</v>
      </c>
      <c r="BU110" s="192">
        <f t="shared" si="33"/>
        <v>1844.0772023302468</v>
      </c>
      <c r="BV110" s="192">
        <f t="shared" si="33"/>
        <v>1844.0772023302468</v>
      </c>
      <c r="BW110" s="192">
        <f t="shared" si="33"/>
        <v>1844.0772023302468</v>
      </c>
      <c r="BX110" s="192">
        <f t="shared" si="33"/>
        <v>1844.0772023302468</v>
      </c>
      <c r="BY110" s="192">
        <f t="shared" si="33"/>
        <v>1844.0772023302468</v>
      </c>
      <c r="BZ110" s="192">
        <f t="shared" si="33"/>
        <v>1844.0772023302468</v>
      </c>
      <c r="CA110" s="192">
        <f t="shared" si="33"/>
        <v>1844.0772023302468</v>
      </c>
      <c r="CB110" s="192">
        <f t="shared" si="33"/>
        <v>1844.0772023302468</v>
      </c>
    </row>
    <row r="111" spans="2:85" ht="15" customHeight="1">
      <c r="B111" s="200" t="s">
        <v>392</v>
      </c>
      <c r="D111" s="12"/>
    </row>
    <row r="112" spans="2:85" ht="15" customHeight="1">
      <c r="B112" s="136" t="s">
        <v>407</v>
      </c>
      <c r="C112" s="1" t="s">
        <v>756</v>
      </c>
      <c r="D112" s="12" t="s">
        <v>404</v>
      </c>
      <c r="E112" s="192">
        <f>0.5*(C96)*health!B31*(health!Q73+health!Q74)*health!F87/1000</f>
        <v>917.99991734666128</v>
      </c>
      <c r="F112" s="192">
        <f t="shared" ref="F112:AK112" si="34">E112*(1+F$99)</f>
        <v>917.99991734666128</v>
      </c>
      <c r="G112" s="192">
        <f t="shared" si="34"/>
        <v>917.99991734666128</v>
      </c>
      <c r="H112" s="192">
        <f t="shared" si="34"/>
        <v>917.99991734666128</v>
      </c>
      <c r="I112" s="192">
        <f t="shared" si="34"/>
        <v>917.99991734666128</v>
      </c>
      <c r="J112" s="192">
        <f t="shared" si="34"/>
        <v>917.99991734666128</v>
      </c>
      <c r="K112" s="192">
        <f t="shared" si="34"/>
        <v>917.99991734666128</v>
      </c>
      <c r="L112" s="192">
        <f t="shared" si="34"/>
        <v>917.99991734666128</v>
      </c>
      <c r="M112" s="192">
        <f t="shared" si="34"/>
        <v>917.99991734666128</v>
      </c>
      <c r="N112" s="192">
        <f t="shared" si="34"/>
        <v>917.99991734666128</v>
      </c>
      <c r="O112" s="192">
        <f t="shared" si="34"/>
        <v>917.99991734666128</v>
      </c>
      <c r="P112" s="192">
        <f t="shared" si="34"/>
        <v>917.99991734666128</v>
      </c>
      <c r="Q112" s="192">
        <f t="shared" si="34"/>
        <v>917.99991734666128</v>
      </c>
      <c r="R112" s="192">
        <f t="shared" si="34"/>
        <v>917.99991734666128</v>
      </c>
      <c r="S112" s="192">
        <f t="shared" si="34"/>
        <v>917.99991734666128</v>
      </c>
      <c r="T112" s="192">
        <f t="shared" si="34"/>
        <v>917.99991734666128</v>
      </c>
      <c r="U112" s="192">
        <f t="shared" si="34"/>
        <v>917.99991734666128</v>
      </c>
      <c r="V112" s="192">
        <f t="shared" si="34"/>
        <v>917.99991734666128</v>
      </c>
      <c r="W112" s="192">
        <f t="shared" si="34"/>
        <v>917.99991734666128</v>
      </c>
      <c r="X112" s="192">
        <f t="shared" si="34"/>
        <v>917.99991734666128</v>
      </c>
      <c r="Y112" s="192">
        <f t="shared" si="34"/>
        <v>917.99991734666128</v>
      </c>
      <c r="Z112" s="192">
        <f t="shared" si="34"/>
        <v>917.99991734666128</v>
      </c>
      <c r="AA112" s="192">
        <f t="shared" si="34"/>
        <v>917.99991734666128</v>
      </c>
      <c r="AB112" s="192">
        <f t="shared" si="34"/>
        <v>917.99991734666128</v>
      </c>
      <c r="AC112" s="192">
        <f t="shared" si="34"/>
        <v>917.99991734666128</v>
      </c>
      <c r="AD112" s="192">
        <f t="shared" si="34"/>
        <v>917.99991734666128</v>
      </c>
      <c r="AE112" s="192">
        <f t="shared" si="34"/>
        <v>917.99991734666128</v>
      </c>
      <c r="AF112" s="192">
        <f t="shared" si="34"/>
        <v>917.99991734666128</v>
      </c>
      <c r="AG112" s="192">
        <f t="shared" si="34"/>
        <v>917.99991734666128</v>
      </c>
      <c r="AH112" s="192">
        <f t="shared" si="34"/>
        <v>917.99991734666128</v>
      </c>
      <c r="AI112" s="192">
        <f t="shared" si="34"/>
        <v>917.99991734666128</v>
      </c>
      <c r="AJ112" s="192">
        <f t="shared" si="34"/>
        <v>917.99991734666128</v>
      </c>
      <c r="AK112" s="192">
        <f t="shared" si="34"/>
        <v>917.99991734666128</v>
      </c>
      <c r="AL112" s="192">
        <f t="shared" ref="AL112:BQ112" si="35">AK112*(1+AL$99)</f>
        <v>917.99991734666128</v>
      </c>
      <c r="AM112" s="192">
        <f t="shared" si="35"/>
        <v>917.99991734666128</v>
      </c>
      <c r="AN112" s="192">
        <f t="shared" si="35"/>
        <v>917.99991734666128</v>
      </c>
      <c r="AO112" s="192">
        <f t="shared" si="35"/>
        <v>917.99991734666128</v>
      </c>
      <c r="AP112" s="192">
        <f t="shared" si="35"/>
        <v>917.99991734666128</v>
      </c>
      <c r="AQ112" s="192">
        <f t="shared" si="35"/>
        <v>917.99991734666128</v>
      </c>
      <c r="AR112" s="192">
        <f t="shared" si="35"/>
        <v>917.99991734666128</v>
      </c>
      <c r="AS112" s="192">
        <f t="shared" si="35"/>
        <v>917.99991734666128</v>
      </c>
      <c r="AT112" s="192">
        <f t="shared" si="35"/>
        <v>917.99991734666128</v>
      </c>
      <c r="AU112" s="192">
        <f t="shared" si="35"/>
        <v>917.99991734666128</v>
      </c>
      <c r="AV112" s="192">
        <f t="shared" si="35"/>
        <v>917.99991734666128</v>
      </c>
      <c r="AW112" s="192">
        <f t="shared" si="35"/>
        <v>917.99991734666128</v>
      </c>
      <c r="AX112" s="192">
        <f t="shared" si="35"/>
        <v>917.99991734666128</v>
      </c>
      <c r="AY112" s="192">
        <f t="shared" si="35"/>
        <v>917.99991734666128</v>
      </c>
      <c r="AZ112" s="192">
        <f t="shared" si="35"/>
        <v>917.99991734666128</v>
      </c>
      <c r="BA112" s="192">
        <f t="shared" si="35"/>
        <v>917.99991734666128</v>
      </c>
      <c r="BB112" s="192">
        <f t="shared" si="35"/>
        <v>917.99991734666128</v>
      </c>
      <c r="BC112" s="192">
        <f t="shared" si="35"/>
        <v>917.99991734666128</v>
      </c>
      <c r="BD112" s="192">
        <f t="shared" si="35"/>
        <v>917.99991734666128</v>
      </c>
      <c r="BE112" s="192">
        <f t="shared" si="35"/>
        <v>917.99991734666128</v>
      </c>
      <c r="BF112" s="192">
        <f t="shared" si="35"/>
        <v>917.99991734666128</v>
      </c>
      <c r="BG112" s="192">
        <f t="shared" si="35"/>
        <v>917.99991734666128</v>
      </c>
      <c r="BH112" s="192">
        <f t="shared" si="35"/>
        <v>917.99991734666128</v>
      </c>
      <c r="BI112" s="192">
        <f t="shared" si="35"/>
        <v>917.99991734666128</v>
      </c>
      <c r="BJ112" s="192">
        <f t="shared" si="35"/>
        <v>917.99991734666128</v>
      </c>
      <c r="BK112" s="192">
        <f t="shared" si="35"/>
        <v>917.99991734666128</v>
      </c>
      <c r="BL112" s="192">
        <f t="shared" si="35"/>
        <v>917.99991734666128</v>
      </c>
      <c r="BM112" s="192">
        <f t="shared" si="35"/>
        <v>917.99991734666128</v>
      </c>
      <c r="BN112" s="192">
        <f t="shared" si="35"/>
        <v>917.99991734666128</v>
      </c>
      <c r="BO112" s="192">
        <f t="shared" si="35"/>
        <v>917.99991734666128</v>
      </c>
      <c r="BP112" s="192">
        <f t="shared" si="35"/>
        <v>917.99991734666128</v>
      </c>
      <c r="BQ112" s="192">
        <f t="shared" si="35"/>
        <v>917.99991734666128</v>
      </c>
      <c r="BR112" s="192">
        <f t="shared" ref="BR112:CB112" si="36">BQ112*(1+BR$99)</f>
        <v>917.99991734666128</v>
      </c>
      <c r="BS112" s="192">
        <f t="shared" si="36"/>
        <v>917.99991734666128</v>
      </c>
      <c r="BT112" s="192">
        <f t="shared" si="36"/>
        <v>917.99991734666128</v>
      </c>
      <c r="BU112" s="192">
        <f t="shared" si="36"/>
        <v>917.99991734666128</v>
      </c>
      <c r="BV112" s="192">
        <f t="shared" si="36"/>
        <v>917.99991734666128</v>
      </c>
      <c r="BW112" s="192">
        <f t="shared" si="36"/>
        <v>917.99991734666128</v>
      </c>
      <c r="BX112" s="192">
        <f t="shared" si="36"/>
        <v>917.99991734666128</v>
      </c>
      <c r="BY112" s="192">
        <f t="shared" si="36"/>
        <v>917.99991734666128</v>
      </c>
      <c r="BZ112" s="192">
        <f t="shared" si="36"/>
        <v>917.99991734666128</v>
      </c>
      <c r="CA112" s="192">
        <f t="shared" si="36"/>
        <v>917.99991734666128</v>
      </c>
      <c r="CB112" s="192">
        <f t="shared" si="36"/>
        <v>917.99991734666128</v>
      </c>
    </row>
    <row r="113" spans="2:80" ht="15" customHeight="1">
      <c r="B113" s="199" t="s">
        <v>14</v>
      </c>
      <c r="D113" s="1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row>
    <row r="114" spans="2:80" ht="15" customHeight="1">
      <c r="B114" s="136" t="s">
        <v>407</v>
      </c>
      <c r="C114" s="1" t="s">
        <v>756</v>
      </c>
      <c r="D114" s="12" t="s">
        <v>404</v>
      </c>
      <c r="E114" s="192">
        <f>0.5*(C96)*health!B32*(health!Q73+health!Q74)*health!F87/1000</f>
        <v>1169.9257551951166</v>
      </c>
      <c r="F114" s="192">
        <f t="shared" ref="F114:AK114" si="37">E114*(1+E$100)</f>
        <v>1197.8002132680749</v>
      </c>
      <c r="G114" s="192">
        <f t="shared" si="37"/>
        <v>1226.3388035814005</v>
      </c>
      <c r="H114" s="192">
        <f t="shared" si="37"/>
        <v>1255.5573496403088</v>
      </c>
      <c r="I114" s="192">
        <f t="shared" si="37"/>
        <v>1285.4720519582404</v>
      </c>
      <c r="J114" s="192">
        <f t="shared" si="37"/>
        <v>1316.0994970393974</v>
      </c>
      <c r="K114" s="192">
        <f t="shared" si="37"/>
        <v>1347.4566665752948</v>
      </c>
      <c r="L114" s="192">
        <f t="shared" si="37"/>
        <v>1379.5609468604287</v>
      </c>
      <c r="M114" s="192">
        <f t="shared" si="37"/>
        <v>1412.4301384322803</v>
      </c>
      <c r="N114" s="192">
        <f t="shared" si="37"/>
        <v>1446.0824659410007</v>
      </c>
      <c r="O114" s="192">
        <f t="shared" si="37"/>
        <v>1480.5365882542494</v>
      </c>
      <c r="P114" s="192">
        <f t="shared" si="37"/>
        <v>1515.8116088027891</v>
      </c>
      <c r="Q114" s="192">
        <f t="shared" si="37"/>
        <v>1551.9270861725731</v>
      </c>
      <c r="R114" s="192">
        <f t="shared" si="37"/>
        <v>1588.9030449491972</v>
      </c>
      <c r="S114" s="192">
        <f t="shared" si="37"/>
        <v>1626.7599868207312</v>
      </c>
      <c r="T114" s="192">
        <f t="shared" si="37"/>
        <v>1665.5189019450829</v>
      </c>
      <c r="U114" s="192">
        <f t="shared" si="37"/>
        <v>1705.2012805882002</v>
      </c>
      <c r="V114" s="192">
        <f t="shared" si="37"/>
        <v>1745.829125039563</v>
      </c>
      <c r="W114" s="192">
        <f t="shared" si="37"/>
        <v>1787.4249618115714</v>
      </c>
      <c r="X114" s="192">
        <f t="shared" si="37"/>
        <v>1830.011854129594</v>
      </c>
      <c r="Y114" s="192">
        <f t="shared" si="37"/>
        <v>1873.613414719603</v>
      </c>
      <c r="Z114" s="192">
        <f t="shared" si="37"/>
        <v>1918.2538189004852</v>
      </c>
      <c r="AA114" s="192">
        <f t="shared" si="37"/>
        <v>1963.9578179882869</v>
      </c>
      <c r="AB114" s="192">
        <f t="shared" si="37"/>
        <v>2010.7507530198291</v>
      </c>
      <c r="AC114" s="192">
        <f t="shared" si="37"/>
        <v>2058.6585688032956</v>
      </c>
      <c r="AD114" s="192">
        <f t="shared" si="37"/>
        <v>2107.7078283035903</v>
      </c>
      <c r="AE114" s="192">
        <f t="shared" si="37"/>
        <v>2157.9257273704384</v>
      </c>
      <c r="AF114" s="192">
        <f t="shared" si="37"/>
        <v>2209.340109817394</v>
      </c>
      <c r="AG114" s="192">
        <f t="shared" si="37"/>
        <v>2261.9794828601212</v>
      </c>
      <c r="AH114" s="192">
        <f t="shared" si="37"/>
        <v>2315.8730329225014</v>
      </c>
      <c r="AI114" s="192">
        <f t="shared" si="37"/>
        <v>2371.0506418193381</v>
      </c>
      <c r="AJ114" s="192">
        <f t="shared" si="37"/>
        <v>2427.542903324626</v>
      </c>
      <c r="AK114" s="192">
        <f t="shared" si="37"/>
        <v>2485.3811401345715</v>
      </c>
      <c r="AL114" s="192">
        <f t="shared" ref="AL114:BQ114" si="38">AK114*(1+AK$100)</f>
        <v>2544.5974212347751</v>
      </c>
      <c r="AM114" s="192">
        <f t="shared" si="38"/>
        <v>2605.224579681199</v>
      </c>
      <c r="AN114" s="192">
        <f t="shared" si="38"/>
        <v>2667.2962308047804</v>
      </c>
      <c r="AO114" s="192">
        <f t="shared" si="38"/>
        <v>2730.8467908497873</v>
      </c>
      <c r="AP114" s="192">
        <f t="shared" si="38"/>
        <v>2795.911496056247</v>
      </c>
      <c r="AQ114" s="192">
        <f t="shared" si="38"/>
        <v>2862.5264221970292</v>
      </c>
      <c r="AR114" s="192">
        <f t="shared" si="38"/>
        <v>2930.7285045804183</v>
      </c>
      <c r="AS114" s="192">
        <f t="shared" si="38"/>
        <v>3000.5555585292614</v>
      </c>
      <c r="AT114" s="192">
        <f t="shared" si="38"/>
        <v>3072.04630034805</v>
      </c>
      <c r="AU114" s="192">
        <f t="shared" si="38"/>
        <v>3145.2403687895612</v>
      </c>
      <c r="AV114" s="192">
        <f t="shared" si="38"/>
        <v>3220.1783470329569</v>
      </c>
      <c r="AW114" s="192">
        <f t="shared" si="38"/>
        <v>3296.9017851855328</v>
      </c>
      <c r="AX114" s="192">
        <f t="shared" si="38"/>
        <v>3375.4532233205864</v>
      </c>
      <c r="AY114" s="192">
        <f t="shared" si="38"/>
        <v>3455.876215064186</v>
      </c>
      <c r="AZ114" s="192">
        <f t="shared" si="38"/>
        <v>3538.2153517439101</v>
      </c>
      <c r="BA114" s="192">
        <f t="shared" si="38"/>
        <v>3622.5162871129533</v>
      </c>
      <c r="BB114" s="192">
        <f t="shared" si="38"/>
        <v>3708.8257626633035</v>
      </c>
      <c r="BC114" s="192">
        <f t="shared" si="38"/>
        <v>3797.1916335420278</v>
      </c>
      <c r="BD114" s="192">
        <f t="shared" si="38"/>
        <v>3887.6628950850327</v>
      </c>
      <c r="BE114" s="192">
        <f t="shared" si="38"/>
        <v>3980.2897099830175</v>
      </c>
      <c r="BF114" s="192">
        <f t="shared" si="38"/>
        <v>4075.1234360946755</v>
      </c>
      <c r="BG114" s="192">
        <f t="shared" si="38"/>
        <v>4172.2166549225713</v>
      </c>
      <c r="BH114" s="192">
        <f t="shared" si="38"/>
        <v>4271.6232007674753</v>
      </c>
      <c r="BI114" s="192">
        <f t="shared" si="38"/>
        <v>4373.3981905773289</v>
      </c>
      <c r="BJ114" s="192">
        <f t="shared" si="38"/>
        <v>4477.5980545073844</v>
      </c>
      <c r="BK114" s="192">
        <f t="shared" si="38"/>
        <v>4584.280567208466</v>
      </c>
      <c r="BL114" s="192">
        <f t="shared" si="38"/>
        <v>4693.5048798606977</v>
      </c>
      <c r="BM114" s="192">
        <f t="shared" si="38"/>
        <v>4805.3315529704651</v>
      </c>
      <c r="BN114" s="192">
        <f t="shared" si="38"/>
        <v>4919.8225899487898</v>
      </c>
      <c r="BO114" s="192">
        <f t="shared" si="38"/>
        <v>5037.0414714897379</v>
      </c>
      <c r="BP114" s="192">
        <f t="shared" si="38"/>
        <v>5157.0531907679206</v>
      </c>
      <c r="BQ114" s="192">
        <f t="shared" si="38"/>
        <v>5279.9242894746085</v>
      </c>
      <c r="BR114" s="192">
        <f t="shared" ref="BR114:CB114" si="39">BQ114*(1+BQ$100)</f>
        <v>5405.7228947124322</v>
      </c>
      <c r="BS114" s="192">
        <f t="shared" si="39"/>
        <v>5534.5187567691328</v>
      </c>
      <c r="BT114" s="192">
        <f t="shared" si="39"/>
        <v>5666.3832877913028</v>
      </c>
      <c r="BU114" s="192">
        <f t="shared" si="39"/>
        <v>5801.3896013795593</v>
      </c>
      <c r="BV114" s="192">
        <f t="shared" si="39"/>
        <v>5939.6125531271091</v>
      </c>
      <c r="BW114" s="192">
        <f t="shared" si="39"/>
        <v>6081.1287821241758</v>
      </c>
      <c r="BX114" s="192">
        <f t="shared" si="39"/>
        <v>6226.0167534513048</v>
      </c>
      <c r="BY114" s="192">
        <f t="shared" si="39"/>
        <v>6374.3568016851095</v>
      </c>
      <c r="BZ114" s="192">
        <f t="shared" si="39"/>
        <v>6526.2311754405746</v>
      </c>
      <c r="CA114" s="192">
        <f t="shared" si="39"/>
        <v>6681.7240829746188</v>
      </c>
      <c r="CB114" s="192">
        <f t="shared" si="39"/>
        <v>6840.9217388762008</v>
      </c>
    </row>
    <row r="115" spans="2:80" ht="15" customHeight="1">
      <c r="D115" s="12"/>
    </row>
    <row r="116" spans="2:80" ht="15" customHeight="1">
      <c r="B116" s="201" t="s">
        <v>408</v>
      </c>
      <c r="D116" s="12"/>
    </row>
    <row r="117" spans="2:80" ht="15" customHeight="1">
      <c r="B117" s="200" t="s">
        <v>391</v>
      </c>
      <c r="D117" s="12"/>
      <c r="E117" s="192"/>
    </row>
    <row r="118" spans="2:80" ht="15" customHeight="1">
      <c r="B118" s="136" t="s">
        <v>407</v>
      </c>
      <c r="C118" s="1" t="s">
        <v>756</v>
      </c>
      <c r="D118" s="12" t="s">
        <v>404</v>
      </c>
      <c r="E118" s="192">
        <f>E110*(1-health!B23)</f>
        <v>1032.6832333049383</v>
      </c>
      <c r="F118" s="192">
        <f t="shared" ref="F118:AK118" si="40">E118*(1+F$99)</f>
        <v>1032.6832333049383</v>
      </c>
      <c r="G118" s="192">
        <f t="shared" si="40"/>
        <v>1032.6832333049383</v>
      </c>
      <c r="H118" s="192">
        <f t="shared" si="40"/>
        <v>1032.6832333049383</v>
      </c>
      <c r="I118" s="192">
        <f t="shared" si="40"/>
        <v>1032.6832333049383</v>
      </c>
      <c r="J118" s="192">
        <f t="shared" si="40"/>
        <v>1032.6832333049383</v>
      </c>
      <c r="K118" s="192">
        <f t="shared" si="40"/>
        <v>1032.6832333049383</v>
      </c>
      <c r="L118" s="192">
        <f t="shared" si="40"/>
        <v>1032.6832333049383</v>
      </c>
      <c r="M118" s="192">
        <f t="shared" si="40"/>
        <v>1032.6832333049383</v>
      </c>
      <c r="N118" s="192">
        <f t="shared" si="40"/>
        <v>1032.6832333049383</v>
      </c>
      <c r="O118" s="192">
        <f t="shared" si="40"/>
        <v>1032.6832333049383</v>
      </c>
      <c r="P118" s="192">
        <f t="shared" si="40"/>
        <v>1032.6832333049383</v>
      </c>
      <c r="Q118" s="192">
        <f t="shared" si="40"/>
        <v>1032.6832333049383</v>
      </c>
      <c r="R118" s="192">
        <f t="shared" si="40"/>
        <v>1032.6832333049383</v>
      </c>
      <c r="S118" s="192">
        <f t="shared" si="40"/>
        <v>1032.6832333049383</v>
      </c>
      <c r="T118" s="192">
        <f t="shared" si="40"/>
        <v>1032.6832333049383</v>
      </c>
      <c r="U118" s="192">
        <f t="shared" si="40"/>
        <v>1032.6832333049383</v>
      </c>
      <c r="V118" s="192">
        <f t="shared" si="40"/>
        <v>1032.6832333049383</v>
      </c>
      <c r="W118" s="192">
        <f t="shared" si="40"/>
        <v>1032.6832333049383</v>
      </c>
      <c r="X118" s="192">
        <f t="shared" si="40"/>
        <v>1032.6832333049383</v>
      </c>
      <c r="Y118" s="192">
        <f t="shared" si="40"/>
        <v>1032.6832333049383</v>
      </c>
      <c r="Z118" s="192">
        <f t="shared" si="40"/>
        <v>1032.6832333049383</v>
      </c>
      <c r="AA118" s="192">
        <f t="shared" si="40"/>
        <v>1032.6832333049383</v>
      </c>
      <c r="AB118" s="192">
        <f t="shared" si="40"/>
        <v>1032.6832333049383</v>
      </c>
      <c r="AC118" s="192">
        <f t="shared" si="40"/>
        <v>1032.6832333049383</v>
      </c>
      <c r="AD118" s="192">
        <f t="shared" si="40"/>
        <v>1032.6832333049383</v>
      </c>
      <c r="AE118" s="192">
        <f t="shared" si="40"/>
        <v>1032.6832333049383</v>
      </c>
      <c r="AF118" s="192">
        <f t="shared" si="40"/>
        <v>1032.6832333049383</v>
      </c>
      <c r="AG118" s="192">
        <f t="shared" si="40"/>
        <v>1032.6832333049383</v>
      </c>
      <c r="AH118" s="192">
        <f t="shared" si="40"/>
        <v>1032.6832333049383</v>
      </c>
      <c r="AI118" s="192">
        <f t="shared" si="40"/>
        <v>1032.6832333049383</v>
      </c>
      <c r="AJ118" s="192">
        <f t="shared" si="40"/>
        <v>1032.6832333049383</v>
      </c>
      <c r="AK118" s="192">
        <f t="shared" si="40"/>
        <v>1032.6832333049383</v>
      </c>
      <c r="AL118" s="192">
        <f t="shared" ref="AL118:BQ118" si="41">AK118*(1+AL$99)</f>
        <v>1032.6832333049383</v>
      </c>
      <c r="AM118" s="192">
        <f t="shared" si="41"/>
        <v>1032.6832333049383</v>
      </c>
      <c r="AN118" s="192">
        <f t="shared" si="41"/>
        <v>1032.6832333049383</v>
      </c>
      <c r="AO118" s="192">
        <f t="shared" si="41"/>
        <v>1032.6832333049383</v>
      </c>
      <c r="AP118" s="192">
        <f t="shared" si="41"/>
        <v>1032.6832333049383</v>
      </c>
      <c r="AQ118" s="192">
        <f t="shared" si="41"/>
        <v>1032.6832333049383</v>
      </c>
      <c r="AR118" s="192">
        <f t="shared" si="41"/>
        <v>1032.6832333049383</v>
      </c>
      <c r="AS118" s="192">
        <f t="shared" si="41"/>
        <v>1032.6832333049383</v>
      </c>
      <c r="AT118" s="192">
        <f t="shared" si="41"/>
        <v>1032.6832333049383</v>
      </c>
      <c r="AU118" s="192">
        <f t="shared" si="41"/>
        <v>1032.6832333049383</v>
      </c>
      <c r="AV118" s="192">
        <f t="shared" si="41"/>
        <v>1032.6832333049383</v>
      </c>
      <c r="AW118" s="192">
        <f t="shared" si="41"/>
        <v>1032.6832333049383</v>
      </c>
      <c r="AX118" s="192">
        <f t="shared" si="41"/>
        <v>1032.6832333049383</v>
      </c>
      <c r="AY118" s="192">
        <f t="shared" si="41"/>
        <v>1032.6832333049383</v>
      </c>
      <c r="AZ118" s="192">
        <f t="shared" si="41"/>
        <v>1032.6832333049383</v>
      </c>
      <c r="BA118" s="192">
        <f t="shared" si="41"/>
        <v>1032.6832333049383</v>
      </c>
      <c r="BB118" s="192">
        <f t="shared" si="41"/>
        <v>1032.6832333049383</v>
      </c>
      <c r="BC118" s="192">
        <f t="shared" si="41"/>
        <v>1032.6832333049383</v>
      </c>
      <c r="BD118" s="192">
        <f t="shared" si="41"/>
        <v>1032.6832333049383</v>
      </c>
      <c r="BE118" s="192">
        <f t="shared" si="41"/>
        <v>1032.6832333049383</v>
      </c>
      <c r="BF118" s="192">
        <f t="shared" si="41"/>
        <v>1032.6832333049383</v>
      </c>
      <c r="BG118" s="192">
        <f t="shared" si="41"/>
        <v>1032.6832333049383</v>
      </c>
      <c r="BH118" s="192">
        <f t="shared" si="41"/>
        <v>1032.6832333049383</v>
      </c>
      <c r="BI118" s="192">
        <f t="shared" si="41"/>
        <v>1032.6832333049383</v>
      </c>
      <c r="BJ118" s="192">
        <f t="shared" si="41"/>
        <v>1032.6832333049383</v>
      </c>
      <c r="BK118" s="192">
        <f t="shared" si="41"/>
        <v>1032.6832333049383</v>
      </c>
      <c r="BL118" s="192">
        <f t="shared" si="41"/>
        <v>1032.6832333049383</v>
      </c>
      <c r="BM118" s="192">
        <f t="shared" si="41"/>
        <v>1032.6832333049383</v>
      </c>
      <c r="BN118" s="192">
        <f t="shared" si="41"/>
        <v>1032.6832333049383</v>
      </c>
      <c r="BO118" s="192">
        <f t="shared" si="41"/>
        <v>1032.6832333049383</v>
      </c>
      <c r="BP118" s="192">
        <f t="shared" si="41"/>
        <v>1032.6832333049383</v>
      </c>
      <c r="BQ118" s="192">
        <f t="shared" si="41"/>
        <v>1032.6832333049383</v>
      </c>
      <c r="BR118" s="192">
        <f t="shared" ref="BR118:CB118" si="42">BQ118*(1+BR$99)</f>
        <v>1032.6832333049383</v>
      </c>
      <c r="BS118" s="192">
        <f t="shared" si="42"/>
        <v>1032.6832333049383</v>
      </c>
      <c r="BT118" s="192">
        <f t="shared" si="42"/>
        <v>1032.6832333049383</v>
      </c>
      <c r="BU118" s="192">
        <f t="shared" si="42"/>
        <v>1032.6832333049383</v>
      </c>
      <c r="BV118" s="192">
        <f t="shared" si="42"/>
        <v>1032.6832333049383</v>
      </c>
      <c r="BW118" s="192">
        <f t="shared" si="42"/>
        <v>1032.6832333049383</v>
      </c>
      <c r="BX118" s="192">
        <f t="shared" si="42"/>
        <v>1032.6832333049383</v>
      </c>
      <c r="BY118" s="192">
        <f t="shared" si="42"/>
        <v>1032.6832333049383</v>
      </c>
      <c r="BZ118" s="192">
        <f t="shared" si="42"/>
        <v>1032.6832333049383</v>
      </c>
      <c r="CA118" s="192">
        <f t="shared" si="42"/>
        <v>1032.6832333049383</v>
      </c>
      <c r="CB118" s="192">
        <f t="shared" si="42"/>
        <v>1032.6832333049383</v>
      </c>
    </row>
    <row r="119" spans="2:80" ht="15" customHeight="1">
      <c r="B119" s="200" t="s">
        <v>392</v>
      </c>
      <c r="D119" s="12"/>
      <c r="E119" s="192"/>
    </row>
    <row r="120" spans="2:80" ht="15" customHeight="1">
      <c r="B120" s="136" t="s">
        <v>407</v>
      </c>
      <c r="C120" s="1" t="s">
        <v>756</v>
      </c>
      <c r="D120" s="12" t="s">
        <v>404</v>
      </c>
      <c r="E120" s="192">
        <f>E112*(1-health!C23)</f>
        <v>578.33994792839655</v>
      </c>
      <c r="F120" s="192">
        <f t="shared" ref="F120:AK120" si="43">E120*(1+F$99)</f>
        <v>578.33994792839655</v>
      </c>
      <c r="G120" s="192">
        <f t="shared" si="43"/>
        <v>578.33994792839655</v>
      </c>
      <c r="H120" s="192">
        <f t="shared" si="43"/>
        <v>578.33994792839655</v>
      </c>
      <c r="I120" s="192">
        <f t="shared" si="43"/>
        <v>578.33994792839655</v>
      </c>
      <c r="J120" s="192">
        <f t="shared" si="43"/>
        <v>578.33994792839655</v>
      </c>
      <c r="K120" s="192">
        <f t="shared" si="43"/>
        <v>578.33994792839655</v>
      </c>
      <c r="L120" s="192">
        <f t="shared" si="43"/>
        <v>578.33994792839655</v>
      </c>
      <c r="M120" s="192">
        <f t="shared" si="43"/>
        <v>578.33994792839655</v>
      </c>
      <c r="N120" s="192">
        <f t="shared" si="43"/>
        <v>578.33994792839655</v>
      </c>
      <c r="O120" s="192">
        <f t="shared" si="43"/>
        <v>578.33994792839655</v>
      </c>
      <c r="P120" s="192">
        <f t="shared" si="43"/>
        <v>578.33994792839655</v>
      </c>
      <c r="Q120" s="192">
        <f t="shared" si="43"/>
        <v>578.33994792839655</v>
      </c>
      <c r="R120" s="192">
        <f t="shared" si="43"/>
        <v>578.33994792839655</v>
      </c>
      <c r="S120" s="192">
        <f t="shared" si="43"/>
        <v>578.33994792839655</v>
      </c>
      <c r="T120" s="192">
        <f t="shared" si="43"/>
        <v>578.33994792839655</v>
      </c>
      <c r="U120" s="192">
        <f t="shared" si="43"/>
        <v>578.33994792839655</v>
      </c>
      <c r="V120" s="192">
        <f t="shared" si="43"/>
        <v>578.33994792839655</v>
      </c>
      <c r="W120" s="192">
        <f t="shared" si="43"/>
        <v>578.33994792839655</v>
      </c>
      <c r="X120" s="192">
        <f t="shared" si="43"/>
        <v>578.33994792839655</v>
      </c>
      <c r="Y120" s="192">
        <f t="shared" si="43"/>
        <v>578.33994792839655</v>
      </c>
      <c r="Z120" s="192">
        <f t="shared" si="43"/>
        <v>578.33994792839655</v>
      </c>
      <c r="AA120" s="192">
        <f t="shared" si="43"/>
        <v>578.33994792839655</v>
      </c>
      <c r="AB120" s="192">
        <f t="shared" si="43"/>
        <v>578.33994792839655</v>
      </c>
      <c r="AC120" s="192">
        <f t="shared" si="43"/>
        <v>578.33994792839655</v>
      </c>
      <c r="AD120" s="192">
        <f t="shared" si="43"/>
        <v>578.33994792839655</v>
      </c>
      <c r="AE120" s="192">
        <f t="shared" si="43"/>
        <v>578.33994792839655</v>
      </c>
      <c r="AF120" s="192">
        <f t="shared" si="43"/>
        <v>578.33994792839655</v>
      </c>
      <c r="AG120" s="192">
        <f t="shared" si="43"/>
        <v>578.33994792839655</v>
      </c>
      <c r="AH120" s="192">
        <f t="shared" si="43"/>
        <v>578.33994792839655</v>
      </c>
      <c r="AI120" s="192">
        <f t="shared" si="43"/>
        <v>578.33994792839655</v>
      </c>
      <c r="AJ120" s="192">
        <f t="shared" si="43"/>
        <v>578.33994792839655</v>
      </c>
      <c r="AK120" s="192">
        <f t="shared" si="43"/>
        <v>578.33994792839655</v>
      </c>
      <c r="AL120" s="192">
        <f t="shared" ref="AL120:BQ120" si="44">AK120*(1+AL$99)</f>
        <v>578.33994792839655</v>
      </c>
      <c r="AM120" s="192">
        <f t="shared" si="44"/>
        <v>578.33994792839655</v>
      </c>
      <c r="AN120" s="192">
        <f t="shared" si="44"/>
        <v>578.33994792839655</v>
      </c>
      <c r="AO120" s="192">
        <f t="shared" si="44"/>
        <v>578.33994792839655</v>
      </c>
      <c r="AP120" s="192">
        <f t="shared" si="44"/>
        <v>578.33994792839655</v>
      </c>
      <c r="AQ120" s="192">
        <f t="shared" si="44"/>
        <v>578.33994792839655</v>
      </c>
      <c r="AR120" s="192">
        <f t="shared" si="44"/>
        <v>578.33994792839655</v>
      </c>
      <c r="AS120" s="192">
        <f t="shared" si="44"/>
        <v>578.33994792839655</v>
      </c>
      <c r="AT120" s="192">
        <f t="shared" si="44"/>
        <v>578.33994792839655</v>
      </c>
      <c r="AU120" s="192">
        <f t="shared" si="44"/>
        <v>578.33994792839655</v>
      </c>
      <c r="AV120" s="192">
        <f t="shared" si="44"/>
        <v>578.33994792839655</v>
      </c>
      <c r="AW120" s="192">
        <f t="shared" si="44"/>
        <v>578.33994792839655</v>
      </c>
      <c r="AX120" s="192">
        <f t="shared" si="44"/>
        <v>578.33994792839655</v>
      </c>
      <c r="AY120" s="192">
        <f t="shared" si="44"/>
        <v>578.33994792839655</v>
      </c>
      <c r="AZ120" s="192">
        <f t="shared" si="44"/>
        <v>578.33994792839655</v>
      </c>
      <c r="BA120" s="192">
        <f t="shared" si="44"/>
        <v>578.33994792839655</v>
      </c>
      <c r="BB120" s="192">
        <f t="shared" si="44"/>
        <v>578.33994792839655</v>
      </c>
      <c r="BC120" s="192">
        <f t="shared" si="44"/>
        <v>578.33994792839655</v>
      </c>
      <c r="BD120" s="192">
        <f t="shared" si="44"/>
        <v>578.33994792839655</v>
      </c>
      <c r="BE120" s="192">
        <f t="shared" si="44"/>
        <v>578.33994792839655</v>
      </c>
      <c r="BF120" s="192">
        <f t="shared" si="44"/>
        <v>578.33994792839655</v>
      </c>
      <c r="BG120" s="192">
        <f t="shared" si="44"/>
        <v>578.33994792839655</v>
      </c>
      <c r="BH120" s="192">
        <f t="shared" si="44"/>
        <v>578.33994792839655</v>
      </c>
      <c r="BI120" s="192">
        <f t="shared" si="44"/>
        <v>578.33994792839655</v>
      </c>
      <c r="BJ120" s="192">
        <f t="shared" si="44"/>
        <v>578.33994792839655</v>
      </c>
      <c r="BK120" s="192">
        <f t="shared" si="44"/>
        <v>578.33994792839655</v>
      </c>
      <c r="BL120" s="192">
        <f t="shared" si="44"/>
        <v>578.33994792839655</v>
      </c>
      <c r="BM120" s="192">
        <f t="shared" si="44"/>
        <v>578.33994792839655</v>
      </c>
      <c r="BN120" s="192">
        <f t="shared" si="44"/>
        <v>578.33994792839655</v>
      </c>
      <c r="BO120" s="192">
        <f t="shared" si="44"/>
        <v>578.33994792839655</v>
      </c>
      <c r="BP120" s="192">
        <f t="shared" si="44"/>
        <v>578.33994792839655</v>
      </c>
      <c r="BQ120" s="192">
        <f t="shared" si="44"/>
        <v>578.33994792839655</v>
      </c>
      <c r="BR120" s="192">
        <f t="shared" ref="BR120:CB120" si="45">BQ120*(1+BR$99)</f>
        <v>578.33994792839655</v>
      </c>
      <c r="BS120" s="192">
        <f t="shared" si="45"/>
        <v>578.33994792839655</v>
      </c>
      <c r="BT120" s="192">
        <f t="shared" si="45"/>
        <v>578.33994792839655</v>
      </c>
      <c r="BU120" s="192">
        <f t="shared" si="45"/>
        <v>578.33994792839655</v>
      </c>
      <c r="BV120" s="192">
        <f t="shared" si="45"/>
        <v>578.33994792839655</v>
      </c>
      <c r="BW120" s="192">
        <f t="shared" si="45"/>
        <v>578.33994792839655</v>
      </c>
      <c r="BX120" s="192">
        <f t="shared" si="45"/>
        <v>578.33994792839655</v>
      </c>
      <c r="BY120" s="192">
        <f t="shared" si="45"/>
        <v>578.33994792839655</v>
      </c>
      <c r="BZ120" s="192">
        <f t="shared" si="45"/>
        <v>578.33994792839655</v>
      </c>
      <c r="CA120" s="192">
        <f t="shared" si="45"/>
        <v>578.33994792839655</v>
      </c>
      <c r="CB120" s="192">
        <f t="shared" si="45"/>
        <v>578.33994792839655</v>
      </c>
    </row>
    <row r="121" spans="2:80" ht="15" customHeight="1">
      <c r="B121" s="199" t="s">
        <v>14</v>
      </c>
      <c r="D121" s="1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2"/>
      <c r="BR121" s="192"/>
      <c r="BS121" s="192"/>
      <c r="BT121" s="192"/>
      <c r="BU121" s="192"/>
      <c r="BV121" s="192"/>
      <c r="BW121" s="192"/>
      <c r="BX121" s="192"/>
      <c r="BY121" s="192"/>
      <c r="BZ121" s="192"/>
      <c r="CA121" s="192"/>
      <c r="CB121" s="192"/>
    </row>
    <row r="122" spans="2:80" ht="15" customHeight="1">
      <c r="B122" s="136" t="s">
        <v>407</v>
      </c>
      <c r="C122" s="1" t="s">
        <v>756</v>
      </c>
      <c r="D122" s="12" t="s">
        <v>404</v>
      </c>
      <c r="E122" s="192">
        <f>E114*(1-health!D23)</f>
        <v>737.0532257729235</v>
      </c>
      <c r="F122" s="192">
        <f>E122*(1+E$100)</f>
        <v>754.61413435888721</v>
      </c>
      <c r="G122" s="192">
        <f t="shared" ref="G122:AK122" si="46">F122*(1+F$100)</f>
        <v>772.59344625628228</v>
      </c>
      <c r="H122" s="192">
        <f t="shared" si="46"/>
        <v>791.00113027339444</v>
      </c>
      <c r="I122" s="192">
        <f t="shared" si="46"/>
        <v>809.84739273369144</v>
      </c>
      <c r="J122" s="192">
        <f t="shared" si="46"/>
        <v>829.14268313482035</v>
      </c>
      <c r="K122" s="192">
        <f t="shared" si="46"/>
        <v>848.89769994243568</v>
      </c>
      <c r="L122" s="192">
        <f t="shared" si="46"/>
        <v>869.12339652207004</v>
      </c>
      <c r="M122" s="192">
        <f t="shared" si="46"/>
        <v>889.83098721233659</v>
      </c>
      <c r="N122" s="192">
        <f t="shared" si="46"/>
        <v>911.03195354283048</v>
      </c>
      <c r="O122" s="192">
        <f t="shared" si="46"/>
        <v>932.73805060017719</v>
      </c>
      <c r="P122" s="192">
        <f t="shared" si="46"/>
        <v>954.96131354575721</v>
      </c>
      <c r="Q122" s="192">
        <f t="shared" si="46"/>
        <v>977.71406428872115</v>
      </c>
      <c r="R122" s="192">
        <f t="shared" si="46"/>
        <v>1001.0089183179944</v>
      </c>
      <c r="S122" s="192">
        <f t="shared" si="46"/>
        <v>1024.8587916970607</v>
      </c>
      <c r="T122" s="192">
        <f t="shared" si="46"/>
        <v>1049.2769082254022</v>
      </c>
      <c r="U122" s="192">
        <f t="shared" si="46"/>
        <v>1074.2768067705661</v>
      </c>
      <c r="V122" s="192">
        <f t="shared" si="46"/>
        <v>1099.8723487749246</v>
      </c>
      <c r="W122" s="192">
        <f t="shared" si="46"/>
        <v>1126.0777259412898</v>
      </c>
      <c r="X122" s="192">
        <f t="shared" si="46"/>
        <v>1152.9074681016441</v>
      </c>
      <c r="Y122" s="192">
        <f t="shared" si="46"/>
        <v>1180.3764512733496</v>
      </c>
      <c r="Z122" s="192">
        <f t="shared" si="46"/>
        <v>1208.4999059073052</v>
      </c>
      <c r="AA122" s="192">
        <f t="shared" si="46"/>
        <v>1237.2934253326205</v>
      </c>
      <c r="AB122" s="192">
        <f t="shared" si="46"/>
        <v>1266.7729744024921</v>
      </c>
      <c r="AC122" s="192">
        <f t="shared" si="46"/>
        <v>1296.9548983460759</v>
      </c>
      <c r="AD122" s="192">
        <f t="shared" si="46"/>
        <v>1327.8559318312616</v>
      </c>
      <c r="AE122" s="192">
        <f t="shared" si="46"/>
        <v>1359.4932082433759</v>
      </c>
      <c r="AF122" s="192">
        <f t="shared" si="46"/>
        <v>1391.8842691849579</v>
      </c>
      <c r="AG122" s="192">
        <f t="shared" si="46"/>
        <v>1425.0470742018758</v>
      </c>
      <c r="AH122" s="192">
        <f t="shared" si="46"/>
        <v>1459.0000107411754</v>
      </c>
      <c r="AI122" s="192">
        <f t="shared" si="46"/>
        <v>1493.7619043461827</v>
      </c>
      <c r="AJ122" s="192">
        <f t="shared" si="46"/>
        <v>1529.3520290945139</v>
      </c>
      <c r="AK122" s="192">
        <f t="shared" si="46"/>
        <v>1565.7901182847795</v>
      </c>
      <c r="AL122" s="192">
        <f t="shared" ref="AL122:BQ122" si="47">AK122*(1+AK$100)</f>
        <v>1603.0963753779079</v>
      </c>
      <c r="AM122" s="192">
        <f t="shared" si="47"/>
        <v>1641.2914851991547</v>
      </c>
      <c r="AN122" s="192">
        <f t="shared" si="47"/>
        <v>1680.396625407011</v>
      </c>
      <c r="AO122" s="192">
        <f t="shared" si="47"/>
        <v>1720.4334782353653</v>
      </c>
      <c r="AP122" s="192">
        <f t="shared" si="47"/>
        <v>1761.4242425154348</v>
      </c>
      <c r="AQ122" s="192">
        <f t="shared" si="47"/>
        <v>1803.3916459841278</v>
      </c>
      <c r="AR122" s="192">
        <f t="shared" si="47"/>
        <v>1846.3589578856629</v>
      </c>
      <c r="AS122" s="192">
        <f t="shared" si="47"/>
        <v>1890.3500018734339</v>
      </c>
      <c r="AT122" s="192">
        <f t="shared" si="47"/>
        <v>1935.3891692192708</v>
      </c>
      <c r="AU122" s="192">
        <f t="shared" si="47"/>
        <v>1981.5014323374228</v>
      </c>
      <c r="AV122" s="192">
        <f t="shared" si="47"/>
        <v>2028.7123586307623</v>
      </c>
      <c r="AW122" s="192">
        <f t="shared" si="47"/>
        <v>2077.0481246668851</v>
      </c>
      <c r="AX122" s="192">
        <f t="shared" si="47"/>
        <v>2126.5355306919687</v>
      </c>
      <c r="AY122" s="192">
        <f t="shared" si="47"/>
        <v>2177.2020154904362</v>
      </c>
      <c r="AZ122" s="192">
        <f t="shared" si="47"/>
        <v>2229.0756715986622</v>
      </c>
      <c r="BA122" s="192">
        <f t="shared" si="47"/>
        <v>2282.1852608811596</v>
      </c>
      <c r="BB122" s="192">
        <f t="shared" si="47"/>
        <v>2336.5602304778804</v>
      </c>
      <c r="BC122" s="192">
        <f t="shared" si="47"/>
        <v>2392.2307291314764</v>
      </c>
      <c r="BD122" s="192">
        <f t="shared" si="47"/>
        <v>2449.2276239035696</v>
      </c>
      <c r="BE122" s="192">
        <f t="shared" si="47"/>
        <v>2507.5825172893001</v>
      </c>
      <c r="BF122" s="192">
        <f t="shared" si="47"/>
        <v>2567.3277647396449</v>
      </c>
      <c r="BG122" s="192">
        <f t="shared" si="47"/>
        <v>2628.496492601219</v>
      </c>
      <c r="BH122" s="192">
        <f t="shared" si="47"/>
        <v>2691.1226164835084</v>
      </c>
      <c r="BI122" s="192">
        <f t="shared" si="47"/>
        <v>2755.2408600637164</v>
      </c>
      <c r="BJ122" s="192">
        <f t="shared" si="47"/>
        <v>2820.8867743396518</v>
      </c>
      <c r="BK122" s="192">
        <f t="shared" si="47"/>
        <v>2888.0967573413332</v>
      </c>
      <c r="BL122" s="192">
        <f t="shared" si="47"/>
        <v>2956.908074312239</v>
      </c>
      <c r="BM122" s="192">
        <f t="shared" si="47"/>
        <v>3027.3588783713922</v>
      </c>
      <c r="BN122" s="192">
        <f t="shared" si="47"/>
        <v>3099.4882316677367</v>
      </c>
      <c r="BO122" s="192">
        <f t="shared" si="47"/>
        <v>3173.336127038534</v>
      </c>
      <c r="BP122" s="192">
        <f t="shared" si="47"/>
        <v>3248.9435101837889</v>
      </c>
      <c r="BQ122" s="192">
        <f t="shared" si="47"/>
        <v>3326.3523023690022</v>
      </c>
      <c r="BR122" s="192">
        <f t="shared" ref="BR122:CB122" si="48">BQ122*(1+BQ$100)</f>
        <v>3405.6054236688315</v>
      </c>
      <c r="BS122" s="192">
        <f t="shared" si="48"/>
        <v>3486.7468167645529</v>
      </c>
      <c r="BT122" s="192">
        <f t="shared" si="48"/>
        <v>3569.8214713085199</v>
      </c>
      <c r="BU122" s="192">
        <f t="shared" si="48"/>
        <v>3654.8754488691216</v>
      </c>
      <c r="BV122" s="192">
        <f t="shared" si="48"/>
        <v>3741.9559084700777</v>
      </c>
      <c r="BW122" s="192">
        <f t="shared" si="48"/>
        <v>3831.1111327382296</v>
      </c>
      <c r="BX122" s="192">
        <f t="shared" si="48"/>
        <v>3922.3905546743208</v>
      </c>
      <c r="BY122" s="192">
        <f t="shared" si="48"/>
        <v>4015.8447850616176</v>
      </c>
      <c r="BZ122" s="192">
        <f t="shared" si="48"/>
        <v>4111.5256405275604</v>
      </c>
      <c r="CA122" s="192">
        <f t="shared" si="48"/>
        <v>4209.4861722740079</v>
      </c>
      <c r="CB122" s="192">
        <f t="shared" si="48"/>
        <v>4309.7806954920052</v>
      </c>
    </row>
    <row r="123" spans="2:80" ht="15" customHeight="1"/>
    <row r="124" spans="2:80" ht="15" customHeight="1">
      <c r="B124" s="3" t="s">
        <v>406</v>
      </c>
    </row>
    <row r="125" spans="2:80" ht="15" customHeight="1">
      <c r="B125" s="198" t="s">
        <v>391</v>
      </c>
      <c r="D125" s="12" t="s">
        <v>404</v>
      </c>
      <c r="E125" s="192">
        <f t="shared" ref="E125:AJ125" si="49">-(E118-E110)</f>
        <v>811.39396902530848</v>
      </c>
      <c r="F125" s="192">
        <f t="shared" si="49"/>
        <v>811.39396902530848</v>
      </c>
      <c r="G125" s="192">
        <f t="shared" si="49"/>
        <v>811.39396902530848</v>
      </c>
      <c r="H125" s="192">
        <f t="shared" si="49"/>
        <v>811.39396902530848</v>
      </c>
      <c r="I125" s="192">
        <f t="shared" si="49"/>
        <v>811.39396902530848</v>
      </c>
      <c r="J125" s="192">
        <f t="shared" si="49"/>
        <v>811.39396902530848</v>
      </c>
      <c r="K125" s="192">
        <f t="shared" si="49"/>
        <v>811.39396902530848</v>
      </c>
      <c r="L125" s="192">
        <f t="shared" si="49"/>
        <v>811.39396902530848</v>
      </c>
      <c r="M125" s="192">
        <f t="shared" si="49"/>
        <v>811.39396902530848</v>
      </c>
      <c r="N125" s="192">
        <f t="shared" si="49"/>
        <v>811.39396902530848</v>
      </c>
      <c r="O125" s="192">
        <f t="shared" si="49"/>
        <v>811.39396902530848</v>
      </c>
      <c r="P125" s="192">
        <f t="shared" si="49"/>
        <v>811.39396902530848</v>
      </c>
      <c r="Q125" s="192">
        <f t="shared" si="49"/>
        <v>811.39396902530848</v>
      </c>
      <c r="R125" s="192">
        <f t="shared" si="49"/>
        <v>811.39396902530848</v>
      </c>
      <c r="S125" s="192">
        <f t="shared" si="49"/>
        <v>811.39396902530848</v>
      </c>
      <c r="T125" s="192">
        <f t="shared" si="49"/>
        <v>811.39396902530848</v>
      </c>
      <c r="U125" s="192">
        <f t="shared" si="49"/>
        <v>811.39396902530848</v>
      </c>
      <c r="V125" s="192">
        <f t="shared" si="49"/>
        <v>811.39396902530848</v>
      </c>
      <c r="W125" s="192">
        <f t="shared" si="49"/>
        <v>811.39396902530848</v>
      </c>
      <c r="X125" s="192">
        <f t="shared" si="49"/>
        <v>811.39396902530848</v>
      </c>
      <c r="Y125" s="192">
        <f t="shared" si="49"/>
        <v>811.39396902530848</v>
      </c>
      <c r="Z125" s="192">
        <f t="shared" si="49"/>
        <v>811.39396902530848</v>
      </c>
      <c r="AA125" s="192">
        <f t="shared" si="49"/>
        <v>811.39396902530848</v>
      </c>
      <c r="AB125" s="192">
        <f t="shared" si="49"/>
        <v>811.39396902530848</v>
      </c>
      <c r="AC125" s="192">
        <f t="shared" si="49"/>
        <v>811.39396902530848</v>
      </c>
      <c r="AD125" s="192">
        <f t="shared" si="49"/>
        <v>811.39396902530848</v>
      </c>
      <c r="AE125" s="192">
        <f t="shared" si="49"/>
        <v>811.39396902530848</v>
      </c>
      <c r="AF125" s="192">
        <f t="shared" si="49"/>
        <v>811.39396902530848</v>
      </c>
      <c r="AG125" s="192">
        <f t="shared" si="49"/>
        <v>811.39396902530848</v>
      </c>
      <c r="AH125" s="192">
        <f t="shared" si="49"/>
        <v>811.39396902530848</v>
      </c>
      <c r="AI125" s="192">
        <f t="shared" si="49"/>
        <v>811.39396902530848</v>
      </c>
      <c r="AJ125" s="192">
        <f t="shared" si="49"/>
        <v>811.39396902530848</v>
      </c>
      <c r="AK125" s="192">
        <f t="shared" ref="AK125:BP125" si="50">-(AK118-AK110)</f>
        <v>811.39396902530848</v>
      </c>
      <c r="AL125" s="192">
        <f t="shared" si="50"/>
        <v>811.39396902530848</v>
      </c>
      <c r="AM125" s="192">
        <f t="shared" si="50"/>
        <v>811.39396902530848</v>
      </c>
      <c r="AN125" s="192">
        <f t="shared" si="50"/>
        <v>811.39396902530848</v>
      </c>
      <c r="AO125" s="192">
        <f t="shared" si="50"/>
        <v>811.39396902530848</v>
      </c>
      <c r="AP125" s="192">
        <f t="shared" si="50"/>
        <v>811.39396902530848</v>
      </c>
      <c r="AQ125" s="192">
        <f t="shared" si="50"/>
        <v>811.39396902530848</v>
      </c>
      <c r="AR125" s="192">
        <f t="shared" si="50"/>
        <v>811.39396902530848</v>
      </c>
      <c r="AS125" s="192">
        <f t="shared" si="50"/>
        <v>811.39396902530848</v>
      </c>
      <c r="AT125" s="192">
        <f t="shared" si="50"/>
        <v>811.39396902530848</v>
      </c>
      <c r="AU125" s="192">
        <f t="shared" si="50"/>
        <v>811.39396902530848</v>
      </c>
      <c r="AV125" s="192">
        <f t="shared" si="50"/>
        <v>811.39396902530848</v>
      </c>
      <c r="AW125" s="192">
        <f t="shared" si="50"/>
        <v>811.39396902530848</v>
      </c>
      <c r="AX125" s="192">
        <f t="shared" si="50"/>
        <v>811.39396902530848</v>
      </c>
      <c r="AY125" s="192">
        <f t="shared" si="50"/>
        <v>811.39396902530848</v>
      </c>
      <c r="AZ125" s="192">
        <f t="shared" si="50"/>
        <v>811.39396902530848</v>
      </c>
      <c r="BA125" s="192">
        <f t="shared" si="50"/>
        <v>811.39396902530848</v>
      </c>
      <c r="BB125" s="192">
        <f t="shared" si="50"/>
        <v>811.39396902530848</v>
      </c>
      <c r="BC125" s="192">
        <f t="shared" si="50"/>
        <v>811.39396902530848</v>
      </c>
      <c r="BD125" s="192">
        <f t="shared" si="50"/>
        <v>811.39396902530848</v>
      </c>
      <c r="BE125" s="192">
        <f t="shared" si="50"/>
        <v>811.39396902530848</v>
      </c>
      <c r="BF125" s="192">
        <f t="shared" si="50"/>
        <v>811.39396902530848</v>
      </c>
      <c r="BG125" s="192">
        <f t="shared" si="50"/>
        <v>811.39396902530848</v>
      </c>
      <c r="BH125" s="192">
        <f t="shared" si="50"/>
        <v>811.39396902530848</v>
      </c>
      <c r="BI125" s="192">
        <f t="shared" si="50"/>
        <v>811.39396902530848</v>
      </c>
      <c r="BJ125" s="192">
        <f t="shared" si="50"/>
        <v>811.39396902530848</v>
      </c>
      <c r="BK125" s="192">
        <f t="shared" si="50"/>
        <v>811.39396902530848</v>
      </c>
      <c r="BL125" s="192">
        <f t="shared" si="50"/>
        <v>811.39396902530848</v>
      </c>
      <c r="BM125" s="192">
        <f t="shared" si="50"/>
        <v>811.39396902530848</v>
      </c>
      <c r="BN125" s="192">
        <f t="shared" si="50"/>
        <v>811.39396902530848</v>
      </c>
      <c r="BO125" s="192">
        <f t="shared" si="50"/>
        <v>811.39396902530848</v>
      </c>
      <c r="BP125" s="192">
        <f t="shared" si="50"/>
        <v>811.39396902530848</v>
      </c>
      <c r="BQ125" s="192">
        <f t="shared" ref="BQ125:CB125" si="51">-(BQ118-BQ110)</f>
        <v>811.39396902530848</v>
      </c>
      <c r="BR125" s="192">
        <f t="shared" si="51"/>
        <v>811.39396902530848</v>
      </c>
      <c r="BS125" s="192">
        <f t="shared" si="51"/>
        <v>811.39396902530848</v>
      </c>
      <c r="BT125" s="192">
        <f t="shared" si="51"/>
        <v>811.39396902530848</v>
      </c>
      <c r="BU125" s="192">
        <f t="shared" si="51"/>
        <v>811.39396902530848</v>
      </c>
      <c r="BV125" s="192">
        <f t="shared" si="51"/>
        <v>811.39396902530848</v>
      </c>
      <c r="BW125" s="192">
        <f t="shared" si="51"/>
        <v>811.39396902530848</v>
      </c>
      <c r="BX125" s="192">
        <f t="shared" si="51"/>
        <v>811.39396902530848</v>
      </c>
      <c r="BY125" s="192">
        <f t="shared" si="51"/>
        <v>811.39396902530848</v>
      </c>
      <c r="BZ125" s="192">
        <f t="shared" si="51"/>
        <v>811.39396902530848</v>
      </c>
      <c r="CA125" s="192">
        <f t="shared" si="51"/>
        <v>811.39396902530848</v>
      </c>
      <c r="CB125" s="192">
        <f t="shared" si="51"/>
        <v>811.39396902530848</v>
      </c>
    </row>
    <row r="126" spans="2:80" ht="15" customHeight="1">
      <c r="B126" s="198" t="s">
        <v>392</v>
      </c>
      <c r="D126" s="12" t="s">
        <v>404</v>
      </c>
      <c r="E126" s="192">
        <f t="shared" ref="E126:AJ126" si="52">-(E120-E112)</f>
        <v>339.65996941826472</v>
      </c>
      <c r="F126" s="192">
        <f t="shared" si="52"/>
        <v>339.65996941826472</v>
      </c>
      <c r="G126" s="192">
        <f t="shared" si="52"/>
        <v>339.65996941826472</v>
      </c>
      <c r="H126" s="192">
        <f t="shared" si="52"/>
        <v>339.65996941826472</v>
      </c>
      <c r="I126" s="192">
        <f t="shared" si="52"/>
        <v>339.65996941826472</v>
      </c>
      <c r="J126" s="192">
        <f t="shared" si="52"/>
        <v>339.65996941826472</v>
      </c>
      <c r="K126" s="192">
        <f t="shared" si="52"/>
        <v>339.65996941826472</v>
      </c>
      <c r="L126" s="192">
        <f t="shared" si="52"/>
        <v>339.65996941826472</v>
      </c>
      <c r="M126" s="192">
        <f t="shared" si="52"/>
        <v>339.65996941826472</v>
      </c>
      <c r="N126" s="192">
        <f t="shared" si="52"/>
        <v>339.65996941826472</v>
      </c>
      <c r="O126" s="192">
        <f t="shared" si="52"/>
        <v>339.65996941826472</v>
      </c>
      <c r="P126" s="192">
        <f t="shared" si="52"/>
        <v>339.65996941826472</v>
      </c>
      <c r="Q126" s="192">
        <f t="shared" si="52"/>
        <v>339.65996941826472</v>
      </c>
      <c r="R126" s="192">
        <f t="shared" si="52"/>
        <v>339.65996941826472</v>
      </c>
      <c r="S126" s="192">
        <f t="shared" si="52"/>
        <v>339.65996941826472</v>
      </c>
      <c r="T126" s="192">
        <f t="shared" si="52"/>
        <v>339.65996941826472</v>
      </c>
      <c r="U126" s="192">
        <f t="shared" si="52"/>
        <v>339.65996941826472</v>
      </c>
      <c r="V126" s="192">
        <f t="shared" si="52"/>
        <v>339.65996941826472</v>
      </c>
      <c r="W126" s="192">
        <f t="shared" si="52"/>
        <v>339.65996941826472</v>
      </c>
      <c r="X126" s="192">
        <f t="shared" si="52"/>
        <v>339.65996941826472</v>
      </c>
      <c r="Y126" s="192">
        <f t="shared" si="52"/>
        <v>339.65996941826472</v>
      </c>
      <c r="Z126" s="192">
        <f t="shared" si="52"/>
        <v>339.65996941826472</v>
      </c>
      <c r="AA126" s="192">
        <f t="shared" si="52"/>
        <v>339.65996941826472</v>
      </c>
      <c r="AB126" s="192">
        <f t="shared" si="52"/>
        <v>339.65996941826472</v>
      </c>
      <c r="AC126" s="192">
        <f t="shared" si="52"/>
        <v>339.65996941826472</v>
      </c>
      <c r="AD126" s="192">
        <f t="shared" si="52"/>
        <v>339.65996941826472</v>
      </c>
      <c r="AE126" s="192">
        <f t="shared" si="52"/>
        <v>339.65996941826472</v>
      </c>
      <c r="AF126" s="192">
        <f t="shared" si="52"/>
        <v>339.65996941826472</v>
      </c>
      <c r="AG126" s="192">
        <f t="shared" si="52"/>
        <v>339.65996941826472</v>
      </c>
      <c r="AH126" s="192">
        <f t="shared" si="52"/>
        <v>339.65996941826472</v>
      </c>
      <c r="AI126" s="192">
        <f t="shared" si="52"/>
        <v>339.65996941826472</v>
      </c>
      <c r="AJ126" s="192">
        <f t="shared" si="52"/>
        <v>339.65996941826472</v>
      </c>
      <c r="AK126" s="192">
        <f t="shared" ref="AK126:BP126" si="53">-(AK120-AK112)</f>
        <v>339.65996941826472</v>
      </c>
      <c r="AL126" s="192">
        <f t="shared" si="53"/>
        <v>339.65996941826472</v>
      </c>
      <c r="AM126" s="192">
        <f t="shared" si="53"/>
        <v>339.65996941826472</v>
      </c>
      <c r="AN126" s="192">
        <f t="shared" si="53"/>
        <v>339.65996941826472</v>
      </c>
      <c r="AO126" s="192">
        <f t="shared" si="53"/>
        <v>339.65996941826472</v>
      </c>
      <c r="AP126" s="192">
        <f t="shared" si="53"/>
        <v>339.65996941826472</v>
      </c>
      <c r="AQ126" s="192">
        <f t="shared" si="53"/>
        <v>339.65996941826472</v>
      </c>
      <c r="AR126" s="192">
        <f t="shared" si="53"/>
        <v>339.65996941826472</v>
      </c>
      <c r="AS126" s="192">
        <f t="shared" si="53"/>
        <v>339.65996941826472</v>
      </c>
      <c r="AT126" s="192">
        <f t="shared" si="53"/>
        <v>339.65996941826472</v>
      </c>
      <c r="AU126" s="192">
        <f t="shared" si="53"/>
        <v>339.65996941826472</v>
      </c>
      <c r="AV126" s="192">
        <f t="shared" si="53"/>
        <v>339.65996941826472</v>
      </c>
      <c r="AW126" s="192">
        <f t="shared" si="53"/>
        <v>339.65996941826472</v>
      </c>
      <c r="AX126" s="192">
        <f t="shared" si="53"/>
        <v>339.65996941826472</v>
      </c>
      <c r="AY126" s="192">
        <f t="shared" si="53"/>
        <v>339.65996941826472</v>
      </c>
      <c r="AZ126" s="192">
        <f t="shared" si="53"/>
        <v>339.65996941826472</v>
      </c>
      <c r="BA126" s="192">
        <f t="shared" si="53"/>
        <v>339.65996941826472</v>
      </c>
      <c r="BB126" s="192">
        <f t="shared" si="53"/>
        <v>339.65996941826472</v>
      </c>
      <c r="BC126" s="192">
        <f t="shared" si="53"/>
        <v>339.65996941826472</v>
      </c>
      <c r="BD126" s="192">
        <f t="shared" si="53"/>
        <v>339.65996941826472</v>
      </c>
      <c r="BE126" s="192">
        <f t="shared" si="53"/>
        <v>339.65996941826472</v>
      </c>
      <c r="BF126" s="192">
        <f t="shared" si="53"/>
        <v>339.65996941826472</v>
      </c>
      <c r="BG126" s="192">
        <f t="shared" si="53"/>
        <v>339.65996941826472</v>
      </c>
      <c r="BH126" s="192">
        <f t="shared" si="53"/>
        <v>339.65996941826472</v>
      </c>
      <c r="BI126" s="192">
        <f t="shared" si="53"/>
        <v>339.65996941826472</v>
      </c>
      <c r="BJ126" s="192">
        <f t="shared" si="53"/>
        <v>339.65996941826472</v>
      </c>
      <c r="BK126" s="192">
        <f t="shared" si="53"/>
        <v>339.65996941826472</v>
      </c>
      <c r="BL126" s="192">
        <f t="shared" si="53"/>
        <v>339.65996941826472</v>
      </c>
      <c r="BM126" s="192">
        <f t="shared" si="53"/>
        <v>339.65996941826472</v>
      </c>
      <c r="BN126" s="192">
        <f t="shared" si="53"/>
        <v>339.65996941826472</v>
      </c>
      <c r="BO126" s="192">
        <f t="shared" si="53"/>
        <v>339.65996941826472</v>
      </c>
      <c r="BP126" s="192">
        <f t="shared" si="53"/>
        <v>339.65996941826472</v>
      </c>
      <c r="BQ126" s="192">
        <f t="shared" ref="BQ126:CB126" si="54">-(BQ120-BQ112)</f>
        <v>339.65996941826472</v>
      </c>
      <c r="BR126" s="192">
        <f t="shared" si="54"/>
        <v>339.65996941826472</v>
      </c>
      <c r="BS126" s="192">
        <f t="shared" si="54"/>
        <v>339.65996941826472</v>
      </c>
      <c r="BT126" s="192">
        <f t="shared" si="54"/>
        <v>339.65996941826472</v>
      </c>
      <c r="BU126" s="192">
        <f t="shared" si="54"/>
        <v>339.65996941826472</v>
      </c>
      <c r="BV126" s="192">
        <f t="shared" si="54"/>
        <v>339.65996941826472</v>
      </c>
      <c r="BW126" s="192">
        <f t="shared" si="54"/>
        <v>339.65996941826472</v>
      </c>
      <c r="BX126" s="192">
        <f t="shared" si="54"/>
        <v>339.65996941826472</v>
      </c>
      <c r="BY126" s="192">
        <f t="shared" si="54"/>
        <v>339.65996941826472</v>
      </c>
      <c r="BZ126" s="192">
        <f t="shared" si="54"/>
        <v>339.65996941826472</v>
      </c>
      <c r="CA126" s="192">
        <f t="shared" si="54"/>
        <v>339.65996941826472</v>
      </c>
      <c r="CB126" s="192">
        <f t="shared" si="54"/>
        <v>339.65996941826472</v>
      </c>
    </row>
    <row r="127" spans="2:80" ht="15" customHeight="1">
      <c r="B127" s="197" t="s">
        <v>14</v>
      </c>
      <c r="D127" s="12" t="s">
        <v>404</v>
      </c>
      <c r="E127" s="192">
        <f t="shared" ref="E127:AJ127" si="55">-(E122-E114)</f>
        <v>432.87252942219311</v>
      </c>
      <c r="F127" s="192">
        <f t="shared" si="55"/>
        <v>443.1860789091877</v>
      </c>
      <c r="G127" s="192">
        <f t="shared" si="55"/>
        <v>453.74535732511822</v>
      </c>
      <c r="H127" s="192">
        <f t="shared" si="55"/>
        <v>464.55621936691432</v>
      </c>
      <c r="I127" s="192">
        <f t="shared" si="55"/>
        <v>475.62465922454896</v>
      </c>
      <c r="J127" s="192">
        <f t="shared" si="55"/>
        <v>486.95681390457707</v>
      </c>
      <c r="K127" s="192">
        <f t="shared" si="55"/>
        <v>498.5589666328591</v>
      </c>
      <c r="L127" s="192">
        <f t="shared" si="55"/>
        <v>510.43755033835862</v>
      </c>
      <c r="M127" s="192">
        <f t="shared" si="55"/>
        <v>522.59915121994368</v>
      </c>
      <c r="N127" s="192">
        <f t="shared" si="55"/>
        <v>535.05051239817021</v>
      </c>
      <c r="O127" s="192">
        <f t="shared" si="55"/>
        <v>547.79853765407222</v>
      </c>
      <c r="P127" s="192">
        <f t="shared" si="55"/>
        <v>560.85029525703192</v>
      </c>
      <c r="Q127" s="192">
        <f t="shared" si="55"/>
        <v>574.21302188385198</v>
      </c>
      <c r="R127" s="192">
        <f t="shared" si="55"/>
        <v>587.89412663120288</v>
      </c>
      <c r="S127" s="192">
        <f t="shared" si="55"/>
        <v>601.9011951236705</v>
      </c>
      <c r="T127" s="192">
        <f t="shared" si="55"/>
        <v>616.24199371968075</v>
      </c>
      <c r="U127" s="192">
        <f t="shared" si="55"/>
        <v>630.92447381763418</v>
      </c>
      <c r="V127" s="192">
        <f t="shared" si="55"/>
        <v>645.95677626463839</v>
      </c>
      <c r="W127" s="192">
        <f t="shared" si="55"/>
        <v>661.34723587028157</v>
      </c>
      <c r="X127" s="192">
        <f t="shared" si="55"/>
        <v>677.10438602794989</v>
      </c>
      <c r="Y127" s="192">
        <f t="shared" si="55"/>
        <v>693.23696344625341</v>
      </c>
      <c r="Z127" s="192">
        <f t="shared" si="55"/>
        <v>709.75391299317994</v>
      </c>
      <c r="AA127" s="192">
        <f t="shared" si="55"/>
        <v>726.66439265566646</v>
      </c>
      <c r="AB127" s="192">
        <f t="shared" si="55"/>
        <v>743.97777861733698</v>
      </c>
      <c r="AC127" s="192">
        <f t="shared" si="55"/>
        <v>761.70367045721969</v>
      </c>
      <c r="AD127" s="192">
        <f t="shared" si="55"/>
        <v>779.85189647232869</v>
      </c>
      <c r="AE127" s="192">
        <f t="shared" si="55"/>
        <v>798.43251912706251</v>
      </c>
      <c r="AF127" s="192">
        <f t="shared" si="55"/>
        <v>817.45584063243609</v>
      </c>
      <c r="AG127" s="192">
        <f t="shared" si="55"/>
        <v>836.93240865824532</v>
      </c>
      <c r="AH127" s="192">
        <f t="shared" si="55"/>
        <v>856.87302218132595</v>
      </c>
      <c r="AI127" s="192">
        <f t="shared" si="55"/>
        <v>877.28873747315538</v>
      </c>
      <c r="AJ127" s="192">
        <f t="shared" si="55"/>
        <v>898.19087423011206</v>
      </c>
      <c r="AK127" s="192">
        <f t="shared" ref="AK127:BP127" si="56">-(AK122-AK114)</f>
        <v>919.59102184979201</v>
      </c>
      <c r="AL127" s="192">
        <f t="shared" si="56"/>
        <v>941.50104585686722</v>
      </c>
      <c r="AM127" s="192">
        <f t="shared" si="56"/>
        <v>963.93309448204423</v>
      </c>
      <c r="AN127" s="192">
        <f t="shared" si="56"/>
        <v>986.89960539776939</v>
      </c>
      <c r="AO127" s="192">
        <f t="shared" si="56"/>
        <v>1010.413312614422</v>
      </c>
      <c r="AP127" s="192">
        <f t="shared" si="56"/>
        <v>1034.4872535408122</v>
      </c>
      <c r="AQ127" s="192">
        <f t="shared" si="56"/>
        <v>1059.1347762129014</v>
      </c>
      <c r="AR127" s="192">
        <f t="shared" si="56"/>
        <v>1084.3695466947554</v>
      </c>
      <c r="AS127" s="192">
        <f t="shared" si="56"/>
        <v>1110.2055566558274</v>
      </c>
      <c r="AT127" s="192">
        <f t="shared" si="56"/>
        <v>1136.6571311287792</v>
      </c>
      <c r="AU127" s="192">
        <f t="shared" si="56"/>
        <v>1163.7389364521384</v>
      </c>
      <c r="AV127" s="192">
        <f t="shared" si="56"/>
        <v>1191.4659884021946</v>
      </c>
      <c r="AW127" s="192">
        <f t="shared" si="56"/>
        <v>1219.8536605186478</v>
      </c>
      <c r="AX127" s="192">
        <f t="shared" si="56"/>
        <v>1248.9176926286177</v>
      </c>
      <c r="AY127" s="192">
        <f t="shared" si="56"/>
        <v>1278.6741995737498</v>
      </c>
      <c r="AZ127" s="192">
        <f t="shared" si="56"/>
        <v>1309.1396801452479</v>
      </c>
      <c r="BA127" s="192">
        <f t="shared" si="56"/>
        <v>1340.3310262317937</v>
      </c>
      <c r="BB127" s="192">
        <f t="shared" si="56"/>
        <v>1372.2655321854231</v>
      </c>
      <c r="BC127" s="192">
        <f t="shared" si="56"/>
        <v>1404.9609044105514</v>
      </c>
      <c r="BD127" s="192">
        <f t="shared" si="56"/>
        <v>1438.4352711814631</v>
      </c>
      <c r="BE127" s="192">
        <f t="shared" si="56"/>
        <v>1472.7071926937174</v>
      </c>
      <c r="BF127" s="192">
        <f t="shared" si="56"/>
        <v>1507.7956713550307</v>
      </c>
      <c r="BG127" s="192">
        <f t="shared" si="56"/>
        <v>1543.7201623213523</v>
      </c>
      <c r="BH127" s="192">
        <f t="shared" si="56"/>
        <v>1580.5005842839669</v>
      </c>
      <c r="BI127" s="192">
        <f t="shared" si="56"/>
        <v>1618.1573305136126</v>
      </c>
      <c r="BJ127" s="192">
        <f t="shared" si="56"/>
        <v>1656.7112801677326</v>
      </c>
      <c r="BK127" s="192">
        <f t="shared" si="56"/>
        <v>1696.1838098671328</v>
      </c>
      <c r="BL127" s="192">
        <f t="shared" si="56"/>
        <v>1736.5968055484586</v>
      </c>
      <c r="BM127" s="192">
        <f t="shared" si="56"/>
        <v>1777.9726745990729</v>
      </c>
      <c r="BN127" s="192">
        <f t="shared" si="56"/>
        <v>1820.334358281053</v>
      </c>
      <c r="BO127" s="192">
        <f t="shared" si="56"/>
        <v>1863.7053444512039</v>
      </c>
      <c r="BP127" s="192">
        <f t="shared" si="56"/>
        <v>1908.1096805841316</v>
      </c>
      <c r="BQ127" s="192">
        <f t="shared" ref="BQ127:CB127" si="57">-(BQ122-BQ114)</f>
        <v>1953.5719871056062</v>
      </c>
      <c r="BR127" s="192">
        <f t="shared" si="57"/>
        <v>2000.1174710436007</v>
      </c>
      <c r="BS127" s="192">
        <f t="shared" si="57"/>
        <v>2047.7719400045798</v>
      </c>
      <c r="BT127" s="192">
        <f t="shared" si="57"/>
        <v>2096.5618164827829</v>
      </c>
      <c r="BU127" s="192">
        <f t="shared" si="57"/>
        <v>2146.5141525104377</v>
      </c>
      <c r="BV127" s="192">
        <f t="shared" si="57"/>
        <v>2197.6566446570314</v>
      </c>
      <c r="BW127" s="192">
        <f t="shared" si="57"/>
        <v>2250.0176493859462</v>
      </c>
      <c r="BX127" s="192">
        <f t="shared" si="57"/>
        <v>2303.626198776984</v>
      </c>
      <c r="BY127" s="192">
        <f t="shared" si="57"/>
        <v>2358.5120166234919</v>
      </c>
      <c r="BZ127" s="192">
        <f t="shared" si="57"/>
        <v>2414.7055349130142</v>
      </c>
      <c r="CA127" s="192">
        <f t="shared" si="57"/>
        <v>2472.2379107006109</v>
      </c>
      <c r="CB127" s="192">
        <f t="shared" si="57"/>
        <v>2531.1410433841957</v>
      </c>
    </row>
    <row r="128" spans="2:80" ht="15" customHeight="1">
      <c r="B128" s="198"/>
      <c r="D128" s="1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c r="CA128" s="192"/>
      <c r="CB128" s="192"/>
    </row>
    <row r="129" spans="2:80" ht="15" customHeight="1">
      <c r="B129" s="3" t="s">
        <v>405</v>
      </c>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row>
    <row r="130" spans="2:80" ht="15" customHeight="1">
      <c r="B130" s="198" t="s">
        <v>391</v>
      </c>
      <c r="D130" s="12" t="s">
        <v>404</v>
      </c>
      <c r="E130" s="192">
        <f t="shared" ref="E130:AJ130" si="58">E$102*E125</f>
        <v>0</v>
      </c>
      <c r="F130" s="192">
        <f t="shared" si="58"/>
        <v>0</v>
      </c>
      <c r="G130" s="192">
        <f t="shared" si="58"/>
        <v>40.569698451265424</v>
      </c>
      <c r="H130" s="192">
        <f t="shared" si="58"/>
        <v>202.84849225632712</v>
      </c>
      <c r="I130" s="192">
        <f t="shared" si="58"/>
        <v>486.83638141518509</v>
      </c>
      <c r="J130" s="192">
        <f t="shared" si="58"/>
        <v>770.824270574043</v>
      </c>
      <c r="K130" s="192">
        <f t="shared" si="58"/>
        <v>811.39396902530848</v>
      </c>
      <c r="L130" s="192">
        <f t="shared" si="58"/>
        <v>811.39396902530848</v>
      </c>
      <c r="M130" s="192">
        <f t="shared" si="58"/>
        <v>811.39396902530848</v>
      </c>
      <c r="N130" s="192">
        <f t="shared" si="58"/>
        <v>811.39396902530848</v>
      </c>
      <c r="O130" s="192">
        <f t="shared" si="58"/>
        <v>811.39396902530848</v>
      </c>
      <c r="P130" s="192">
        <f t="shared" si="58"/>
        <v>811.39396902530848</v>
      </c>
      <c r="Q130" s="192">
        <f t="shared" si="58"/>
        <v>811.39396902530848</v>
      </c>
      <c r="R130" s="192">
        <f t="shared" si="58"/>
        <v>811.39396902530848</v>
      </c>
      <c r="S130" s="192">
        <f t="shared" si="58"/>
        <v>811.39396902530848</v>
      </c>
      <c r="T130" s="192">
        <f t="shared" si="58"/>
        <v>811.39396902530848</v>
      </c>
      <c r="U130" s="192">
        <f t="shared" si="58"/>
        <v>811.39396902530848</v>
      </c>
      <c r="V130" s="192">
        <f t="shared" si="58"/>
        <v>811.39396902530848</v>
      </c>
      <c r="W130" s="192">
        <f t="shared" si="58"/>
        <v>811.39396902530848</v>
      </c>
      <c r="X130" s="192">
        <f t="shared" si="58"/>
        <v>811.39396902530848</v>
      </c>
      <c r="Y130" s="192">
        <f t="shared" si="58"/>
        <v>811.39396902530848</v>
      </c>
      <c r="Z130" s="192">
        <f t="shared" si="58"/>
        <v>811.39396902530848</v>
      </c>
      <c r="AA130" s="192">
        <f t="shared" si="58"/>
        <v>811.39396902530848</v>
      </c>
      <c r="AB130" s="192">
        <f t="shared" si="58"/>
        <v>811.39396902530848</v>
      </c>
      <c r="AC130" s="192">
        <f t="shared" si="58"/>
        <v>811.39396902530848</v>
      </c>
      <c r="AD130" s="192">
        <f t="shared" si="58"/>
        <v>811.39396902530848</v>
      </c>
      <c r="AE130" s="192">
        <f t="shared" si="58"/>
        <v>811.39396902530848</v>
      </c>
      <c r="AF130" s="192">
        <f t="shared" si="58"/>
        <v>811.39396902530848</v>
      </c>
      <c r="AG130" s="192">
        <f t="shared" si="58"/>
        <v>811.39396902530848</v>
      </c>
      <c r="AH130" s="192">
        <f t="shared" si="58"/>
        <v>811.39396902530848</v>
      </c>
      <c r="AI130" s="192">
        <f t="shared" si="58"/>
        <v>811.39396902530848</v>
      </c>
      <c r="AJ130" s="192">
        <f t="shared" si="58"/>
        <v>811.39396902530848</v>
      </c>
      <c r="AK130" s="192">
        <f t="shared" ref="AK130:BP130" si="59">AK$102*AK125</f>
        <v>811.39396902530848</v>
      </c>
      <c r="AL130" s="192">
        <f t="shared" si="59"/>
        <v>811.39396902530848</v>
      </c>
      <c r="AM130" s="192">
        <f t="shared" si="59"/>
        <v>811.39396902530848</v>
      </c>
      <c r="AN130" s="192">
        <f t="shared" si="59"/>
        <v>811.39396902530848</v>
      </c>
      <c r="AO130" s="192">
        <f t="shared" si="59"/>
        <v>811.39396902530848</v>
      </c>
      <c r="AP130" s="192">
        <f t="shared" si="59"/>
        <v>811.39396902530848</v>
      </c>
      <c r="AQ130" s="192">
        <f t="shared" si="59"/>
        <v>811.39396902530848</v>
      </c>
      <c r="AR130" s="192">
        <f t="shared" si="59"/>
        <v>811.39396902530848</v>
      </c>
      <c r="AS130" s="192">
        <f t="shared" si="59"/>
        <v>811.39396902530848</v>
      </c>
      <c r="AT130" s="192">
        <f t="shared" si="59"/>
        <v>811.39396902530848</v>
      </c>
      <c r="AU130" s="192">
        <f t="shared" si="59"/>
        <v>811.39396902530848</v>
      </c>
      <c r="AV130" s="192">
        <f t="shared" si="59"/>
        <v>811.39396902530848</v>
      </c>
      <c r="AW130" s="192">
        <f t="shared" si="59"/>
        <v>811.39396902530848</v>
      </c>
      <c r="AX130" s="192">
        <f t="shared" si="59"/>
        <v>811.39396902530848</v>
      </c>
      <c r="AY130" s="192">
        <f t="shared" si="59"/>
        <v>811.39396902530848</v>
      </c>
      <c r="AZ130" s="192">
        <f t="shared" si="59"/>
        <v>811.39396902530848</v>
      </c>
      <c r="BA130" s="192">
        <f t="shared" si="59"/>
        <v>811.39396902530848</v>
      </c>
      <c r="BB130" s="192">
        <f t="shared" si="59"/>
        <v>811.39396902530848</v>
      </c>
      <c r="BC130" s="192">
        <f t="shared" si="59"/>
        <v>811.39396902530848</v>
      </c>
      <c r="BD130" s="192">
        <f t="shared" si="59"/>
        <v>811.39396902530848</v>
      </c>
      <c r="BE130" s="192">
        <f t="shared" si="59"/>
        <v>811.39396902530848</v>
      </c>
      <c r="BF130" s="192">
        <f t="shared" si="59"/>
        <v>811.39396902530848</v>
      </c>
      <c r="BG130" s="192">
        <f t="shared" si="59"/>
        <v>811.39396902530848</v>
      </c>
      <c r="BH130" s="192">
        <f t="shared" si="59"/>
        <v>811.39396902530848</v>
      </c>
      <c r="BI130" s="192">
        <f t="shared" si="59"/>
        <v>811.39396902530848</v>
      </c>
      <c r="BJ130" s="192">
        <f t="shared" si="59"/>
        <v>811.39396902530848</v>
      </c>
      <c r="BK130" s="192">
        <f t="shared" si="59"/>
        <v>811.39396902530848</v>
      </c>
      <c r="BL130" s="192">
        <f t="shared" si="59"/>
        <v>811.39396902530848</v>
      </c>
      <c r="BM130" s="192">
        <f t="shared" si="59"/>
        <v>811.39396902530848</v>
      </c>
      <c r="BN130" s="192">
        <f t="shared" si="59"/>
        <v>811.39396902530848</v>
      </c>
      <c r="BO130" s="192">
        <f t="shared" si="59"/>
        <v>811.39396902530848</v>
      </c>
      <c r="BP130" s="192">
        <f t="shared" si="59"/>
        <v>811.39396902530848</v>
      </c>
      <c r="BQ130" s="192">
        <f t="shared" ref="BQ130:CB130" si="60">BQ$102*BQ125</f>
        <v>811.39396902530848</v>
      </c>
      <c r="BR130" s="192">
        <f t="shared" si="60"/>
        <v>811.39396902530848</v>
      </c>
      <c r="BS130" s="192">
        <f t="shared" si="60"/>
        <v>811.39396902530848</v>
      </c>
      <c r="BT130" s="192">
        <f t="shared" si="60"/>
        <v>811.39396902530848</v>
      </c>
      <c r="BU130" s="192">
        <f t="shared" si="60"/>
        <v>811.39396902530848</v>
      </c>
      <c r="BV130" s="192">
        <f t="shared" si="60"/>
        <v>811.39396902530848</v>
      </c>
      <c r="BW130" s="192">
        <f t="shared" si="60"/>
        <v>811.39396902530848</v>
      </c>
      <c r="BX130" s="192">
        <f t="shared" si="60"/>
        <v>811.39396902530848</v>
      </c>
      <c r="BY130" s="192">
        <f t="shared" si="60"/>
        <v>811.39396902530848</v>
      </c>
      <c r="BZ130" s="192">
        <f t="shared" si="60"/>
        <v>811.39396902530848</v>
      </c>
      <c r="CA130" s="192">
        <f t="shared" si="60"/>
        <v>811.39396902530848</v>
      </c>
      <c r="CB130" s="192">
        <f t="shared" si="60"/>
        <v>811.39396902530848</v>
      </c>
    </row>
    <row r="131" spans="2:80" ht="15" customHeight="1">
      <c r="B131" s="198" t="s">
        <v>392</v>
      </c>
      <c r="D131" s="12" t="s">
        <v>404</v>
      </c>
      <c r="E131" s="192">
        <f t="shared" ref="E131:AJ131" si="61">E$102*E126</f>
        <v>0</v>
      </c>
      <c r="F131" s="192">
        <f t="shared" si="61"/>
        <v>0</v>
      </c>
      <c r="G131" s="192">
        <f t="shared" si="61"/>
        <v>16.982998470913238</v>
      </c>
      <c r="H131" s="192">
        <f t="shared" si="61"/>
        <v>84.914992354566181</v>
      </c>
      <c r="I131" s="192">
        <f t="shared" si="61"/>
        <v>203.79598165095882</v>
      </c>
      <c r="J131" s="192">
        <f t="shared" si="61"/>
        <v>322.67697094735149</v>
      </c>
      <c r="K131" s="192">
        <f t="shared" si="61"/>
        <v>339.65996941826472</v>
      </c>
      <c r="L131" s="192">
        <f t="shared" si="61"/>
        <v>339.65996941826472</v>
      </c>
      <c r="M131" s="192">
        <f t="shared" si="61"/>
        <v>339.65996941826472</v>
      </c>
      <c r="N131" s="192">
        <f t="shared" si="61"/>
        <v>339.65996941826472</v>
      </c>
      <c r="O131" s="192">
        <f t="shared" si="61"/>
        <v>339.65996941826472</v>
      </c>
      <c r="P131" s="192">
        <f t="shared" si="61"/>
        <v>339.65996941826472</v>
      </c>
      <c r="Q131" s="192">
        <f t="shared" si="61"/>
        <v>339.65996941826472</v>
      </c>
      <c r="R131" s="192">
        <f t="shared" si="61"/>
        <v>339.65996941826472</v>
      </c>
      <c r="S131" s="192">
        <f t="shared" si="61"/>
        <v>339.65996941826472</v>
      </c>
      <c r="T131" s="192">
        <f t="shared" si="61"/>
        <v>339.65996941826472</v>
      </c>
      <c r="U131" s="192">
        <f t="shared" si="61"/>
        <v>339.65996941826472</v>
      </c>
      <c r="V131" s="192">
        <f t="shared" si="61"/>
        <v>339.65996941826472</v>
      </c>
      <c r="W131" s="192">
        <f t="shared" si="61"/>
        <v>339.65996941826472</v>
      </c>
      <c r="X131" s="192">
        <f t="shared" si="61"/>
        <v>339.65996941826472</v>
      </c>
      <c r="Y131" s="192">
        <f t="shared" si="61"/>
        <v>339.65996941826472</v>
      </c>
      <c r="Z131" s="192">
        <f t="shared" si="61"/>
        <v>339.65996941826472</v>
      </c>
      <c r="AA131" s="192">
        <f t="shared" si="61"/>
        <v>339.65996941826472</v>
      </c>
      <c r="AB131" s="192">
        <f t="shared" si="61"/>
        <v>339.65996941826472</v>
      </c>
      <c r="AC131" s="192">
        <f t="shared" si="61"/>
        <v>339.65996941826472</v>
      </c>
      <c r="AD131" s="192">
        <f t="shared" si="61"/>
        <v>339.65996941826472</v>
      </c>
      <c r="AE131" s="192">
        <f t="shared" si="61"/>
        <v>339.65996941826472</v>
      </c>
      <c r="AF131" s="192">
        <f t="shared" si="61"/>
        <v>339.65996941826472</v>
      </c>
      <c r="AG131" s="192">
        <f t="shared" si="61"/>
        <v>339.65996941826472</v>
      </c>
      <c r="AH131" s="192">
        <f t="shared" si="61"/>
        <v>339.65996941826472</v>
      </c>
      <c r="AI131" s="192">
        <f t="shared" si="61"/>
        <v>339.65996941826472</v>
      </c>
      <c r="AJ131" s="192">
        <f t="shared" si="61"/>
        <v>339.65996941826472</v>
      </c>
      <c r="AK131" s="192">
        <f t="shared" ref="AK131:BP131" si="62">AK$102*AK126</f>
        <v>339.65996941826472</v>
      </c>
      <c r="AL131" s="192">
        <f t="shared" si="62"/>
        <v>339.65996941826472</v>
      </c>
      <c r="AM131" s="192">
        <f t="shared" si="62"/>
        <v>339.65996941826472</v>
      </c>
      <c r="AN131" s="192">
        <f t="shared" si="62"/>
        <v>339.65996941826472</v>
      </c>
      <c r="AO131" s="192">
        <f t="shared" si="62"/>
        <v>339.65996941826472</v>
      </c>
      <c r="AP131" s="192">
        <f t="shared" si="62"/>
        <v>339.65996941826472</v>
      </c>
      <c r="AQ131" s="192">
        <f t="shared" si="62"/>
        <v>339.65996941826472</v>
      </c>
      <c r="AR131" s="192">
        <f t="shared" si="62"/>
        <v>339.65996941826472</v>
      </c>
      <c r="AS131" s="192">
        <f t="shared" si="62"/>
        <v>339.65996941826472</v>
      </c>
      <c r="AT131" s="192">
        <f t="shared" si="62"/>
        <v>339.65996941826472</v>
      </c>
      <c r="AU131" s="192">
        <f t="shared" si="62"/>
        <v>339.65996941826472</v>
      </c>
      <c r="AV131" s="192">
        <f t="shared" si="62"/>
        <v>339.65996941826472</v>
      </c>
      <c r="AW131" s="192">
        <f t="shared" si="62"/>
        <v>339.65996941826472</v>
      </c>
      <c r="AX131" s="192">
        <f t="shared" si="62"/>
        <v>339.65996941826472</v>
      </c>
      <c r="AY131" s="192">
        <f t="shared" si="62"/>
        <v>339.65996941826472</v>
      </c>
      <c r="AZ131" s="192">
        <f t="shared" si="62"/>
        <v>339.65996941826472</v>
      </c>
      <c r="BA131" s="192">
        <f t="shared" si="62"/>
        <v>339.65996941826472</v>
      </c>
      <c r="BB131" s="192">
        <f t="shared" si="62"/>
        <v>339.65996941826472</v>
      </c>
      <c r="BC131" s="192">
        <f t="shared" si="62"/>
        <v>339.65996941826472</v>
      </c>
      <c r="BD131" s="192">
        <f t="shared" si="62"/>
        <v>339.65996941826472</v>
      </c>
      <c r="BE131" s="192">
        <f t="shared" si="62"/>
        <v>339.65996941826472</v>
      </c>
      <c r="BF131" s="192">
        <f t="shared" si="62"/>
        <v>339.65996941826472</v>
      </c>
      <c r="BG131" s="192">
        <f t="shared" si="62"/>
        <v>339.65996941826472</v>
      </c>
      <c r="BH131" s="192">
        <f t="shared" si="62"/>
        <v>339.65996941826472</v>
      </c>
      <c r="BI131" s="192">
        <f t="shared" si="62"/>
        <v>339.65996941826472</v>
      </c>
      <c r="BJ131" s="192">
        <f t="shared" si="62"/>
        <v>339.65996941826472</v>
      </c>
      <c r="BK131" s="192">
        <f t="shared" si="62"/>
        <v>339.65996941826472</v>
      </c>
      <c r="BL131" s="192">
        <f t="shared" si="62"/>
        <v>339.65996941826472</v>
      </c>
      <c r="BM131" s="192">
        <f t="shared" si="62"/>
        <v>339.65996941826472</v>
      </c>
      <c r="BN131" s="192">
        <f t="shared" si="62"/>
        <v>339.65996941826472</v>
      </c>
      <c r="BO131" s="192">
        <f t="shared" si="62"/>
        <v>339.65996941826472</v>
      </c>
      <c r="BP131" s="192">
        <f t="shared" si="62"/>
        <v>339.65996941826472</v>
      </c>
      <c r="BQ131" s="192">
        <f t="shared" ref="BQ131:CB131" si="63">BQ$102*BQ126</f>
        <v>339.65996941826472</v>
      </c>
      <c r="BR131" s="192">
        <f t="shared" si="63"/>
        <v>339.65996941826472</v>
      </c>
      <c r="BS131" s="192">
        <f t="shared" si="63"/>
        <v>339.65996941826472</v>
      </c>
      <c r="BT131" s="192">
        <f t="shared" si="63"/>
        <v>339.65996941826472</v>
      </c>
      <c r="BU131" s="192">
        <f t="shared" si="63"/>
        <v>339.65996941826472</v>
      </c>
      <c r="BV131" s="192">
        <f t="shared" si="63"/>
        <v>339.65996941826472</v>
      </c>
      <c r="BW131" s="192">
        <f t="shared" si="63"/>
        <v>339.65996941826472</v>
      </c>
      <c r="BX131" s="192">
        <f t="shared" si="63"/>
        <v>339.65996941826472</v>
      </c>
      <c r="BY131" s="192">
        <f t="shared" si="63"/>
        <v>339.65996941826472</v>
      </c>
      <c r="BZ131" s="192">
        <f t="shared" si="63"/>
        <v>339.65996941826472</v>
      </c>
      <c r="CA131" s="192">
        <f t="shared" si="63"/>
        <v>339.65996941826472</v>
      </c>
      <c r="CB131" s="192">
        <f t="shared" si="63"/>
        <v>339.65996941826472</v>
      </c>
    </row>
    <row r="132" spans="2:80" ht="15" customHeight="1">
      <c r="B132" s="197" t="s">
        <v>14</v>
      </c>
      <c r="D132" s="12" t="s">
        <v>404</v>
      </c>
      <c r="E132" s="192">
        <f t="shared" ref="E132:AJ132" si="64">E$102*E127</f>
        <v>0</v>
      </c>
      <c r="F132" s="192">
        <f t="shared" si="64"/>
        <v>0</v>
      </c>
      <c r="G132" s="192">
        <f>G$102*G127</f>
        <v>22.687267866255912</v>
      </c>
      <c r="H132" s="192">
        <f t="shared" si="64"/>
        <v>116.13905484172858</v>
      </c>
      <c r="I132" s="192">
        <f t="shared" si="64"/>
        <v>285.37479553472934</v>
      </c>
      <c r="J132" s="192">
        <f t="shared" si="64"/>
        <v>462.60897320934822</v>
      </c>
      <c r="K132" s="192">
        <f t="shared" si="64"/>
        <v>498.5589666328591</v>
      </c>
      <c r="L132" s="192">
        <f t="shared" si="64"/>
        <v>510.43755033835862</v>
      </c>
      <c r="M132" s="192">
        <f t="shared" si="64"/>
        <v>522.59915121994368</v>
      </c>
      <c r="N132" s="192">
        <f t="shared" si="64"/>
        <v>535.05051239817021</v>
      </c>
      <c r="O132" s="192">
        <f t="shared" si="64"/>
        <v>547.79853765407222</v>
      </c>
      <c r="P132" s="192">
        <f t="shared" si="64"/>
        <v>560.85029525703192</v>
      </c>
      <c r="Q132" s="192">
        <f t="shared" si="64"/>
        <v>574.21302188385198</v>
      </c>
      <c r="R132" s="192">
        <f t="shared" si="64"/>
        <v>587.89412663120288</v>
      </c>
      <c r="S132" s="192">
        <f t="shared" si="64"/>
        <v>601.9011951236705</v>
      </c>
      <c r="T132" s="192">
        <f t="shared" si="64"/>
        <v>616.24199371968075</v>
      </c>
      <c r="U132" s="192">
        <f t="shared" si="64"/>
        <v>630.92447381763418</v>
      </c>
      <c r="V132" s="192">
        <f t="shared" si="64"/>
        <v>645.95677626463839</v>
      </c>
      <c r="W132" s="192">
        <f t="shared" si="64"/>
        <v>661.34723587028157</v>
      </c>
      <c r="X132" s="192">
        <f t="shared" si="64"/>
        <v>677.10438602794989</v>
      </c>
      <c r="Y132" s="192">
        <f t="shared" si="64"/>
        <v>693.23696344625341</v>
      </c>
      <c r="Z132" s="192">
        <f t="shared" si="64"/>
        <v>709.75391299317994</v>
      </c>
      <c r="AA132" s="192">
        <f t="shared" si="64"/>
        <v>726.66439265566646</v>
      </c>
      <c r="AB132" s="192">
        <f t="shared" si="64"/>
        <v>743.97777861733698</v>
      </c>
      <c r="AC132" s="192">
        <f t="shared" si="64"/>
        <v>761.70367045721969</v>
      </c>
      <c r="AD132" s="192">
        <f t="shared" si="64"/>
        <v>779.85189647232869</v>
      </c>
      <c r="AE132" s="192">
        <f t="shared" si="64"/>
        <v>798.43251912706251</v>
      </c>
      <c r="AF132" s="192">
        <f t="shared" si="64"/>
        <v>817.45584063243609</v>
      </c>
      <c r="AG132" s="192">
        <f t="shared" si="64"/>
        <v>836.93240865824532</v>
      </c>
      <c r="AH132" s="192">
        <f t="shared" si="64"/>
        <v>856.87302218132595</v>
      </c>
      <c r="AI132" s="192">
        <f t="shared" si="64"/>
        <v>877.28873747315538</v>
      </c>
      <c r="AJ132" s="192">
        <f t="shared" si="64"/>
        <v>898.19087423011206</v>
      </c>
      <c r="AK132" s="192">
        <f t="shared" ref="AK132:BP132" si="65">AK$102*AK127</f>
        <v>919.59102184979201</v>
      </c>
      <c r="AL132" s="192">
        <f t="shared" si="65"/>
        <v>941.50104585686722</v>
      </c>
      <c r="AM132" s="192">
        <f t="shared" si="65"/>
        <v>963.93309448204423</v>
      </c>
      <c r="AN132" s="192">
        <f t="shared" si="65"/>
        <v>986.89960539776939</v>
      </c>
      <c r="AO132" s="192">
        <f t="shared" si="65"/>
        <v>1010.413312614422</v>
      </c>
      <c r="AP132" s="192">
        <f t="shared" si="65"/>
        <v>1034.4872535408122</v>
      </c>
      <c r="AQ132" s="192">
        <f t="shared" si="65"/>
        <v>1059.1347762129014</v>
      </c>
      <c r="AR132" s="192">
        <f t="shared" si="65"/>
        <v>1084.3695466947554</v>
      </c>
      <c r="AS132" s="192">
        <f t="shared" si="65"/>
        <v>1110.2055566558274</v>
      </c>
      <c r="AT132" s="192">
        <f t="shared" si="65"/>
        <v>1136.6571311287792</v>
      </c>
      <c r="AU132" s="192">
        <f t="shared" si="65"/>
        <v>1163.7389364521384</v>
      </c>
      <c r="AV132" s="192">
        <f t="shared" si="65"/>
        <v>1191.4659884021946</v>
      </c>
      <c r="AW132" s="192">
        <f t="shared" si="65"/>
        <v>1219.8536605186478</v>
      </c>
      <c r="AX132" s="192">
        <f t="shared" si="65"/>
        <v>1248.9176926286177</v>
      </c>
      <c r="AY132" s="192">
        <f t="shared" si="65"/>
        <v>1278.6741995737498</v>
      </c>
      <c r="AZ132" s="192">
        <f t="shared" si="65"/>
        <v>1309.1396801452479</v>
      </c>
      <c r="BA132" s="192">
        <f t="shared" si="65"/>
        <v>1340.3310262317937</v>
      </c>
      <c r="BB132" s="192">
        <f t="shared" si="65"/>
        <v>1372.2655321854231</v>
      </c>
      <c r="BC132" s="192">
        <f t="shared" si="65"/>
        <v>1404.9609044105514</v>
      </c>
      <c r="BD132" s="192">
        <f t="shared" si="65"/>
        <v>1438.4352711814631</v>
      </c>
      <c r="BE132" s="192">
        <f t="shared" si="65"/>
        <v>1472.7071926937174</v>
      </c>
      <c r="BF132" s="192">
        <f t="shared" si="65"/>
        <v>1507.7956713550307</v>
      </c>
      <c r="BG132" s="192">
        <f t="shared" si="65"/>
        <v>1543.7201623213523</v>
      </c>
      <c r="BH132" s="192">
        <f t="shared" si="65"/>
        <v>1580.5005842839669</v>
      </c>
      <c r="BI132" s="192">
        <f t="shared" si="65"/>
        <v>1618.1573305136126</v>
      </c>
      <c r="BJ132" s="192">
        <f t="shared" si="65"/>
        <v>1656.7112801677326</v>
      </c>
      <c r="BK132" s="192">
        <f t="shared" si="65"/>
        <v>1696.1838098671328</v>
      </c>
      <c r="BL132" s="192">
        <f t="shared" si="65"/>
        <v>1736.5968055484586</v>
      </c>
      <c r="BM132" s="192">
        <f t="shared" si="65"/>
        <v>1777.9726745990729</v>
      </c>
      <c r="BN132" s="192">
        <f t="shared" si="65"/>
        <v>1820.334358281053</v>
      </c>
      <c r="BO132" s="192">
        <f t="shared" si="65"/>
        <v>1863.7053444512039</v>
      </c>
      <c r="BP132" s="192">
        <f t="shared" si="65"/>
        <v>1908.1096805841316</v>
      </c>
      <c r="BQ132" s="192">
        <f t="shared" ref="BQ132:CB132" si="66">BQ$102*BQ127</f>
        <v>1953.5719871056062</v>
      </c>
      <c r="BR132" s="192">
        <f t="shared" si="66"/>
        <v>2000.1174710436007</v>
      </c>
      <c r="BS132" s="192">
        <f t="shared" si="66"/>
        <v>2047.7719400045798</v>
      </c>
      <c r="BT132" s="192">
        <f t="shared" si="66"/>
        <v>2096.5618164827829</v>
      </c>
      <c r="BU132" s="192">
        <f t="shared" si="66"/>
        <v>2146.5141525104377</v>
      </c>
      <c r="BV132" s="192">
        <f t="shared" si="66"/>
        <v>2197.6566446570314</v>
      </c>
      <c r="BW132" s="192">
        <f t="shared" si="66"/>
        <v>2250.0176493859462</v>
      </c>
      <c r="BX132" s="192">
        <f t="shared" si="66"/>
        <v>2303.626198776984</v>
      </c>
      <c r="BY132" s="192">
        <f t="shared" si="66"/>
        <v>2358.5120166234919</v>
      </c>
      <c r="BZ132" s="192">
        <f t="shared" si="66"/>
        <v>2414.7055349130142</v>
      </c>
      <c r="CA132" s="192">
        <f t="shared" si="66"/>
        <v>2472.2379107006109</v>
      </c>
      <c r="CB132" s="192">
        <f t="shared" si="66"/>
        <v>2531.1410433841957</v>
      </c>
    </row>
    <row r="133" spans="2:80" ht="15" customHeight="1">
      <c r="B133" s="197"/>
      <c r="D133" s="1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c r="CA133" s="192"/>
      <c r="CB133" s="192"/>
    </row>
    <row r="134" spans="2:80" ht="15" customHeight="1">
      <c r="B134" s="197" t="s">
        <v>405</v>
      </c>
      <c r="C134" s="1" t="s">
        <v>391</v>
      </c>
      <c r="D134" s="12" t="s">
        <v>392</v>
      </c>
      <c r="E134" s="1" t="s">
        <v>14</v>
      </c>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2"/>
      <c r="BR134" s="192"/>
      <c r="BS134" s="192"/>
      <c r="BT134" s="192"/>
      <c r="BU134" s="192"/>
      <c r="BV134" s="192"/>
      <c r="BW134" s="192"/>
      <c r="BX134" s="192"/>
      <c r="BY134" s="192"/>
      <c r="BZ134" s="192"/>
      <c r="CA134" s="192"/>
      <c r="CB134" s="192"/>
    </row>
    <row r="135" spans="2:80" ht="15" customHeight="1">
      <c r="B135" s="197"/>
      <c r="D135" s="1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row>
    <row r="136" spans="2:80" ht="15" customHeight="1">
      <c r="B136" s="197"/>
      <c r="C136" s="1" t="s">
        <v>404</v>
      </c>
      <c r="D136" s="12" t="s">
        <v>404</v>
      </c>
      <c r="E136" s="1" t="s">
        <v>404</v>
      </c>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c r="CA136" s="192"/>
      <c r="CB136" s="192"/>
    </row>
    <row r="137" spans="2:80" ht="15" customHeight="1">
      <c r="B137" s="215">
        <v>2012</v>
      </c>
      <c r="C137" s="192">
        <f>E130</f>
        <v>0</v>
      </c>
      <c r="D137" s="564">
        <f>E131</f>
        <v>0</v>
      </c>
      <c r="E137" s="192">
        <f>E132</f>
        <v>0</v>
      </c>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2"/>
      <c r="BM137" s="192"/>
      <c r="BN137" s="192"/>
      <c r="BO137" s="192"/>
      <c r="BP137" s="192"/>
      <c r="BQ137" s="192"/>
      <c r="BR137" s="192"/>
      <c r="BS137" s="192"/>
      <c r="BT137" s="192"/>
      <c r="BU137" s="192"/>
      <c r="BV137" s="192"/>
      <c r="BW137" s="192"/>
      <c r="BX137" s="192"/>
      <c r="BY137" s="192"/>
      <c r="BZ137" s="192"/>
      <c r="CA137" s="192"/>
      <c r="CB137" s="192"/>
    </row>
    <row r="138" spans="2:80" ht="15" customHeight="1">
      <c r="B138" s="215">
        <f t="shared" ref="B138:B143" si="67">B137+1</f>
        <v>2013</v>
      </c>
      <c r="C138" s="192">
        <f>F130</f>
        <v>0</v>
      </c>
      <c r="D138" s="564">
        <f>F131</f>
        <v>0</v>
      </c>
      <c r="E138" s="192">
        <f>F132</f>
        <v>0</v>
      </c>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c r="BC138" s="192"/>
      <c r="BD138" s="192"/>
      <c r="BE138" s="192"/>
      <c r="BF138" s="192"/>
      <c r="BG138" s="192"/>
      <c r="BH138" s="192"/>
      <c r="BI138" s="192"/>
      <c r="BJ138" s="192"/>
      <c r="BK138" s="192"/>
      <c r="BL138" s="192"/>
      <c r="BM138" s="192"/>
      <c r="BN138" s="192"/>
      <c r="BO138" s="192"/>
      <c r="BP138" s="192"/>
      <c r="BQ138" s="192"/>
      <c r="BR138" s="192"/>
      <c r="BS138" s="192"/>
      <c r="BT138" s="192"/>
      <c r="BU138" s="192"/>
      <c r="BV138" s="192"/>
      <c r="BW138" s="192"/>
      <c r="BX138" s="192"/>
      <c r="BY138" s="192"/>
      <c r="BZ138" s="192"/>
      <c r="CA138" s="192"/>
      <c r="CB138" s="192"/>
    </row>
    <row r="139" spans="2:80" ht="15" customHeight="1">
      <c r="B139" s="215">
        <f t="shared" si="67"/>
        <v>2014</v>
      </c>
      <c r="C139" s="192">
        <f>G130</f>
        <v>40.569698451265424</v>
      </c>
      <c r="D139" s="564">
        <f>G131</f>
        <v>16.982998470913238</v>
      </c>
      <c r="E139" s="192">
        <f>G132</f>
        <v>22.687267866255912</v>
      </c>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192"/>
      <c r="BV139" s="192"/>
      <c r="BW139" s="192"/>
      <c r="BX139" s="192"/>
      <c r="BY139" s="192"/>
      <c r="BZ139" s="192"/>
      <c r="CA139" s="192"/>
      <c r="CB139" s="192"/>
    </row>
    <row r="140" spans="2:80" ht="15" customHeight="1">
      <c r="B140" s="215">
        <f t="shared" si="67"/>
        <v>2015</v>
      </c>
      <c r="C140" s="192">
        <f>H130</f>
        <v>202.84849225632712</v>
      </c>
      <c r="D140" s="564">
        <f>H131</f>
        <v>84.914992354566181</v>
      </c>
      <c r="E140" s="192">
        <f>H132</f>
        <v>116.13905484172858</v>
      </c>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2"/>
      <c r="CA140" s="192"/>
      <c r="CB140" s="192"/>
    </row>
    <row r="141" spans="2:80" ht="15" customHeight="1">
      <c r="B141" s="215">
        <f t="shared" si="67"/>
        <v>2016</v>
      </c>
      <c r="C141" s="192">
        <f>I130</f>
        <v>486.83638141518509</v>
      </c>
      <c r="D141" s="564">
        <f>I131</f>
        <v>203.79598165095882</v>
      </c>
      <c r="E141" s="192">
        <f>I132</f>
        <v>285.37479553472934</v>
      </c>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2"/>
      <c r="BM141" s="192"/>
      <c r="BN141" s="192"/>
      <c r="BO141" s="192"/>
      <c r="BP141" s="192"/>
      <c r="BQ141" s="192"/>
      <c r="BR141" s="192"/>
      <c r="BS141" s="192"/>
      <c r="BT141" s="192"/>
      <c r="BU141" s="192"/>
      <c r="BV141" s="192"/>
      <c r="BW141" s="192"/>
      <c r="BX141" s="192"/>
      <c r="BY141" s="192"/>
      <c r="BZ141" s="192"/>
      <c r="CA141" s="192"/>
      <c r="CB141" s="192"/>
    </row>
    <row r="142" spans="2:80" ht="15" customHeight="1">
      <c r="B142" s="215">
        <f t="shared" si="67"/>
        <v>2017</v>
      </c>
      <c r="C142" s="192">
        <f>J130</f>
        <v>770.824270574043</v>
      </c>
      <c r="D142" s="564">
        <f>J131</f>
        <v>322.67697094735149</v>
      </c>
      <c r="E142" s="192">
        <f>J132</f>
        <v>462.60897320934822</v>
      </c>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192"/>
      <c r="BH142" s="192"/>
      <c r="BI142" s="192"/>
      <c r="BJ142" s="192"/>
      <c r="BK142" s="192"/>
      <c r="BL142" s="192"/>
      <c r="BM142" s="192"/>
      <c r="BN142" s="192"/>
      <c r="BO142" s="192"/>
      <c r="BP142" s="192"/>
      <c r="BQ142" s="192"/>
      <c r="BR142" s="192"/>
      <c r="BS142" s="192"/>
      <c r="BT142" s="192"/>
      <c r="BU142" s="192"/>
      <c r="BV142" s="192"/>
      <c r="BW142" s="192"/>
      <c r="BX142" s="192"/>
      <c r="BY142" s="192"/>
      <c r="BZ142" s="192"/>
      <c r="CA142" s="192"/>
      <c r="CB142" s="192"/>
    </row>
    <row r="143" spans="2:80" ht="15" customHeight="1">
      <c r="B143" s="215">
        <f t="shared" si="67"/>
        <v>2018</v>
      </c>
      <c r="C143" s="192">
        <f>K130</f>
        <v>811.39396902530848</v>
      </c>
      <c r="D143" s="564">
        <f>K131</f>
        <v>339.65996941826472</v>
      </c>
      <c r="E143" s="192">
        <f>K132</f>
        <v>498.5589666328591</v>
      </c>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row>
    <row r="144" spans="2:80" ht="15" customHeight="1">
      <c r="B144" s="197" t="s">
        <v>1357</v>
      </c>
      <c r="C144" s="192">
        <f>C143</f>
        <v>811.39396902530848</v>
      </c>
      <c r="D144" s="564">
        <f>D143</f>
        <v>339.65996941826472</v>
      </c>
      <c r="E144" s="192" t="s">
        <v>1356</v>
      </c>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row>
    <row r="145" spans="1:80" ht="15" customHeight="1">
      <c r="B145" s="197"/>
      <c r="D145" s="1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192"/>
      <c r="BH145" s="192"/>
      <c r="BI145" s="192"/>
      <c r="BJ145" s="192"/>
      <c r="BK145" s="192"/>
      <c r="BL145" s="192"/>
      <c r="BM145" s="192"/>
      <c r="BN145" s="192"/>
      <c r="BO145" s="192"/>
      <c r="BP145" s="192"/>
      <c r="BQ145" s="192"/>
      <c r="BR145" s="192"/>
      <c r="BS145" s="192"/>
      <c r="BT145" s="192"/>
      <c r="BU145" s="192"/>
      <c r="BV145" s="192"/>
      <c r="BW145" s="192"/>
      <c r="BX145" s="192"/>
      <c r="BY145" s="192"/>
      <c r="BZ145" s="192"/>
      <c r="CA145" s="192"/>
      <c r="CB145" s="192"/>
    </row>
    <row r="146" spans="1:80" ht="15" customHeight="1">
      <c r="B146" s="197"/>
      <c r="D146" s="1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2"/>
      <c r="BM146" s="192"/>
      <c r="BN146" s="192"/>
      <c r="BO146" s="192"/>
      <c r="BP146" s="192"/>
      <c r="BQ146" s="192"/>
      <c r="BR146" s="192"/>
      <c r="BS146" s="192"/>
      <c r="BT146" s="192"/>
      <c r="BU146" s="192"/>
      <c r="BV146" s="192"/>
      <c r="BW146" s="192"/>
      <c r="BX146" s="192"/>
      <c r="BY146" s="192"/>
      <c r="BZ146" s="192"/>
      <c r="CA146" s="192"/>
      <c r="CB146" s="192"/>
    </row>
    <row r="147" spans="1:80" ht="15" customHeight="1"/>
    <row r="148" spans="1:80" ht="15.75" customHeight="1">
      <c r="A148" s="196" t="s">
        <v>403</v>
      </c>
    </row>
    <row r="149" spans="1:80" ht="15" customHeight="1">
      <c r="A149" s="196"/>
      <c r="B149" s="3" t="s">
        <v>402</v>
      </c>
      <c r="C149" s="1301" t="s">
        <v>401</v>
      </c>
    </row>
    <row r="150" spans="1:80" ht="15.75">
      <c r="A150" s="196"/>
      <c r="B150" s="195" t="s">
        <v>391</v>
      </c>
      <c r="C150" s="1301"/>
      <c r="D150" s="194" t="str">
        <f t="shared" ref="D150:AI150" si="68">D96</f>
        <v>Units</v>
      </c>
      <c r="E150" s="134">
        <f t="shared" si="68"/>
        <v>2012</v>
      </c>
      <c r="F150" s="134">
        <f t="shared" si="68"/>
        <v>2013</v>
      </c>
      <c r="G150" s="134">
        <f t="shared" si="68"/>
        <v>2014</v>
      </c>
      <c r="H150" s="134">
        <f t="shared" si="68"/>
        <v>2015</v>
      </c>
      <c r="I150" s="134">
        <f t="shared" si="68"/>
        <v>2016</v>
      </c>
      <c r="J150" s="134">
        <f t="shared" si="68"/>
        <v>2017</v>
      </c>
      <c r="K150" s="134">
        <f t="shared" si="68"/>
        <v>2018</v>
      </c>
      <c r="L150" s="134">
        <f t="shared" si="68"/>
        <v>2019</v>
      </c>
      <c r="M150" s="134">
        <f t="shared" si="68"/>
        <v>2020</v>
      </c>
      <c r="N150" s="134">
        <f t="shared" si="68"/>
        <v>2021</v>
      </c>
      <c r="O150" s="134">
        <f t="shared" si="68"/>
        <v>2022</v>
      </c>
      <c r="P150" s="134">
        <f t="shared" si="68"/>
        <v>2023</v>
      </c>
      <c r="Q150" s="134">
        <f t="shared" si="68"/>
        <v>2024</v>
      </c>
      <c r="R150" s="134">
        <f t="shared" si="68"/>
        <v>2025</v>
      </c>
      <c r="S150" s="134">
        <f t="shared" si="68"/>
        <v>2026</v>
      </c>
      <c r="T150" s="134">
        <f t="shared" si="68"/>
        <v>2027</v>
      </c>
      <c r="U150" s="134">
        <f t="shared" si="68"/>
        <v>2028</v>
      </c>
      <c r="V150" s="134">
        <f t="shared" si="68"/>
        <v>2029</v>
      </c>
      <c r="W150" s="134">
        <f t="shared" si="68"/>
        <v>2030</v>
      </c>
      <c r="X150" s="134">
        <f t="shared" si="68"/>
        <v>2031</v>
      </c>
      <c r="Y150" s="134">
        <f t="shared" si="68"/>
        <v>2032</v>
      </c>
      <c r="Z150" s="134">
        <f t="shared" si="68"/>
        <v>2033</v>
      </c>
      <c r="AA150" s="134">
        <f t="shared" si="68"/>
        <v>2034</v>
      </c>
      <c r="AB150" s="134">
        <f t="shared" si="68"/>
        <v>2035</v>
      </c>
      <c r="AC150" s="134">
        <f t="shared" si="68"/>
        <v>2036</v>
      </c>
      <c r="AD150" s="134">
        <f t="shared" si="68"/>
        <v>2037</v>
      </c>
      <c r="AE150" s="134">
        <f t="shared" si="68"/>
        <v>2038</v>
      </c>
      <c r="AF150" s="134">
        <f t="shared" si="68"/>
        <v>2039</v>
      </c>
      <c r="AG150" s="134">
        <f t="shared" si="68"/>
        <v>2040</v>
      </c>
      <c r="AH150" s="134">
        <f t="shared" si="68"/>
        <v>2041</v>
      </c>
      <c r="AI150" s="134">
        <f t="shared" si="68"/>
        <v>2042</v>
      </c>
      <c r="AJ150" s="134">
        <f t="shared" ref="AJ150:BO150" si="69">AJ96</f>
        <v>2043</v>
      </c>
      <c r="AK150" s="134">
        <f t="shared" si="69"/>
        <v>2044</v>
      </c>
      <c r="AL150" s="134">
        <f t="shared" si="69"/>
        <v>2045</v>
      </c>
      <c r="AM150" s="134">
        <f t="shared" si="69"/>
        <v>2046</v>
      </c>
      <c r="AN150" s="134">
        <f t="shared" si="69"/>
        <v>2047</v>
      </c>
      <c r="AO150" s="134">
        <f t="shared" si="69"/>
        <v>2048</v>
      </c>
      <c r="AP150" s="134">
        <f t="shared" si="69"/>
        <v>2049</v>
      </c>
      <c r="AQ150" s="134">
        <f t="shared" si="69"/>
        <v>2050</v>
      </c>
      <c r="AR150" s="134">
        <f t="shared" si="69"/>
        <v>2051</v>
      </c>
      <c r="AS150" s="134">
        <f t="shared" si="69"/>
        <v>2052</v>
      </c>
      <c r="AT150" s="134">
        <f t="shared" si="69"/>
        <v>2053</v>
      </c>
      <c r="AU150" s="134">
        <f t="shared" si="69"/>
        <v>2054</v>
      </c>
      <c r="AV150" s="134">
        <f t="shared" si="69"/>
        <v>2055</v>
      </c>
      <c r="AW150" s="134">
        <f t="shared" si="69"/>
        <v>2056</v>
      </c>
      <c r="AX150" s="134">
        <f t="shared" si="69"/>
        <v>2057</v>
      </c>
      <c r="AY150" s="134">
        <f t="shared" si="69"/>
        <v>2058</v>
      </c>
      <c r="AZ150" s="134">
        <f t="shared" si="69"/>
        <v>2059</v>
      </c>
      <c r="BA150" s="134">
        <f t="shared" si="69"/>
        <v>2060</v>
      </c>
      <c r="BB150" s="134">
        <f t="shared" si="69"/>
        <v>2061</v>
      </c>
      <c r="BC150" s="134">
        <f t="shared" si="69"/>
        <v>2062</v>
      </c>
      <c r="BD150" s="134">
        <f t="shared" si="69"/>
        <v>2063</v>
      </c>
      <c r="BE150" s="134">
        <f t="shared" si="69"/>
        <v>2064</v>
      </c>
      <c r="BF150" s="134">
        <f t="shared" si="69"/>
        <v>2065</v>
      </c>
      <c r="BG150" s="134">
        <f t="shared" si="69"/>
        <v>2066</v>
      </c>
      <c r="BH150" s="134">
        <f t="shared" si="69"/>
        <v>2067</v>
      </c>
      <c r="BI150" s="134">
        <f t="shared" si="69"/>
        <v>2068</v>
      </c>
      <c r="BJ150" s="134">
        <f t="shared" si="69"/>
        <v>2069</v>
      </c>
      <c r="BK150" s="134">
        <f t="shared" si="69"/>
        <v>2070</v>
      </c>
      <c r="BL150" s="134">
        <f t="shared" si="69"/>
        <v>2071</v>
      </c>
      <c r="BM150" s="134">
        <f t="shared" si="69"/>
        <v>2072</v>
      </c>
      <c r="BN150" s="134">
        <f t="shared" si="69"/>
        <v>2073</v>
      </c>
      <c r="BO150" s="134">
        <f t="shared" si="69"/>
        <v>2074</v>
      </c>
      <c r="BP150" s="134">
        <f t="shared" ref="BP150:CB150" si="70">BP96</f>
        <v>2075</v>
      </c>
      <c r="BQ150" s="134">
        <f t="shared" si="70"/>
        <v>2076</v>
      </c>
      <c r="BR150" s="134">
        <f t="shared" si="70"/>
        <v>2077</v>
      </c>
      <c r="BS150" s="134">
        <f t="shared" si="70"/>
        <v>2078</v>
      </c>
      <c r="BT150" s="134">
        <f t="shared" si="70"/>
        <v>2079</v>
      </c>
      <c r="BU150" s="134">
        <f t="shared" si="70"/>
        <v>2080</v>
      </c>
      <c r="BV150" s="134">
        <f t="shared" si="70"/>
        <v>2081</v>
      </c>
      <c r="BW150" s="134">
        <f t="shared" si="70"/>
        <v>2082</v>
      </c>
      <c r="BX150" s="134">
        <f t="shared" si="70"/>
        <v>2083</v>
      </c>
      <c r="BY150" s="134">
        <f t="shared" si="70"/>
        <v>2084</v>
      </c>
      <c r="BZ150" s="134">
        <f t="shared" si="70"/>
        <v>2085</v>
      </c>
      <c r="CA150" s="134">
        <f t="shared" si="70"/>
        <v>2086</v>
      </c>
      <c r="CB150" s="134">
        <f t="shared" si="70"/>
        <v>2087</v>
      </c>
    </row>
    <row r="151" spans="1:80">
      <c r="B151" s="1">
        <v>2013</v>
      </c>
      <c r="C151" s="12">
        <f t="shared" ref="C151:C170" si="71">$B151+$C$33-$C$32</f>
        <v>2026</v>
      </c>
      <c r="E151" s="192">
        <f t="shared" ref="E151:R160" si="72">IF(E$150&gt;=$C151,E$130*HLOOKUP(E$150-$C151+1,$E$47:$CB$49,3)*E$106*$C$30,0)</f>
        <v>0</v>
      </c>
      <c r="F151" s="192">
        <f t="shared" si="72"/>
        <v>0</v>
      </c>
      <c r="G151" s="192">
        <f t="shared" si="72"/>
        <v>0</v>
      </c>
      <c r="H151" s="192">
        <f t="shared" si="72"/>
        <v>0</v>
      </c>
      <c r="I151" s="192">
        <f t="shared" si="72"/>
        <v>0</v>
      </c>
      <c r="J151" s="192">
        <f t="shared" si="72"/>
        <v>0</v>
      </c>
      <c r="K151" s="192">
        <f t="shared" si="72"/>
        <v>0</v>
      </c>
      <c r="L151" s="192">
        <f t="shared" si="72"/>
        <v>0</v>
      </c>
      <c r="M151" s="192">
        <f t="shared" si="72"/>
        <v>0</v>
      </c>
      <c r="N151" s="192">
        <f t="shared" si="72"/>
        <v>0</v>
      </c>
      <c r="O151" s="192">
        <f t="shared" si="72"/>
        <v>0</v>
      </c>
      <c r="P151" s="192">
        <f t="shared" si="72"/>
        <v>0</v>
      </c>
      <c r="Q151" s="192">
        <f t="shared" si="72"/>
        <v>0</v>
      </c>
      <c r="R151" s="192">
        <f t="shared" si="72"/>
        <v>0</v>
      </c>
      <c r="S151" s="192">
        <f t="shared" ref="S151:AX151" si="73">IF(S$150&gt;=$C151,$C138*HLOOKUP(S$150-$C151+1,$E$47:$CB$49,3)*S$106*$C$30,0)</f>
        <v>0</v>
      </c>
      <c r="T151" s="192">
        <f t="shared" si="73"/>
        <v>0</v>
      </c>
      <c r="U151" s="192">
        <f t="shared" si="73"/>
        <v>0</v>
      </c>
      <c r="V151" s="192">
        <f t="shared" si="73"/>
        <v>0</v>
      </c>
      <c r="W151" s="192">
        <f t="shared" si="73"/>
        <v>0</v>
      </c>
      <c r="X151" s="192">
        <f t="shared" si="73"/>
        <v>0</v>
      </c>
      <c r="Y151" s="192">
        <f t="shared" si="73"/>
        <v>0</v>
      </c>
      <c r="Z151" s="192">
        <f t="shared" si="73"/>
        <v>0</v>
      </c>
      <c r="AA151" s="192">
        <f t="shared" si="73"/>
        <v>0</v>
      </c>
      <c r="AB151" s="192">
        <f t="shared" si="73"/>
        <v>0</v>
      </c>
      <c r="AC151" s="192">
        <f t="shared" si="73"/>
        <v>0</v>
      </c>
      <c r="AD151" s="192">
        <f t="shared" si="73"/>
        <v>0</v>
      </c>
      <c r="AE151" s="192">
        <f t="shared" si="73"/>
        <v>0</v>
      </c>
      <c r="AF151" s="192">
        <f t="shared" si="73"/>
        <v>0</v>
      </c>
      <c r="AG151" s="192">
        <f t="shared" si="73"/>
        <v>0</v>
      </c>
      <c r="AH151" s="192">
        <f t="shared" si="73"/>
        <v>0</v>
      </c>
      <c r="AI151" s="192">
        <f t="shared" si="73"/>
        <v>0</v>
      </c>
      <c r="AJ151" s="192">
        <f t="shared" si="73"/>
        <v>0</v>
      </c>
      <c r="AK151" s="192">
        <f t="shared" si="73"/>
        <v>0</v>
      </c>
      <c r="AL151" s="192">
        <f t="shared" si="73"/>
        <v>0</v>
      </c>
      <c r="AM151" s="192">
        <f t="shared" si="73"/>
        <v>0</v>
      </c>
      <c r="AN151" s="192">
        <f t="shared" si="73"/>
        <v>0</v>
      </c>
      <c r="AO151" s="192">
        <f t="shared" si="73"/>
        <v>0</v>
      </c>
      <c r="AP151" s="192">
        <f t="shared" si="73"/>
        <v>0</v>
      </c>
      <c r="AQ151" s="192">
        <f t="shared" si="73"/>
        <v>0</v>
      </c>
      <c r="AR151" s="192">
        <f t="shared" si="73"/>
        <v>0</v>
      </c>
      <c r="AS151" s="192">
        <f t="shared" si="73"/>
        <v>0</v>
      </c>
      <c r="AT151" s="192">
        <f t="shared" si="73"/>
        <v>0</v>
      </c>
      <c r="AU151" s="192">
        <f t="shared" si="73"/>
        <v>0</v>
      </c>
      <c r="AV151" s="192">
        <f t="shared" si="73"/>
        <v>0</v>
      </c>
      <c r="AW151" s="192">
        <f t="shared" si="73"/>
        <v>0</v>
      </c>
      <c r="AX151" s="192">
        <f t="shared" si="73"/>
        <v>0</v>
      </c>
      <c r="AY151" s="192">
        <f t="shared" ref="AY151:CB151" si="74">IF(AY$150&gt;=$C151,$C138*HLOOKUP(AY$150-$C151+1,$E$47:$CB$49,3)*AY$106*$C$30,0)</f>
        <v>0</v>
      </c>
      <c r="AZ151" s="192">
        <f t="shared" si="74"/>
        <v>0</v>
      </c>
      <c r="BA151" s="192">
        <f t="shared" si="74"/>
        <v>0</v>
      </c>
      <c r="BB151" s="192">
        <f t="shared" si="74"/>
        <v>0</v>
      </c>
      <c r="BC151" s="192">
        <f t="shared" si="74"/>
        <v>0</v>
      </c>
      <c r="BD151" s="192">
        <f t="shared" si="74"/>
        <v>0</v>
      </c>
      <c r="BE151" s="192">
        <f t="shared" si="74"/>
        <v>0</v>
      </c>
      <c r="BF151" s="192">
        <f t="shared" si="74"/>
        <v>0</v>
      </c>
      <c r="BG151" s="192">
        <f t="shared" si="74"/>
        <v>0</v>
      </c>
      <c r="BH151" s="192">
        <f t="shared" si="74"/>
        <v>0</v>
      </c>
      <c r="BI151" s="192">
        <f t="shared" si="74"/>
        <v>0</v>
      </c>
      <c r="BJ151" s="192">
        <f t="shared" si="74"/>
        <v>0</v>
      </c>
      <c r="BK151" s="192">
        <f t="shared" si="74"/>
        <v>0</v>
      </c>
      <c r="BL151" s="192">
        <f t="shared" si="74"/>
        <v>0</v>
      </c>
      <c r="BM151" s="192">
        <f t="shared" si="74"/>
        <v>0</v>
      </c>
      <c r="BN151" s="192">
        <f t="shared" si="74"/>
        <v>0</v>
      </c>
      <c r="BO151" s="192">
        <f t="shared" si="74"/>
        <v>0</v>
      </c>
      <c r="BP151" s="192">
        <f t="shared" si="74"/>
        <v>0</v>
      </c>
      <c r="BQ151" s="192">
        <f t="shared" si="74"/>
        <v>0</v>
      </c>
      <c r="BR151" s="192">
        <f t="shared" si="74"/>
        <v>0</v>
      </c>
      <c r="BS151" s="192">
        <f t="shared" si="74"/>
        <v>0</v>
      </c>
      <c r="BT151" s="192">
        <f t="shared" si="74"/>
        <v>0</v>
      </c>
      <c r="BU151" s="192">
        <f t="shared" si="74"/>
        <v>0</v>
      </c>
      <c r="BV151" s="192">
        <f t="shared" si="74"/>
        <v>0</v>
      </c>
      <c r="BW151" s="192">
        <f t="shared" si="74"/>
        <v>0</v>
      </c>
      <c r="BX151" s="192">
        <f t="shared" si="74"/>
        <v>0</v>
      </c>
      <c r="BY151" s="192">
        <f t="shared" si="74"/>
        <v>0</v>
      </c>
      <c r="BZ151" s="192">
        <f t="shared" si="74"/>
        <v>0</v>
      </c>
      <c r="CA151" s="192">
        <f t="shared" si="74"/>
        <v>0</v>
      </c>
      <c r="CB151" s="192">
        <f t="shared" si="74"/>
        <v>0</v>
      </c>
    </row>
    <row r="152" spans="1:80">
      <c r="B152" s="1">
        <v>2014</v>
      </c>
      <c r="C152" s="12">
        <f t="shared" si="71"/>
        <v>2027</v>
      </c>
      <c r="E152" s="192">
        <f t="shared" si="72"/>
        <v>0</v>
      </c>
      <c r="F152" s="192">
        <f t="shared" si="72"/>
        <v>0</v>
      </c>
      <c r="G152" s="192">
        <f t="shared" si="72"/>
        <v>0</v>
      </c>
      <c r="H152" s="192">
        <f t="shared" si="72"/>
        <v>0</v>
      </c>
      <c r="I152" s="192">
        <f t="shared" si="72"/>
        <v>0</v>
      </c>
      <c r="J152" s="192">
        <f t="shared" si="72"/>
        <v>0</v>
      </c>
      <c r="K152" s="192">
        <f t="shared" si="72"/>
        <v>0</v>
      </c>
      <c r="L152" s="192">
        <f t="shared" si="72"/>
        <v>0</v>
      </c>
      <c r="M152" s="192">
        <f t="shared" si="72"/>
        <v>0</v>
      </c>
      <c r="N152" s="192">
        <f t="shared" si="72"/>
        <v>0</v>
      </c>
      <c r="O152" s="192">
        <f t="shared" si="72"/>
        <v>0</v>
      </c>
      <c r="P152" s="192">
        <f t="shared" si="72"/>
        <v>0</v>
      </c>
      <c r="Q152" s="192">
        <f t="shared" si="72"/>
        <v>0</v>
      </c>
      <c r="R152" s="192">
        <f t="shared" si="72"/>
        <v>0</v>
      </c>
      <c r="S152" s="192">
        <f t="shared" ref="S152:AX152" si="75">IF(S$150&gt;=$C152,$C139*HLOOKUP(S$150-$C152+1,$E$47:$CB$49,3)*S$106*$C$30,0)</f>
        <v>0</v>
      </c>
      <c r="T152" s="192">
        <f t="shared" si="75"/>
        <v>10455.611352084916</v>
      </c>
      <c r="U152" s="192">
        <f t="shared" si="75"/>
        <v>12792.414194076915</v>
      </c>
      <c r="V152" s="192">
        <f t="shared" si="75"/>
        <v>14846.561091596141</v>
      </c>
      <c r="W152" s="192">
        <f t="shared" si="75"/>
        <v>16668.848790470995</v>
      </c>
      <c r="X152" s="192">
        <f t="shared" si="75"/>
        <v>18301.578334244321</v>
      </c>
      <c r="Y152" s="192">
        <f t="shared" si="75"/>
        <v>19779.992205857459</v>
      </c>
      <c r="Z152" s="192">
        <f t="shared" si="75"/>
        <v>21133.46880884816</v>
      </c>
      <c r="AA152" s="192">
        <f t="shared" si="75"/>
        <v>22386.515273344256</v>
      </c>
      <c r="AB152" s="192">
        <f t="shared" si="75"/>
        <v>23559.592650066654</v>
      </c>
      <c r="AC152" s="192">
        <f t="shared" si="75"/>
        <v>24669.80180257525</v>
      </c>
      <c r="AD152" s="192">
        <f t="shared" si="75"/>
        <v>25731.453526648653</v>
      </c>
      <c r="AE152" s="192">
        <f t="shared" si="75"/>
        <v>26756.542451881258</v>
      </c>
      <c r="AF152" s="192">
        <f t="shared" si="75"/>
        <v>27755.140977922263</v>
      </c>
      <c r="AG152" s="192">
        <f t="shared" si="75"/>
        <v>28735.726752918461</v>
      </c>
      <c r="AH152" s="192">
        <f t="shared" si="75"/>
        <v>29705.454920448796</v>
      </c>
      <c r="AI152" s="192">
        <f t="shared" si="75"/>
        <v>30670.384465256691</v>
      </c>
      <c r="AJ152" s="192">
        <f t="shared" si="75"/>
        <v>31635.666412323168</v>
      </c>
      <c r="AK152" s="192">
        <f t="shared" si="75"/>
        <v>32605.700324197354</v>
      </c>
      <c r="AL152" s="192">
        <f t="shared" si="75"/>
        <v>33584.264453062322</v>
      </c>
      <c r="AM152" s="192">
        <f t="shared" si="75"/>
        <v>34574.623999406605</v>
      </c>
      <c r="AN152" s="192">
        <f t="shared" si="75"/>
        <v>35579.621177347668</v>
      </c>
      <c r="AO152" s="192">
        <f t="shared" si="75"/>
        <v>36601.750161808341</v>
      </c>
      <c r="AP152" s="192">
        <f t="shared" si="75"/>
        <v>37643.219473436271</v>
      </c>
      <c r="AQ152" s="192">
        <f t="shared" si="75"/>
        <v>38706.003925554549</v>
      </c>
      <c r="AR152" s="192">
        <f t="shared" si="75"/>
        <v>39791.887898726331</v>
      </c>
      <c r="AS152" s="192">
        <f t="shared" si="75"/>
        <v>40902.501410395766</v>
      </c>
      <c r="AT152" s="192">
        <f t="shared" si="75"/>
        <v>42039.350199298948</v>
      </c>
      <c r="AU152" s="192">
        <f t="shared" si="75"/>
        <v>43203.840838418924</v>
      </c>
      <c r="AV152" s="192">
        <f t="shared" si="75"/>
        <v>44397.301719119103</v>
      </c>
      <c r="AW152" s="192">
        <f t="shared" si="75"/>
        <v>45621.00060685636</v>
      </c>
      <c r="AX152" s="192">
        <f t="shared" si="75"/>
        <v>46876.159350666414</v>
      </c>
      <c r="AY152" s="192">
        <f t="shared" ref="AY152:CB152" si="76">IF(AY$150&gt;=$C152,$C139*HLOOKUP(AY$150-$C152+1,$E$47:$CB$49,3)*AY$106*$C$30,0)</f>
        <v>48163.966230372178</v>
      </c>
      <c r="AZ152" s="192">
        <f t="shared" si="76"/>
        <v>49485.586343818519</v>
      </c>
      <c r="BA152" s="192">
        <f t="shared" si="76"/>
        <v>50842.170368582018</v>
      </c>
      <c r="BB152" s="192">
        <f t="shared" si="76"/>
        <v>52234.861976211301</v>
      </c>
      <c r="BC152" s="192">
        <f t="shared" si="76"/>
        <v>53664.804130188706</v>
      </c>
      <c r="BD152" s="192">
        <f t="shared" si="76"/>
        <v>55133.14445985551</v>
      </c>
      <c r="BE152" s="192">
        <f t="shared" si="76"/>
        <v>56641.03987017669</v>
      </c>
      <c r="BF152" s="192">
        <f t="shared" si="76"/>
        <v>58189.660520322606</v>
      </c>
      <c r="BG152" s="192">
        <f t="shared" si="76"/>
        <v>59780.193281693835</v>
      </c>
      <c r="BH152" s="192">
        <f t="shared" si="76"/>
        <v>61413.844767440605</v>
      </c>
      <c r="BI152" s="192">
        <f t="shared" si="76"/>
        <v>0</v>
      </c>
      <c r="BJ152" s="192">
        <f t="shared" si="76"/>
        <v>0</v>
      </c>
      <c r="BK152" s="192">
        <f t="shared" si="76"/>
        <v>0</v>
      </c>
      <c r="BL152" s="192">
        <f t="shared" si="76"/>
        <v>0</v>
      </c>
      <c r="BM152" s="192">
        <f t="shared" si="76"/>
        <v>0</v>
      </c>
      <c r="BN152" s="192">
        <f t="shared" si="76"/>
        <v>0</v>
      </c>
      <c r="BO152" s="192">
        <f t="shared" si="76"/>
        <v>0</v>
      </c>
      <c r="BP152" s="192">
        <f t="shared" si="76"/>
        <v>0</v>
      </c>
      <c r="BQ152" s="192">
        <f t="shared" si="76"/>
        <v>0</v>
      </c>
      <c r="BR152" s="192">
        <f t="shared" si="76"/>
        <v>0</v>
      </c>
      <c r="BS152" s="192">
        <f t="shared" si="76"/>
        <v>0</v>
      </c>
      <c r="BT152" s="192">
        <f t="shared" si="76"/>
        <v>0</v>
      </c>
      <c r="BU152" s="192">
        <f t="shared" si="76"/>
        <v>0</v>
      </c>
      <c r="BV152" s="192">
        <f t="shared" si="76"/>
        <v>0</v>
      </c>
      <c r="BW152" s="192">
        <f t="shared" si="76"/>
        <v>0</v>
      </c>
      <c r="BX152" s="192">
        <f t="shared" si="76"/>
        <v>0</v>
      </c>
      <c r="BY152" s="192">
        <f t="shared" si="76"/>
        <v>0</v>
      </c>
      <c r="BZ152" s="192">
        <f t="shared" si="76"/>
        <v>0</v>
      </c>
      <c r="CA152" s="192">
        <f t="shared" si="76"/>
        <v>0</v>
      </c>
      <c r="CB152" s="192">
        <f t="shared" si="76"/>
        <v>0</v>
      </c>
    </row>
    <row r="153" spans="1:80">
      <c r="B153" s="1">
        <v>2015</v>
      </c>
      <c r="C153" s="12">
        <f t="shared" si="71"/>
        <v>2028</v>
      </c>
      <c r="E153" s="192">
        <f t="shared" si="72"/>
        <v>0</v>
      </c>
      <c r="F153" s="192">
        <f t="shared" si="72"/>
        <v>0</v>
      </c>
      <c r="G153" s="192">
        <f t="shared" si="72"/>
        <v>0</v>
      </c>
      <c r="H153" s="192">
        <f t="shared" si="72"/>
        <v>0</v>
      </c>
      <c r="I153" s="192">
        <f t="shared" si="72"/>
        <v>0</v>
      </c>
      <c r="J153" s="192">
        <f t="shared" si="72"/>
        <v>0</v>
      </c>
      <c r="K153" s="192">
        <f t="shared" si="72"/>
        <v>0</v>
      </c>
      <c r="L153" s="192">
        <f t="shared" si="72"/>
        <v>0</v>
      </c>
      <c r="M153" s="192">
        <f t="shared" si="72"/>
        <v>0</v>
      </c>
      <c r="N153" s="192">
        <f t="shared" si="72"/>
        <v>0</v>
      </c>
      <c r="O153" s="192">
        <f t="shared" si="72"/>
        <v>0</v>
      </c>
      <c r="P153" s="192">
        <f t="shared" si="72"/>
        <v>0</v>
      </c>
      <c r="Q153" s="192">
        <f t="shared" si="72"/>
        <v>0</v>
      </c>
      <c r="R153" s="192">
        <f t="shared" si="72"/>
        <v>0</v>
      </c>
      <c r="S153" s="192">
        <f t="shared" ref="S153:AX153" si="77">IF(S$150&gt;=$C153,$C140*HLOOKUP(S$150-$C153+1,$E$47:$CB$49,3)*S$106*$C$30,0)</f>
        <v>0</v>
      </c>
      <c r="T153" s="192">
        <f t="shared" si="77"/>
        <v>0</v>
      </c>
      <c r="U153" s="192">
        <f t="shared" si="77"/>
        <v>53705.373022149914</v>
      </c>
      <c r="V153" s="192">
        <f t="shared" si="77"/>
        <v>65708.38882699571</v>
      </c>
      <c r="W153" s="192">
        <f t="shared" si="77"/>
        <v>76259.538985380626</v>
      </c>
      <c r="X153" s="192">
        <f t="shared" si="77"/>
        <v>85619.741591059341</v>
      </c>
      <c r="Y153" s="192">
        <f t="shared" si="77"/>
        <v>94006.276461174435</v>
      </c>
      <c r="Z153" s="192">
        <f t="shared" si="77"/>
        <v>101600.16703174081</v>
      </c>
      <c r="AA153" s="192">
        <f t="shared" si="77"/>
        <v>108552.31582463499</v>
      </c>
      <c r="AB153" s="192">
        <f t="shared" si="77"/>
        <v>114988.60400748045</v>
      </c>
      <c r="AC153" s="192">
        <f t="shared" si="77"/>
        <v>121014.13001253406</v>
      </c>
      <c r="AD153" s="192">
        <f t="shared" si="77"/>
        <v>126716.73263042782</v>
      </c>
      <c r="AE153" s="192">
        <f t="shared" si="77"/>
        <v>132169.91943519571</v>
      </c>
      <c r="AF153" s="192">
        <f t="shared" si="77"/>
        <v>137435.30098550685</v>
      </c>
      <c r="AG153" s="192">
        <f t="shared" si="77"/>
        <v>142564.6142828787</v>
      </c>
      <c r="AH153" s="192">
        <f t="shared" si="77"/>
        <v>147601.40486862321</v>
      </c>
      <c r="AI153" s="192">
        <f t="shared" si="77"/>
        <v>152582.42522348915</v>
      </c>
      <c r="AJ153" s="192">
        <f t="shared" si="77"/>
        <v>157538.79739522905</v>
      </c>
      <c r="AK153" s="192">
        <f t="shared" si="77"/>
        <v>162496.97968539374</v>
      </c>
      <c r="AL153" s="192">
        <f t="shared" si="77"/>
        <v>167479.57049974627</v>
      </c>
      <c r="AM153" s="192">
        <f t="shared" si="77"/>
        <v>172505.976875908</v>
      </c>
      <c r="AN153" s="192">
        <f t="shared" si="77"/>
        <v>177592.97055532216</v>
      </c>
      <c r="AO153" s="192">
        <f t="shared" si="77"/>
        <v>182755.15060486749</v>
      </c>
      <c r="AP153" s="192">
        <f t="shared" si="77"/>
        <v>188005.32838392825</v>
      </c>
      <c r="AQ153" s="192">
        <f t="shared" si="77"/>
        <v>193354.84798528059</v>
      </c>
      <c r="AR153" s="192">
        <f t="shared" si="77"/>
        <v>198813.85306122681</v>
      </c>
      <c r="AS153" s="192">
        <f t="shared" si="77"/>
        <v>204391.50910391589</v>
      </c>
      <c r="AT153" s="192">
        <f t="shared" si="77"/>
        <v>210096.18871748561</v>
      </c>
      <c r="AU153" s="192">
        <f t="shared" si="77"/>
        <v>215935.62614700044</v>
      </c>
      <c r="AV153" s="192">
        <f t="shared" si="77"/>
        <v>221917.04627144578</v>
      </c>
      <c r="AW153" s="192">
        <f t="shared" si="77"/>
        <v>228047.27238898084</v>
      </c>
      <c r="AX153" s="192">
        <f t="shared" si="77"/>
        <v>234332.81639206919</v>
      </c>
      <c r="AY153" s="192">
        <f t="shared" ref="AY153:CB153" si="78">IF(AY$150&gt;=$C153,$C140*HLOOKUP(AY$150-$C153+1,$E$47:$CB$49,3)*AY$106*$C$30,0)</f>
        <v>240779.95432292676</v>
      </c>
      <c r="AZ153" s="192">
        <f t="shared" si="78"/>
        <v>247394.78979510575</v>
      </c>
      <c r="BA153" s="192">
        <f t="shared" si="78"/>
        <v>254183.30734765032</v>
      </c>
      <c r="BB153" s="192">
        <f t="shared" si="78"/>
        <v>261151.41744972341</v>
      </c>
      <c r="BC153" s="192">
        <f t="shared" si="78"/>
        <v>268304.99458394171</v>
      </c>
      <c r="BD153" s="192">
        <f t="shared" si="78"/>
        <v>275649.90959593095</v>
      </c>
      <c r="BE153" s="192">
        <f t="shared" si="78"/>
        <v>283192.05729755695</v>
      </c>
      <c r="BF153" s="192">
        <f t="shared" si="78"/>
        <v>290937.38014503807</v>
      </c>
      <c r="BG153" s="192">
        <f t="shared" si="78"/>
        <v>298891.88867497747</v>
      </c>
      <c r="BH153" s="192">
        <f t="shared" si="78"/>
        <v>307061.67926654895</v>
      </c>
      <c r="BI153" s="192">
        <f t="shared" si="78"/>
        <v>315452.94970266032</v>
      </c>
      <c r="BJ153" s="192">
        <f t="shared" si="78"/>
        <v>0</v>
      </c>
      <c r="BK153" s="192">
        <f t="shared" si="78"/>
        <v>0</v>
      </c>
      <c r="BL153" s="192">
        <f t="shared" si="78"/>
        <v>0</v>
      </c>
      <c r="BM153" s="192">
        <f t="shared" si="78"/>
        <v>0</v>
      </c>
      <c r="BN153" s="192">
        <f t="shared" si="78"/>
        <v>0</v>
      </c>
      <c r="BO153" s="192">
        <f t="shared" si="78"/>
        <v>0</v>
      </c>
      <c r="BP153" s="192">
        <f t="shared" si="78"/>
        <v>0</v>
      </c>
      <c r="BQ153" s="192">
        <f t="shared" si="78"/>
        <v>0</v>
      </c>
      <c r="BR153" s="192">
        <f t="shared" si="78"/>
        <v>0</v>
      </c>
      <c r="BS153" s="192">
        <f t="shared" si="78"/>
        <v>0</v>
      </c>
      <c r="BT153" s="192">
        <f t="shared" si="78"/>
        <v>0</v>
      </c>
      <c r="BU153" s="192">
        <f t="shared" si="78"/>
        <v>0</v>
      </c>
      <c r="BV153" s="192">
        <f t="shared" si="78"/>
        <v>0</v>
      </c>
      <c r="BW153" s="192">
        <f t="shared" si="78"/>
        <v>0</v>
      </c>
      <c r="BX153" s="192">
        <f t="shared" si="78"/>
        <v>0</v>
      </c>
      <c r="BY153" s="192">
        <f t="shared" si="78"/>
        <v>0</v>
      </c>
      <c r="BZ153" s="192">
        <f t="shared" si="78"/>
        <v>0</v>
      </c>
      <c r="CA153" s="192">
        <f t="shared" si="78"/>
        <v>0</v>
      </c>
      <c r="CB153" s="192">
        <f t="shared" si="78"/>
        <v>0</v>
      </c>
    </row>
    <row r="154" spans="1:80">
      <c r="B154" s="1">
        <v>2016</v>
      </c>
      <c r="C154" s="12">
        <f t="shared" si="71"/>
        <v>2029</v>
      </c>
      <c r="E154" s="192">
        <f t="shared" si="72"/>
        <v>0</v>
      </c>
      <c r="F154" s="192">
        <f t="shared" si="72"/>
        <v>0</v>
      </c>
      <c r="G154" s="192">
        <f t="shared" si="72"/>
        <v>0</v>
      </c>
      <c r="H154" s="192">
        <f t="shared" si="72"/>
        <v>0</v>
      </c>
      <c r="I154" s="192">
        <f t="shared" si="72"/>
        <v>0</v>
      </c>
      <c r="J154" s="192">
        <f t="shared" si="72"/>
        <v>0</v>
      </c>
      <c r="K154" s="192">
        <f t="shared" si="72"/>
        <v>0</v>
      </c>
      <c r="L154" s="192">
        <f t="shared" si="72"/>
        <v>0</v>
      </c>
      <c r="M154" s="192">
        <f t="shared" si="72"/>
        <v>0</v>
      </c>
      <c r="N154" s="192">
        <f t="shared" si="72"/>
        <v>0</v>
      </c>
      <c r="O154" s="192">
        <f t="shared" si="72"/>
        <v>0</v>
      </c>
      <c r="P154" s="192">
        <f t="shared" si="72"/>
        <v>0</v>
      </c>
      <c r="Q154" s="192">
        <f t="shared" si="72"/>
        <v>0</v>
      </c>
      <c r="R154" s="192">
        <f t="shared" si="72"/>
        <v>0</v>
      </c>
      <c r="S154" s="192">
        <f t="shared" ref="S154:AX154" si="79">IF(S$150&gt;=$C154,$C141*HLOOKUP(S$150-$C154+1,$E$47:$CB$49,3)*S$106*$C$30,0)</f>
        <v>0</v>
      </c>
      <c r="T154" s="192">
        <f t="shared" si="79"/>
        <v>0</v>
      </c>
      <c r="U154" s="192">
        <f t="shared" si="79"/>
        <v>0</v>
      </c>
      <c r="V154" s="192">
        <f t="shared" si="79"/>
        <v>132411.98025394283</v>
      </c>
      <c r="W154" s="192">
        <f t="shared" si="79"/>
        <v>162005.72483297234</v>
      </c>
      <c r="X154" s="192">
        <f t="shared" si="79"/>
        <v>188019.85727093602</v>
      </c>
      <c r="Y154" s="192">
        <f t="shared" si="79"/>
        <v>211097.67784737743</v>
      </c>
      <c r="Z154" s="192">
        <f t="shared" si="79"/>
        <v>231774.8955470419</v>
      </c>
      <c r="AA154" s="192">
        <f t="shared" si="79"/>
        <v>250497.82831329847</v>
      </c>
      <c r="AB154" s="192">
        <f t="shared" si="79"/>
        <v>267638.53020000743</v>
      </c>
      <c r="AC154" s="192">
        <f t="shared" si="79"/>
        <v>283507.36446774681</v>
      </c>
      <c r="AD154" s="192">
        <f t="shared" si="79"/>
        <v>298363.4540078328</v>
      </c>
      <c r="AE154" s="192">
        <f t="shared" si="79"/>
        <v>312423.36762067012</v>
      </c>
      <c r="AF154" s="192">
        <f t="shared" si="79"/>
        <v>325868.34012307099</v>
      </c>
      <c r="AG154" s="192">
        <f t="shared" si="79"/>
        <v>338850.27393408323</v>
      </c>
      <c r="AH154" s="192">
        <f t="shared" si="79"/>
        <v>351496.72796332481</v>
      </c>
      <c r="AI154" s="192">
        <f t="shared" si="79"/>
        <v>363915.06486432318</v>
      </c>
      <c r="AJ154" s="192">
        <f t="shared" si="79"/>
        <v>376195.89882484666</v>
      </c>
      <c r="AK154" s="192">
        <f t="shared" si="79"/>
        <v>388415.96205511119</v>
      </c>
      <c r="AL154" s="192">
        <f t="shared" si="79"/>
        <v>400640.48817896779</v>
      </c>
      <c r="AM154" s="192">
        <f t="shared" si="79"/>
        <v>412925.19414779922</v>
      </c>
      <c r="AN154" s="192">
        <f t="shared" si="79"/>
        <v>425317.92851264798</v>
      </c>
      <c r="AO154" s="192">
        <f t="shared" si="79"/>
        <v>437860.04243396292</v>
      </c>
      <c r="AP154" s="192">
        <f t="shared" si="79"/>
        <v>450587.53028710157</v>
      </c>
      <c r="AQ154" s="192">
        <f t="shared" si="79"/>
        <v>463531.97880855529</v>
      </c>
      <c r="AR154" s="192">
        <f t="shared" si="79"/>
        <v>476721.35715120629</v>
      </c>
      <c r="AS154" s="192">
        <f t="shared" si="79"/>
        <v>490180.67475103476</v>
      </c>
      <c r="AT154" s="192">
        <f t="shared" si="79"/>
        <v>503932.52936497109</v>
      </c>
      <c r="AU154" s="192">
        <f t="shared" si="79"/>
        <v>517997.56386413611</v>
      </c>
      <c r="AV154" s="192">
        <f t="shared" si="79"/>
        <v>532394.84722891508</v>
      </c>
      <c r="AW154" s="192">
        <f t="shared" si="79"/>
        <v>547142.19258450822</v>
      </c>
      <c r="AX154" s="192">
        <f t="shared" si="79"/>
        <v>562256.42294824624</v>
      </c>
      <c r="AY154" s="192">
        <f t="shared" ref="AY154:CB154" si="80">IF(AY$150&gt;=$C154,$C141*HLOOKUP(AY$150-$C154+1,$E$47:$CB$49,3)*AY$106*$C$30,0)</f>
        <v>577753.59355869819</v>
      </c>
      <c r="AZ154" s="192">
        <f t="shared" si="80"/>
        <v>593649.1781595737</v>
      </c>
      <c r="BA154" s="192">
        <f t="shared" si="80"/>
        <v>609958.22536727122</v>
      </c>
      <c r="BB154" s="192">
        <f t="shared" si="80"/>
        <v>626695.49021692306</v>
      </c>
      <c r="BC154" s="192">
        <f t="shared" si="80"/>
        <v>643875.54512246232</v>
      </c>
      <c r="BD154" s="192">
        <f t="shared" si="80"/>
        <v>661512.87377206527</v>
      </c>
      <c r="BE154" s="192">
        <f t="shared" si="80"/>
        <v>679621.95088681288</v>
      </c>
      <c r="BF154" s="192">
        <f t="shared" si="80"/>
        <v>698217.31027716922</v>
      </c>
      <c r="BG154" s="192">
        <f t="shared" si="80"/>
        <v>717313.60322197585</v>
      </c>
      <c r="BH154" s="192">
        <f t="shared" si="80"/>
        <v>736925.64885401598</v>
      </c>
      <c r="BI154" s="192">
        <f t="shared" si="80"/>
        <v>757068.47795314272</v>
      </c>
      <c r="BJ154" s="192">
        <f t="shared" si="80"/>
        <v>777757.37131272547</v>
      </c>
      <c r="BK154" s="192">
        <f t="shared" si="80"/>
        <v>0</v>
      </c>
      <c r="BL154" s="192">
        <f t="shared" si="80"/>
        <v>0</v>
      </c>
      <c r="BM154" s="192">
        <f t="shared" si="80"/>
        <v>0</v>
      </c>
      <c r="BN154" s="192">
        <f t="shared" si="80"/>
        <v>0</v>
      </c>
      <c r="BO154" s="192">
        <f t="shared" si="80"/>
        <v>0</v>
      </c>
      <c r="BP154" s="192">
        <f t="shared" si="80"/>
        <v>0</v>
      </c>
      <c r="BQ154" s="192">
        <f t="shared" si="80"/>
        <v>0</v>
      </c>
      <c r="BR154" s="192">
        <f t="shared" si="80"/>
        <v>0</v>
      </c>
      <c r="BS154" s="192">
        <f t="shared" si="80"/>
        <v>0</v>
      </c>
      <c r="BT154" s="192">
        <f t="shared" si="80"/>
        <v>0</v>
      </c>
      <c r="BU154" s="192">
        <f t="shared" si="80"/>
        <v>0</v>
      </c>
      <c r="BV154" s="192">
        <f t="shared" si="80"/>
        <v>0</v>
      </c>
      <c r="BW154" s="192">
        <f t="shared" si="80"/>
        <v>0</v>
      </c>
      <c r="BX154" s="192">
        <f t="shared" si="80"/>
        <v>0</v>
      </c>
      <c r="BY154" s="192">
        <f t="shared" si="80"/>
        <v>0</v>
      </c>
      <c r="BZ154" s="192">
        <f t="shared" si="80"/>
        <v>0</v>
      </c>
      <c r="CA154" s="192">
        <f t="shared" si="80"/>
        <v>0</v>
      </c>
      <c r="CB154" s="192">
        <f t="shared" si="80"/>
        <v>0</v>
      </c>
    </row>
    <row r="155" spans="1:80">
      <c r="B155" s="1">
        <v>2017</v>
      </c>
      <c r="C155" s="12">
        <f t="shared" si="71"/>
        <v>2030</v>
      </c>
      <c r="E155" s="192">
        <f t="shared" si="72"/>
        <v>0</v>
      </c>
      <c r="F155" s="192">
        <f t="shared" si="72"/>
        <v>0</v>
      </c>
      <c r="G155" s="192">
        <f t="shared" si="72"/>
        <v>0</v>
      </c>
      <c r="H155" s="192">
        <f t="shared" si="72"/>
        <v>0</v>
      </c>
      <c r="I155" s="192">
        <f t="shared" si="72"/>
        <v>0</v>
      </c>
      <c r="J155" s="192">
        <f t="shared" si="72"/>
        <v>0</v>
      </c>
      <c r="K155" s="192">
        <f t="shared" si="72"/>
        <v>0</v>
      </c>
      <c r="L155" s="192">
        <f t="shared" si="72"/>
        <v>0</v>
      </c>
      <c r="M155" s="192">
        <f t="shared" si="72"/>
        <v>0</v>
      </c>
      <c r="N155" s="192">
        <f t="shared" si="72"/>
        <v>0</v>
      </c>
      <c r="O155" s="192">
        <f t="shared" si="72"/>
        <v>0</v>
      </c>
      <c r="P155" s="192">
        <f t="shared" si="72"/>
        <v>0</v>
      </c>
      <c r="Q155" s="192">
        <f t="shared" si="72"/>
        <v>0</v>
      </c>
      <c r="R155" s="192">
        <f t="shared" si="72"/>
        <v>0</v>
      </c>
      <c r="S155" s="192">
        <f t="shared" ref="S155:AX155" si="81">IF(S$150&gt;=$C155,$C142*HLOOKUP(S$150-$C155+1,$E$47:$CB$49,3)*S$106*$C$30,0)</f>
        <v>0</v>
      </c>
      <c r="T155" s="192">
        <f t="shared" si="81"/>
        <v>0</v>
      </c>
      <c r="U155" s="192">
        <f t="shared" si="81"/>
        <v>0</v>
      </c>
      <c r="V155" s="192">
        <f t="shared" si="81"/>
        <v>0</v>
      </c>
      <c r="W155" s="192">
        <f t="shared" si="81"/>
        <v>215376.31245845946</v>
      </c>
      <c r="X155" s="192">
        <f t="shared" si="81"/>
        <v>263512.37663516827</v>
      </c>
      <c r="Y155" s="192">
        <f t="shared" si="81"/>
        <v>305825.97926802211</v>
      </c>
      <c r="Z155" s="192">
        <f t="shared" si="81"/>
        <v>343363.48822906573</v>
      </c>
      <c r="AA155" s="192">
        <f t="shared" si="81"/>
        <v>376996.26746485481</v>
      </c>
      <c r="AB155" s="192">
        <f t="shared" si="81"/>
        <v>407450.2808394031</v>
      </c>
      <c r="AC155" s="192">
        <f t="shared" si="81"/>
        <v>435330.69738652452</v>
      </c>
      <c r="AD155" s="192">
        <f t="shared" si="81"/>
        <v>461142.34223199438</v>
      </c>
      <c r="AE155" s="192">
        <f t="shared" si="81"/>
        <v>485306.6948574899</v>
      </c>
      <c r="AF155" s="192">
        <f t="shared" si="81"/>
        <v>508176.01787199272</v>
      </c>
      <c r="AG155" s="192">
        <f t="shared" si="81"/>
        <v>530045.10096491966</v>
      </c>
      <c r="AH155" s="192">
        <f t="shared" si="81"/>
        <v>551161.02285834192</v>
      </c>
      <c r="AI155" s="192">
        <f t="shared" si="81"/>
        <v>571731.26604381355</v>
      </c>
      <c r="AJ155" s="192">
        <f t="shared" si="81"/>
        <v>591930.46254759212</v>
      </c>
      <c r="AK155" s="192">
        <f t="shared" si="81"/>
        <v>611906.00197581842</v>
      </c>
      <c r="AL155" s="192">
        <f t="shared" si="81"/>
        <v>631782.69403567619</v>
      </c>
      <c r="AM155" s="192">
        <f t="shared" si="81"/>
        <v>651666.6452692349</v>
      </c>
      <c r="AN155" s="192">
        <f t="shared" si="81"/>
        <v>671648.48275953683</v>
      </c>
      <c r="AO155" s="192">
        <f t="shared" si="81"/>
        <v>691806.03514761734</v>
      </c>
      <c r="AP155" s="192">
        <f t="shared" si="81"/>
        <v>712206.56266503804</v>
      </c>
      <c r="AQ155" s="192">
        <f t="shared" si="81"/>
        <v>732908.61239959928</v>
      </c>
      <c r="AR155" s="192">
        <f t="shared" si="81"/>
        <v>753963.56214064441</v>
      </c>
      <c r="AS155" s="192">
        <f t="shared" si="81"/>
        <v>775416.90545302245</v>
      </c>
      <c r="AT155" s="192">
        <f t="shared" si="81"/>
        <v>797309.32173815661</v>
      </c>
      <c r="AU155" s="192">
        <f t="shared" si="81"/>
        <v>819677.56765166263</v>
      </c>
      <c r="AV155" s="192">
        <f t="shared" si="81"/>
        <v>842555.22010593093</v>
      </c>
      <c r="AW155" s="192">
        <f t="shared" si="81"/>
        <v>865973.2959822889</v>
      </c>
      <c r="AX155" s="192">
        <f t="shared" si="81"/>
        <v>889960.76943557907</v>
      </c>
      <c r="AY155" s="192">
        <f t="shared" ref="AY155:CB155" si="82">IF(AY$150&gt;=$C155,$C142*HLOOKUP(AY$150-$C155+1,$E$47:$CB$49,3)*AY$106*$C$30,0)</f>
        <v>914545.00414868118</v>
      </c>
      <c r="AZ155" s="192">
        <f t="shared" si="82"/>
        <v>939752.11496461777</v>
      </c>
      <c r="BA155" s="192">
        <f t="shared" si="82"/>
        <v>965607.27088889515</v>
      </c>
      <c r="BB155" s="192">
        <f t="shared" si="82"/>
        <v>992134.94943103555</v>
      </c>
      <c r="BC155" s="192">
        <f t="shared" si="82"/>
        <v>1019359.1505723916</v>
      </c>
      <c r="BD155" s="192">
        <f t="shared" si="82"/>
        <v>1047303.5772495898</v>
      </c>
      <c r="BE155" s="192">
        <f t="shared" si="82"/>
        <v>1075991.7880813004</v>
      </c>
      <c r="BF155" s="192">
        <f t="shared" si="82"/>
        <v>1105447.3271006565</v>
      </c>
      <c r="BG155" s="192">
        <f t="shared" si="82"/>
        <v>1135693.8344533436</v>
      </c>
      <c r="BH155" s="192">
        <f t="shared" si="82"/>
        <v>1166755.141354661</v>
      </c>
      <c r="BI155" s="192">
        <f t="shared" si="82"/>
        <v>1198655.3520447745</v>
      </c>
      <c r="BJ155" s="192">
        <f t="shared" si="82"/>
        <v>1231418.915020955</v>
      </c>
      <c r="BK155" s="192">
        <f t="shared" si="82"/>
        <v>1265070.6854429939</v>
      </c>
      <c r="BL155" s="192">
        <f t="shared" si="82"/>
        <v>0</v>
      </c>
      <c r="BM155" s="192">
        <f t="shared" si="82"/>
        <v>0</v>
      </c>
      <c r="BN155" s="192">
        <f t="shared" si="82"/>
        <v>0</v>
      </c>
      <c r="BO155" s="192">
        <f t="shared" si="82"/>
        <v>0</v>
      </c>
      <c r="BP155" s="192">
        <f t="shared" si="82"/>
        <v>0</v>
      </c>
      <c r="BQ155" s="192">
        <f t="shared" si="82"/>
        <v>0</v>
      </c>
      <c r="BR155" s="192">
        <f t="shared" si="82"/>
        <v>0</v>
      </c>
      <c r="BS155" s="192">
        <f t="shared" si="82"/>
        <v>0</v>
      </c>
      <c r="BT155" s="192">
        <f t="shared" si="82"/>
        <v>0</v>
      </c>
      <c r="BU155" s="192">
        <f t="shared" si="82"/>
        <v>0</v>
      </c>
      <c r="BV155" s="192">
        <f t="shared" si="82"/>
        <v>0</v>
      </c>
      <c r="BW155" s="192">
        <f t="shared" si="82"/>
        <v>0</v>
      </c>
      <c r="BX155" s="192">
        <f t="shared" si="82"/>
        <v>0</v>
      </c>
      <c r="BY155" s="192">
        <f t="shared" si="82"/>
        <v>0</v>
      </c>
      <c r="BZ155" s="192">
        <f t="shared" si="82"/>
        <v>0</v>
      </c>
      <c r="CA155" s="192">
        <f t="shared" si="82"/>
        <v>0</v>
      </c>
      <c r="CB155" s="192">
        <f t="shared" si="82"/>
        <v>0</v>
      </c>
    </row>
    <row r="156" spans="1:80">
      <c r="B156" s="1">
        <v>2018</v>
      </c>
      <c r="C156" s="12">
        <f t="shared" si="71"/>
        <v>2031</v>
      </c>
      <c r="E156" s="192">
        <f t="shared" si="72"/>
        <v>0</v>
      </c>
      <c r="F156" s="192">
        <f t="shared" si="72"/>
        <v>0</v>
      </c>
      <c r="G156" s="192">
        <f t="shared" si="72"/>
        <v>0</v>
      </c>
      <c r="H156" s="192">
        <f t="shared" si="72"/>
        <v>0</v>
      </c>
      <c r="I156" s="192">
        <f t="shared" si="72"/>
        <v>0</v>
      </c>
      <c r="J156" s="192">
        <f t="shared" si="72"/>
        <v>0</v>
      </c>
      <c r="K156" s="192">
        <f t="shared" si="72"/>
        <v>0</v>
      </c>
      <c r="L156" s="192">
        <f t="shared" si="72"/>
        <v>0</v>
      </c>
      <c r="M156" s="192">
        <f t="shared" si="72"/>
        <v>0</v>
      </c>
      <c r="N156" s="192">
        <f t="shared" si="72"/>
        <v>0</v>
      </c>
      <c r="O156" s="192">
        <f t="shared" si="72"/>
        <v>0</v>
      </c>
      <c r="P156" s="192">
        <f t="shared" si="72"/>
        <v>0</v>
      </c>
      <c r="Q156" s="192">
        <f t="shared" si="72"/>
        <v>0</v>
      </c>
      <c r="R156" s="192">
        <f t="shared" si="72"/>
        <v>0</v>
      </c>
      <c r="S156" s="192">
        <f t="shared" ref="S156:AX156" si="83">IF(S$150&gt;=$C156,$C143*HLOOKUP(S$150-$C156+1,$E$47:$CB$49,3)*S$106*$C$30,0)</f>
        <v>0</v>
      </c>
      <c r="T156" s="192">
        <f t="shared" si="83"/>
        <v>0</v>
      </c>
      <c r="U156" s="192">
        <f t="shared" si="83"/>
        <v>0</v>
      </c>
      <c r="V156" s="192">
        <f t="shared" si="83"/>
        <v>0</v>
      </c>
      <c r="W156" s="192">
        <f t="shared" si="83"/>
        <v>0</v>
      </c>
      <c r="X156" s="192">
        <f t="shared" si="83"/>
        <v>232901.68637100054</v>
      </c>
      <c r="Y156" s="192">
        <f t="shared" si="83"/>
        <v>284954.62754195911</v>
      </c>
      <c r="Z156" s="192">
        <f t="shared" si="83"/>
        <v>330711.32797541475</v>
      </c>
      <c r="AA156" s="192">
        <f t="shared" si="83"/>
        <v>371303.29948518705</v>
      </c>
      <c r="AB156" s="192">
        <f t="shared" si="83"/>
        <v>407672.80972494319</v>
      </c>
      <c r="AC156" s="192">
        <f t="shared" si="83"/>
        <v>440604.89492379851</v>
      </c>
      <c r="AD156" s="192">
        <f t="shared" si="83"/>
        <v>470753.96729127597</v>
      </c>
      <c r="AE156" s="192">
        <f t="shared" si="83"/>
        <v>498665.93005031324</v>
      </c>
      <c r="AF156" s="192">
        <f t="shared" si="83"/>
        <v>524796.55886599084</v>
      </c>
      <c r="AG156" s="192">
        <f t="shared" si="83"/>
        <v>549526.78028840537</v>
      </c>
      <c r="AH156" s="192">
        <f t="shared" si="83"/>
        <v>573175.37132235477</v>
      </c>
      <c r="AI156" s="192">
        <f t="shared" si="83"/>
        <v>596009.51571882796</v>
      </c>
      <c r="AJ156" s="192">
        <f t="shared" si="83"/>
        <v>618253.57901563053</v>
      </c>
      <c r="AK156" s="192">
        <f t="shared" si="83"/>
        <v>640096.40321189235</v>
      </c>
      <c r="AL156" s="192">
        <f t="shared" si="83"/>
        <v>661697.37114517717</v>
      </c>
      <c r="AM156" s="192">
        <f t="shared" si="83"/>
        <v>683191.44840639317</v>
      </c>
      <c r="AN156" s="192">
        <f t="shared" si="83"/>
        <v>704693.37552712869</v>
      </c>
      <c r="AO156" s="192">
        <f t="shared" si="83"/>
        <v>726301.15400174726</v>
      </c>
      <c r="AP156" s="192">
        <f t="shared" si="83"/>
        <v>748098.94546129426</v>
      </c>
      <c r="AQ156" s="192">
        <f t="shared" si="83"/>
        <v>770159.48316588369</v>
      </c>
      <c r="AR156" s="192">
        <f t="shared" si="83"/>
        <v>792546.07823513285</v>
      </c>
      <c r="AS156" s="192">
        <f t="shared" si="83"/>
        <v>815314.2891176173</v>
      </c>
      <c r="AT156" s="192">
        <f t="shared" si="83"/>
        <v>838513.3112325148</v>
      </c>
      <c r="AU156" s="192">
        <f t="shared" si="83"/>
        <v>862187.13410255359</v>
      </c>
      <c r="AV156" s="192">
        <f t="shared" si="83"/>
        <v>886375.505307124</v>
      </c>
      <c r="AW156" s="192">
        <f t="shared" si="83"/>
        <v>911114.7339436831</v>
      </c>
      <c r="AX156" s="192">
        <f t="shared" si="83"/>
        <v>936438.36076647835</v>
      </c>
      <c r="AY156" s="192">
        <f t="shared" ref="AY156:CB156" si="84">IF(AY$150&gt;=$C156,$C143*HLOOKUP(AY$150-$C156+1,$E$47:$CB$49,3)*AY$106*$C$30,0)</f>
        <v>962377.71758469113</v>
      </c>
      <c r="AZ156" s="192">
        <f t="shared" si="84"/>
        <v>988962.39468991524</v>
      </c>
      <c r="BA156" s="192">
        <f t="shared" si="84"/>
        <v>1016220.6319146084</v>
      </c>
      <c r="BB156" s="192">
        <f t="shared" si="84"/>
        <v>1044179.6462900208</v>
      </c>
      <c r="BC156" s="192">
        <f t="shared" si="84"/>
        <v>1072865.907083737</v>
      </c>
      <c r="BD156" s="192">
        <f t="shared" si="84"/>
        <v>1102305.3671782545</v>
      </c>
      <c r="BE156" s="192">
        <f t="shared" si="84"/>
        <v>1132523.6582405344</v>
      </c>
      <c r="BF156" s="192">
        <f t="shared" si="84"/>
        <v>1163546.2558762929</v>
      </c>
      <c r="BG156" s="192">
        <f t="shared" si="84"/>
        <v>1195398.6199188707</v>
      </c>
      <c r="BH156" s="192">
        <f t="shared" si="84"/>
        <v>1228106.3141349296</v>
      </c>
      <c r="BI156" s="192">
        <f t="shared" si="84"/>
        <v>1261695.1089082609</v>
      </c>
      <c r="BJ156" s="192">
        <f t="shared" si="84"/>
        <v>1296191.0698638121</v>
      </c>
      <c r="BK156" s="192">
        <f t="shared" si="84"/>
        <v>1331620.6348961631</v>
      </c>
      <c r="BL156" s="192">
        <f t="shared" si="84"/>
        <v>1368010.6816529266</v>
      </c>
      <c r="BM156" s="192">
        <f t="shared" si="84"/>
        <v>0</v>
      </c>
      <c r="BN156" s="192">
        <f t="shared" si="84"/>
        <v>0</v>
      </c>
      <c r="BO156" s="192">
        <f t="shared" si="84"/>
        <v>0</v>
      </c>
      <c r="BP156" s="192">
        <f t="shared" si="84"/>
        <v>0</v>
      </c>
      <c r="BQ156" s="192">
        <f t="shared" si="84"/>
        <v>0</v>
      </c>
      <c r="BR156" s="192">
        <f t="shared" si="84"/>
        <v>0</v>
      </c>
      <c r="BS156" s="192">
        <f t="shared" si="84"/>
        <v>0</v>
      </c>
      <c r="BT156" s="192">
        <f t="shared" si="84"/>
        <v>0</v>
      </c>
      <c r="BU156" s="192">
        <f t="shared" si="84"/>
        <v>0</v>
      </c>
      <c r="BV156" s="192">
        <f t="shared" si="84"/>
        <v>0</v>
      </c>
      <c r="BW156" s="192">
        <f t="shared" si="84"/>
        <v>0</v>
      </c>
      <c r="BX156" s="192">
        <f t="shared" si="84"/>
        <v>0</v>
      </c>
      <c r="BY156" s="192">
        <f t="shared" si="84"/>
        <v>0</v>
      </c>
      <c r="BZ156" s="192">
        <f t="shared" si="84"/>
        <v>0</v>
      </c>
      <c r="CA156" s="192">
        <f t="shared" si="84"/>
        <v>0</v>
      </c>
      <c r="CB156" s="192">
        <f t="shared" si="84"/>
        <v>0</v>
      </c>
    </row>
    <row r="157" spans="1:80">
      <c r="B157" s="1">
        <v>2019</v>
      </c>
      <c r="C157" s="12">
        <f t="shared" si="71"/>
        <v>2032</v>
      </c>
      <c r="E157" s="192">
        <f t="shared" si="72"/>
        <v>0</v>
      </c>
      <c r="F157" s="192">
        <f t="shared" si="72"/>
        <v>0</v>
      </c>
      <c r="G157" s="192">
        <f t="shared" si="72"/>
        <v>0</v>
      </c>
      <c r="H157" s="192">
        <f t="shared" si="72"/>
        <v>0</v>
      </c>
      <c r="I157" s="192">
        <f t="shared" si="72"/>
        <v>0</v>
      </c>
      <c r="J157" s="192">
        <f t="shared" si="72"/>
        <v>0</v>
      </c>
      <c r="K157" s="192">
        <f t="shared" si="72"/>
        <v>0</v>
      </c>
      <c r="L157" s="192">
        <f t="shared" si="72"/>
        <v>0</v>
      </c>
      <c r="M157" s="192">
        <f t="shared" si="72"/>
        <v>0</v>
      </c>
      <c r="N157" s="192">
        <f t="shared" si="72"/>
        <v>0</v>
      </c>
      <c r="O157" s="192">
        <f t="shared" si="72"/>
        <v>0</v>
      </c>
      <c r="P157" s="192">
        <f t="shared" si="72"/>
        <v>0</v>
      </c>
      <c r="Q157" s="192">
        <f t="shared" si="72"/>
        <v>0</v>
      </c>
      <c r="R157" s="192">
        <f t="shared" si="72"/>
        <v>0</v>
      </c>
      <c r="S157" s="192">
        <f t="shared" ref="S157:AB170" si="85">IF(S$150&gt;=$C157,$C$143*HLOOKUP(S$150-$C157+1,$E$47:$CB$49,3)*S$106*$C$30,0)</f>
        <v>0</v>
      </c>
      <c r="T157" s="192">
        <f t="shared" si="85"/>
        <v>0</v>
      </c>
      <c r="U157" s="192">
        <f t="shared" si="85"/>
        <v>0</v>
      </c>
      <c r="V157" s="192">
        <f t="shared" si="85"/>
        <v>0</v>
      </c>
      <c r="W157" s="192">
        <f t="shared" si="85"/>
        <v>0</v>
      </c>
      <c r="X157" s="192">
        <f t="shared" si="85"/>
        <v>0</v>
      </c>
      <c r="Y157" s="192">
        <f t="shared" si="85"/>
        <v>239260.46068168289</v>
      </c>
      <c r="Z157" s="192">
        <f t="shared" si="85"/>
        <v>292734.57191916514</v>
      </c>
      <c r="AA157" s="192">
        <f t="shared" si="85"/>
        <v>339740.53995472123</v>
      </c>
      <c r="AB157" s="192">
        <f t="shared" si="85"/>
        <v>381440.76958695776</v>
      </c>
      <c r="AC157" s="192">
        <f t="shared" ref="AC157:AL170" si="86">IF(AC$150&gt;=$C157,$C$143*HLOOKUP(AC$150-$C157+1,$E$47:$CB$49,3)*AC$106*$C$30,0)</f>
        <v>418803.25463513267</v>
      </c>
      <c r="AD157" s="192">
        <f t="shared" si="86"/>
        <v>452634.46469917306</v>
      </c>
      <c r="AE157" s="192">
        <f t="shared" si="86"/>
        <v>483606.67901056865</v>
      </c>
      <c r="AF157" s="192">
        <f t="shared" si="86"/>
        <v>512280.70525879052</v>
      </c>
      <c r="AG157" s="192">
        <f t="shared" si="86"/>
        <v>539124.7628770849</v>
      </c>
      <c r="AH157" s="192">
        <f t="shared" si="86"/>
        <v>564530.17862345919</v>
      </c>
      <c r="AI157" s="192">
        <f t="shared" si="86"/>
        <v>588824.43287906074</v>
      </c>
      <c r="AJ157" s="192">
        <f t="shared" si="86"/>
        <v>612282.00415172835</v>
      </c>
      <c r="AK157" s="192">
        <f t="shared" si="86"/>
        <v>635133.38369626133</v>
      </c>
      <c r="AL157" s="192">
        <f t="shared" si="86"/>
        <v>657572.56935102574</v>
      </c>
      <c r="AM157" s="192">
        <f t="shared" ref="AM157:AV170" si="87">IF(AM$150&gt;=$C157,$C$143*HLOOKUP(AM$150-$C157+1,$E$47:$CB$49,3)*AM$106*$C$30,0)</f>
        <v>679763.29548709677</v>
      </c>
      <c r="AN157" s="192">
        <f t="shared" si="87"/>
        <v>701844.21257953136</v>
      </c>
      <c r="AO157" s="192">
        <f t="shared" si="87"/>
        <v>723933.19385146641</v>
      </c>
      <c r="AP157" s="192">
        <f t="shared" si="87"/>
        <v>746130.91647297482</v>
      </c>
      <c r="AQ157" s="192">
        <f t="shared" si="87"/>
        <v>768523.83988936734</v>
      </c>
      <c r="AR157" s="192">
        <f t="shared" si="87"/>
        <v>791186.68315310287</v>
      </c>
      <c r="AS157" s="192">
        <f t="shared" si="87"/>
        <v>814184.48592912336</v>
      </c>
      <c r="AT157" s="192">
        <f t="shared" si="87"/>
        <v>837574.32354482578</v>
      </c>
      <c r="AU157" s="192">
        <f t="shared" si="87"/>
        <v>861406.73457225424</v>
      </c>
      <c r="AV157" s="192">
        <f t="shared" si="87"/>
        <v>885726.9095535517</v>
      </c>
      <c r="AW157" s="192">
        <f t="shared" ref="AW157:BF170" si="88">IF(AW$150&gt;=$C157,$C$143*HLOOKUP(AW$150-$C157+1,$E$47:$CB$49,3)*AW$106*$C$30,0)</f>
        <v>910575.68127230264</v>
      </c>
      <c r="AX157" s="192">
        <f t="shared" si="88"/>
        <v>935990.35015135806</v>
      </c>
      <c r="AY157" s="192">
        <f t="shared" si="88"/>
        <v>962005.37268795515</v>
      </c>
      <c r="AZ157" s="192">
        <f t="shared" si="88"/>
        <v>988652.93612476869</v>
      </c>
      <c r="BA157" s="192">
        <f t="shared" si="88"/>
        <v>1015963.4386392826</v>
      </c>
      <c r="BB157" s="192">
        <f t="shared" si="88"/>
        <v>1043965.8910790718</v>
      </c>
      <c r="BC157" s="192">
        <f t="shared" si="88"/>
        <v>1072688.2535655804</v>
      </c>
      <c r="BD157" s="192">
        <f t="shared" si="88"/>
        <v>1102157.7180408451</v>
      </c>
      <c r="BE157" s="192">
        <f t="shared" si="88"/>
        <v>1132400.9459632656</v>
      </c>
      <c r="BF157" s="192">
        <f t="shared" si="88"/>
        <v>1163444.2688057509</v>
      </c>
      <c r="BG157" s="192">
        <f t="shared" ref="BG157:BP170" si="89">IF(BG$150&gt;=$C157,$C$143*HLOOKUP(BG$150-$C157+1,$E$47:$CB$49,3)*BG$106*$C$30,0)</f>
        <v>1195313.8577191192</v>
      </c>
      <c r="BH157" s="192">
        <f t="shared" si="89"/>
        <v>1228035.8676511899</v>
      </c>
      <c r="BI157" s="192">
        <f t="shared" si="89"/>
        <v>1261636.560320731</v>
      </c>
      <c r="BJ157" s="192">
        <f t="shared" si="89"/>
        <v>1296142.4097047842</v>
      </c>
      <c r="BK157" s="192">
        <f t="shared" si="89"/>
        <v>1331580.1930823382</v>
      </c>
      <c r="BL157" s="192">
        <f t="shared" si="89"/>
        <v>1367977.0701658675</v>
      </c>
      <c r="BM157" s="192">
        <f t="shared" si="89"/>
        <v>1405360.6524271904</v>
      </c>
      <c r="BN157" s="192">
        <f t="shared" si="89"/>
        <v>0</v>
      </c>
      <c r="BO157" s="192">
        <f t="shared" si="89"/>
        <v>0</v>
      </c>
      <c r="BP157" s="192">
        <f t="shared" si="89"/>
        <v>0</v>
      </c>
      <c r="BQ157" s="192">
        <f t="shared" ref="BQ157:CB170" si="90">IF(BQ$150&gt;=$C157,$C$143*HLOOKUP(BQ$150-$C157+1,$E$47:$CB$49,3)*BQ$106*$C$30,0)</f>
        <v>0</v>
      </c>
      <c r="BR157" s="192">
        <f t="shared" si="90"/>
        <v>0</v>
      </c>
      <c r="BS157" s="192">
        <f t="shared" si="90"/>
        <v>0</v>
      </c>
      <c r="BT157" s="192">
        <f t="shared" si="90"/>
        <v>0</v>
      </c>
      <c r="BU157" s="192">
        <f t="shared" si="90"/>
        <v>0</v>
      </c>
      <c r="BV157" s="192">
        <f t="shared" si="90"/>
        <v>0</v>
      </c>
      <c r="BW157" s="192">
        <f t="shared" si="90"/>
        <v>0</v>
      </c>
      <c r="BX157" s="192">
        <f t="shared" si="90"/>
        <v>0</v>
      </c>
      <c r="BY157" s="192">
        <f t="shared" si="90"/>
        <v>0</v>
      </c>
      <c r="BZ157" s="192">
        <f t="shared" si="90"/>
        <v>0</v>
      </c>
      <c r="CA157" s="192">
        <f t="shared" si="90"/>
        <v>0</v>
      </c>
      <c r="CB157" s="192">
        <f t="shared" si="90"/>
        <v>0</v>
      </c>
    </row>
    <row r="158" spans="1:80">
      <c r="B158" s="1">
        <v>2020</v>
      </c>
      <c r="C158" s="12">
        <f t="shared" si="71"/>
        <v>2033</v>
      </c>
      <c r="E158" s="192">
        <f t="shared" si="72"/>
        <v>0</v>
      </c>
      <c r="F158" s="192">
        <f t="shared" si="72"/>
        <v>0</v>
      </c>
      <c r="G158" s="192">
        <f t="shared" si="72"/>
        <v>0</v>
      </c>
      <c r="H158" s="192">
        <f t="shared" si="72"/>
        <v>0</v>
      </c>
      <c r="I158" s="192">
        <f t="shared" si="72"/>
        <v>0</v>
      </c>
      <c r="J158" s="192">
        <f t="shared" si="72"/>
        <v>0</v>
      </c>
      <c r="K158" s="192">
        <f t="shared" si="72"/>
        <v>0</v>
      </c>
      <c r="L158" s="192">
        <f t="shared" si="72"/>
        <v>0</v>
      </c>
      <c r="M158" s="192">
        <f t="shared" si="72"/>
        <v>0</v>
      </c>
      <c r="N158" s="192">
        <f t="shared" si="72"/>
        <v>0</v>
      </c>
      <c r="O158" s="192">
        <f t="shared" si="72"/>
        <v>0</v>
      </c>
      <c r="P158" s="192">
        <f t="shared" si="72"/>
        <v>0</v>
      </c>
      <c r="Q158" s="192">
        <f t="shared" si="72"/>
        <v>0</v>
      </c>
      <c r="R158" s="192">
        <f t="shared" si="72"/>
        <v>0</v>
      </c>
      <c r="S158" s="192">
        <f t="shared" si="85"/>
        <v>0</v>
      </c>
      <c r="T158" s="192">
        <f t="shared" si="85"/>
        <v>0</v>
      </c>
      <c r="U158" s="192">
        <f t="shared" si="85"/>
        <v>0</v>
      </c>
      <c r="V158" s="192">
        <f t="shared" si="85"/>
        <v>0</v>
      </c>
      <c r="W158" s="192">
        <f t="shared" si="85"/>
        <v>0</v>
      </c>
      <c r="X158" s="192">
        <f t="shared" si="85"/>
        <v>0</v>
      </c>
      <c r="Y158" s="192">
        <f t="shared" si="85"/>
        <v>0</v>
      </c>
      <c r="Z158" s="192">
        <f t="shared" si="85"/>
        <v>245792.84477323128</v>
      </c>
      <c r="AA158" s="192">
        <f t="shared" si="85"/>
        <v>300726.92742664326</v>
      </c>
      <c r="AB158" s="192">
        <f t="shared" si="85"/>
        <v>349016.27106437122</v>
      </c>
      <c r="AC158" s="192">
        <f t="shared" si="86"/>
        <v>391855.01692234533</v>
      </c>
      <c r="AD158" s="192">
        <f t="shared" si="86"/>
        <v>430237.58737140114</v>
      </c>
      <c r="AE158" s="192">
        <f t="shared" si="86"/>
        <v>464992.47056467697</v>
      </c>
      <c r="AF158" s="192">
        <f t="shared" si="86"/>
        <v>496810.30056815693</v>
      </c>
      <c r="AG158" s="192">
        <f t="shared" si="86"/>
        <v>526267.19646550866</v>
      </c>
      <c r="AH158" s="192">
        <f t="shared" si="86"/>
        <v>553844.16120284295</v>
      </c>
      <c r="AI158" s="192">
        <f t="shared" si="86"/>
        <v>579943.20569668326</v>
      </c>
      <c r="AJ158" s="192">
        <f t="shared" si="86"/>
        <v>604900.75132756331</v>
      </c>
      <c r="AK158" s="192">
        <f t="shared" si="86"/>
        <v>628998.77052451961</v>
      </c>
      <c r="AL158" s="192">
        <f t="shared" si="86"/>
        <v>652474.04750610236</v>
      </c>
      <c r="AM158" s="192">
        <f t="shared" si="87"/>
        <v>675525.87671668385</v>
      </c>
      <c r="AN158" s="192">
        <f t="shared" si="87"/>
        <v>698322.46286814648</v>
      </c>
      <c r="AO158" s="192">
        <f t="shared" si="87"/>
        <v>721006.24192586553</v>
      </c>
      <c r="AP158" s="192">
        <f t="shared" si="87"/>
        <v>743698.3053345154</v>
      </c>
      <c r="AQ158" s="192">
        <f t="shared" si="87"/>
        <v>766502.07899223838</v>
      </c>
      <c r="AR158" s="192">
        <f t="shared" si="87"/>
        <v>789506.38289444859</v>
      </c>
      <c r="AS158" s="192">
        <f t="shared" si="87"/>
        <v>812787.97610284062</v>
      </c>
      <c r="AT158" s="192">
        <f t="shared" si="87"/>
        <v>836413.67402111157</v>
      </c>
      <c r="AU158" s="192">
        <f t="shared" si="87"/>
        <v>860442.11026990775</v>
      </c>
      <c r="AV158" s="192">
        <f t="shared" si="87"/>
        <v>884925.2032454327</v>
      </c>
      <c r="AW158" s="192">
        <f t="shared" si="88"/>
        <v>909909.37729995314</v>
      </c>
      <c r="AX158" s="192">
        <f t="shared" si="88"/>
        <v>935436.58004992257</v>
      </c>
      <c r="AY158" s="192">
        <f t="shared" si="88"/>
        <v>961545.13030914625</v>
      </c>
      <c r="AZ158" s="192">
        <f t="shared" si="88"/>
        <v>988270.42531982926</v>
      </c>
      <c r="BA158" s="192">
        <f t="shared" si="88"/>
        <v>1015645.5311135255</v>
      </c>
      <c r="BB158" s="192">
        <f t="shared" si="88"/>
        <v>1043701.6758108293</v>
      </c>
      <c r="BC158" s="192">
        <f t="shared" si="88"/>
        <v>1072468.6623249946</v>
      </c>
      <c r="BD158" s="192">
        <f t="shared" si="88"/>
        <v>1101975.2141558016</v>
      </c>
      <c r="BE158" s="192">
        <f t="shared" si="88"/>
        <v>1132249.2656504852</v>
      </c>
      <c r="BF158" s="192">
        <f t="shared" si="88"/>
        <v>1163318.2061891677</v>
      </c>
      <c r="BG158" s="192">
        <f t="shared" si="89"/>
        <v>1195209.0861570854</v>
      </c>
      <c r="BH158" s="192">
        <f t="shared" si="89"/>
        <v>1227948.7912402076</v>
      </c>
      <c r="BI158" s="192">
        <f t="shared" si="89"/>
        <v>1261564.1904791228</v>
      </c>
      <c r="BJ158" s="192">
        <f t="shared" si="89"/>
        <v>1296082.2626004722</v>
      </c>
      <c r="BK158" s="192">
        <f t="shared" si="89"/>
        <v>1331530.204384329</v>
      </c>
      <c r="BL158" s="192">
        <f t="shared" si="89"/>
        <v>1367935.5241935847</v>
      </c>
      <c r="BM158" s="192">
        <f t="shared" si="89"/>
        <v>1405326.1232659668</v>
      </c>
      <c r="BN158" s="192">
        <f t="shared" si="89"/>
        <v>1443730.3669326606</v>
      </c>
      <c r="BO158" s="192">
        <f t="shared" si="89"/>
        <v>0</v>
      </c>
      <c r="BP158" s="192">
        <f t="shared" si="89"/>
        <v>0</v>
      </c>
      <c r="BQ158" s="192">
        <f t="shared" si="90"/>
        <v>0</v>
      </c>
      <c r="BR158" s="192">
        <f t="shared" si="90"/>
        <v>0</v>
      </c>
      <c r="BS158" s="192">
        <f t="shared" si="90"/>
        <v>0</v>
      </c>
      <c r="BT158" s="192">
        <f t="shared" si="90"/>
        <v>0</v>
      </c>
      <c r="BU158" s="192">
        <f t="shared" si="90"/>
        <v>0</v>
      </c>
      <c r="BV158" s="192">
        <f t="shared" si="90"/>
        <v>0</v>
      </c>
      <c r="BW158" s="192">
        <f t="shared" si="90"/>
        <v>0</v>
      </c>
      <c r="BX158" s="192">
        <f t="shared" si="90"/>
        <v>0</v>
      </c>
      <c r="BY158" s="192">
        <f t="shared" si="90"/>
        <v>0</v>
      </c>
      <c r="BZ158" s="192">
        <f t="shared" si="90"/>
        <v>0</v>
      </c>
      <c r="CA158" s="192">
        <f t="shared" si="90"/>
        <v>0</v>
      </c>
      <c r="CB158" s="192">
        <f t="shared" si="90"/>
        <v>0</v>
      </c>
    </row>
    <row r="159" spans="1:80">
      <c r="B159" s="1">
        <v>2021</v>
      </c>
      <c r="C159" s="12">
        <f t="shared" si="71"/>
        <v>2034</v>
      </c>
      <c r="E159" s="192">
        <f t="shared" si="72"/>
        <v>0</v>
      </c>
      <c r="F159" s="192">
        <f t="shared" si="72"/>
        <v>0</v>
      </c>
      <c r="G159" s="192">
        <f t="shared" si="72"/>
        <v>0</v>
      </c>
      <c r="H159" s="192">
        <f t="shared" si="72"/>
        <v>0</v>
      </c>
      <c r="I159" s="192">
        <f t="shared" si="72"/>
        <v>0</v>
      </c>
      <c r="J159" s="192">
        <f t="shared" si="72"/>
        <v>0</v>
      </c>
      <c r="K159" s="192">
        <f t="shared" si="72"/>
        <v>0</v>
      </c>
      <c r="L159" s="192">
        <f t="shared" si="72"/>
        <v>0</v>
      </c>
      <c r="M159" s="192">
        <f t="shared" si="72"/>
        <v>0</v>
      </c>
      <c r="N159" s="192">
        <f t="shared" si="72"/>
        <v>0</v>
      </c>
      <c r="O159" s="192">
        <f t="shared" si="72"/>
        <v>0</v>
      </c>
      <c r="P159" s="192">
        <f t="shared" si="72"/>
        <v>0</v>
      </c>
      <c r="Q159" s="192">
        <f t="shared" si="72"/>
        <v>0</v>
      </c>
      <c r="R159" s="192">
        <f t="shared" si="72"/>
        <v>0</v>
      </c>
      <c r="S159" s="192">
        <f t="shared" si="85"/>
        <v>0</v>
      </c>
      <c r="T159" s="192">
        <f t="shared" si="85"/>
        <v>0</v>
      </c>
      <c r="U159" s="192">
        <f t="shared" si="85"/>
        <v>0</v>
      </c>
      <c r="V159" s="192">
        <f t="shared" si="85"/>
        <v>0</v>
      </c>
      <c r="W159" s="192">
        <f t="shared" si="85"/>
        <v>0</v>
      </c>
      <c r="X159" s="192">
        <f t="shared" si="85"/>
        <v>0</v>
      </c>
      <c r="Y159" s="192">
        <f t="shared" si="85"/>
        <v>0</v>
      </c>
      <c r="Z159" s="192">
        <f t="shared" si="85"/>
        <v>0</v>
      </c>
      <c r="AA159" s="192">
        <f t="shared" si="85"/>
        <v>252503.57860881148</v>
      </c>
      <c r="AB159" s="192">
        <f t="shared" si="85"/>
        <v>308937.49339740589</v>
      </c>
      <c r="AC159" s="192">
        <f t="shared" si="86"/>
        <v>358545.25186753733</v>
      </c>
      <c r="AD159" s="192">
        <f t="shared" si="86"/>
        <v>402553.59817327122</v>
      </c>
      <c r="AE159" s="192">
        <f t="shared" si="86"/>
        <v>441984.10479982919</v>
      </c>
      <c r="AF159" s="192">
        <f t="shared" si="86"/>
        <v>477687.8796128424</v>
      </c>
      <c r="AG159" s="192">
        <f t="shared" si="86"/>
        <v>510374.41264376842</v>
      </c>
      <c r="AH159" s="192">
        <f t="shared" si="86"/>
        <v>540635.55240823491</v>
      </c>
      <c r="AI159" s="192">
        <f t="shared" si="86"/>
        <v>568965.43438576034</v>
      </c>
      <c r="AJ159" s="192">
        <f t="shared" si="86"/>
        <v>595777.04535452276</v>
      </c>
      <c r="AK159" s="192">
        <f t="shared" si="86"/>
        <v>621415.99180515704</v>
      </c>
      <c r="AL159" s="192">
        <f t="shared" si="86"/>
        <v>646171.94468990911</v>
      </c>
      <c r="AM159" s="192">
        <f t="shared" si="87"/>
        <v>670288.15300407505</v>
      </c>
      <c r="AN159" s="192">
        <f t="shared" si="87"/>
        <v>693969.35240807373</v>
      </c>
      <c r="AO159" s="192">
        <f t="shared" si="87"/>
        <v>717388.34000561363</v>
      </c>
      <c r="AP159" s="192">
        <f t="shared" si="87"/>
        <v>740691.44060534856</v>
      </c>
      <c r="AQ159" s="192">
        <f t="shared" si="87"/>
        <v>764003.05173865298</v>
      </c>
      <c r="AR159" s="192">
        <f t="shared" si="87"/>
        <v>787429.42307860299</v>
      </c>
      <c r="AS159" s="192">
        <f t="shared" si="87"/>
        <v>811061.79961939191</v>
      </c>
      <c r="AT159" s="192">
        <f t="shared" si="87"/>
        <v>834979.03612909291</v>
      </c>
      <c r="AU159" s="192">
        <f t="shared" si="87"/>
        <v>859249.77223208244</v>
      </c>
      <c r="AV159" s="192">
        <f t="shared" si="87"/>
        <v>883934.2423873971</v>
      </c>
      <c r="AW159" s="192">
        <f t="shared" si="88"/>
        <v>909085.78248790698</v>
      </c>
      <c r="AX159" s="192">
        <f t="shared" si="88"/>
        <v>934752.08438197605</v>
      </c>
      <c r="AY159" s="192">
        <f t="shared" si="88"/>
        <v>960976.24095653696</v>
      </c>
      <c r="AZ159" s="192">
        <f t="shared" si="88"/>
        <v>987797.61722086335</v>
      </c>
      <c r="BA159" s="192">
        <f t="shared" si="88"/>
        <v>1015252.5768467205</v>
      </c>
      <c r="BB159" s="192">
        <f t="shared" si="88"/>
        <v>1043375.0886475845</v>
      </c>
      <c r="BC159" s="192">
        <f t="shared" si="88"/>
        <v>1072197.2333465964</v>
      </c>
      <c r="BD159" s="192">
        <f t="shared" si="88"/>
        <v>1101749.6275479805</v>
      </c>
      <c r="BE159" s="192">
        <f t="shared" si="88"/>
        <v>1132061.7789719123</v>
      </c>
      <c r="BF159" s="192">
        <f t="shared" si="88"/>
        <v>1163162.3846402657</v>
      </c>
      <c r="BG159" s="192">
        <f t="shared" si="89"/>
        <v>1195079.5817288933</v>
      </c>
      <c r="BH159" s="192">
        <f t="shared" si="89"/>
        <v>1227841.1591633894</v>
      </c>
      <c r="BI159" s="192">
        <f t="shared" si="89"/>
        <v>1261474.7366733958</v>
      </c>
      <c r="BJ159" s="192">
        <f t="shared" si="89"/>
        <v>1296007.9168887152</v>
      </c>
      <c r="BK159" s="192">
        <f t="shared" si="89"/>
        <v>1331468.4151198948</v>
      </c>
      <c r="BL159" s="192">
        <f t="shared" si="89"/>
        <v>1367884.1706842957</v>
      </c>
      <c r="BM159" s="192">
        <f t="shared" si="89"/>
        <v>1405283.4429890539</v>
      </c>
      <c r="BN159" s="192">
        <f t="shared" si="89"/>
        <v>1443694.8950425682</v>
      </c>
      <c r="BO159" s="192">
        <f t="shared" si="89"/>
        <v>1483147.6666175567</v>
      </c>
      <c r="BP159" s="192">
        <f t="shared" si="89"/>
        <v>0</v>
      </c>
      <c r="BQ159" s="192">
        <f t="shared" si="90"/>
        <v>0</v>
      </c>
      <c r="BR159" s="192">
        <f t="shared" si="90"/>
        <v>0</v>
      </c>
      <c r="BS159" s="192">
        <f t="shared" si="90"/>
        <v>0</v>
      </c>
      <c r="BT159" s="192">
        <f t="shared" si="90"/>
        <v>0</v>
      </c>
      <c r="BU159" s="192">
        <f t="shared" si="90"/>
        <v>0</v>
      </c>
      <c r="BV159" s="192">
        <f t="shared" si="90"/>
        <v>0</v>
      </c>
      <c r="BW159" s="192">
        <f t="shared" si="90"/>
        <v>0</v>
      </c>
      <c r="BX159" s="192">
        <f t="shared" si="90"/>
        <v>0</v>
      </c>
      <c r="BY159" s="192">
        <f t="shared" si="90"/>
        <v>0</v>
      </c>
      <c r="BZ159" s="192">
        <f t="shared" si="90"/>
        <v>0</v>
      </c>
      <c r="CA159" s="192">
        <f t="shared" si="90"/>
        <v>0</v>
      </c>
      <c r="CB159" s="192">
        <f t="shared" si="90"/>
        <v>0</v>
      </c>
    </row>
    <row r="160" spans="1:80">
      <c r="B160" s="1">
        <v>2022</v>
      </c>
      <c r="C160" s="12">
        <f t="shared" si="71"/>
        <v>2035</v>
      </c>
      <c r="E160" s="192">
        <f t="shared" si="72"/>
        <v>0</v>
      </c>
      <c r="F160" s="192">
        <f t="shared" si="72"/>
        <v>0</v>
      </c>
      <c r="G160" s="192">
        <f t="shared" si="72"/>
        <v>0</v>
      </c>
      <c r="H160" s="192">
        <f t="shared" si="72"/>
        <v>0</v>
      </c>
      <c r="I160" s="192">
        <f t="shared" si="72"/>
        <v>0</v>
      </c>
      <c r="J160" s="192">
        <f t="shared" si="72"/>
        <v>0</v>
      </c>
      <c r="K160" s="192">
        <f t="shared" si="72"/>
        <v>0</v>
      </c>
      <c r="L160" s="192">
        <f t="shared" si="72"/>
        <v>0</v>
      </c>
      <c r="M160" s="192">
        <f t="shared" si="72"/>
        <v>0</v>
      </c>
      <c r="N160" s="192">
        <f t="shared" si="72"/>
        <v>0</v>
      </c>
      <c r="O160" s="192">
        <f t="shared" si="72"/>
        <v>0</v>
      </c>
      <c r="P160" s="192">
        <f t="shared" si="72"/>
        <v>0</v>
      </c>
      <c r="Q160" s="192">
        <f t="shared" si="72"/>
        <v>0</v>
      </c>
      <c r="R160" s="192">
        <f t="shared" si="72"/>
        <v>0</v>
      </c>
      <c r="S160" s="192">
        <f t="shared" si="85"/>
        <v>0</v>
      </c>
      <c r="T160" s="192">
        <f t="shared" si="85"/>
        <v>0</v>
      </c>
      <c r="U160" s="192">
        <f t="shared" si="85"/>
        <v>0</v>
      </c>
      <c r="V160" s="192">
        <f t="shared" si="85"/>
        <v>0</v>
      </c>
      <c r="W160" s="192">
        <f t="shared" si="85"/>
        <v>0</v>
      </c>
      <c r="X160" s="192">
        <f t="shared" si="85"/>
        <v>0</v>
      </c>
      <c r="Y160" s="192">
        <f t="shared" si="85"/>
        <v>0</v>
      </c>
      <c r="Z160" s="192">
        <f t="shared" si="85"/>
        <v>0</v>
      </c>
      <c r="AA160" s="192">
        <f t="shared" si="85"/>
        <v>0</v>
      </c>
      <c r="AB160" s="192">
        <f t="shared" si="85"/>
        <v>259397.53156394558</v>
      </c>
      <c r="AC160" s="192">
        <f t="shared" si="86"/>
        <v>317372.2275001583</v>
      </c>
      <c r="AD160" s="192">
        <f t="shared" si="86"/>
        <v>368334.39668790012</v>
      </c>
      <c r="AE160" s="192">
        <f t="shared" si="86"/>
        <v>413544.27633718721</v>
      </c>
      <c r="AF160" s="192">
        <f t="shared" si="86"/>
        <v>454051.33031082927</v>
      </c>
      <c r="AG160" s="192">
        <f t="shared" si="86"/>
        <v>490729.90375932225</v>
      </c>
      <c r="AH160" s="192">
        <f t="shared" si="86"/>
        <v>524308.85749265249</v>
      </c>
      <c r="AI160" s="192">
        <f t="shared" si="86"/>
        <v>555396.19890960387</v>
      </c>
      <c r="AJ160" s="192">
        <f t="shared" si="86"/>
        <v>584499.55457274453</v>
      </c>
      <c r="AK160" s="192">
        <f t="shared" si="86"/>
        <v>612043.18678923883</v>
      </c>
      <c r="AL160" s="192">
        <f t="shared" si="86"/>
        <v>638382.13793534599</v>
      </c>
      <c r="AM160" s="192">
        <f t="shared" si="87"/>
        <v>663813.98767465865</v>
      </c>
      <c r="AN160" s="192">
        <f t="shared" si="87"/>
        <v>688588.62628312025</v>
      </c>
      <c r="AO160" s="192">
        <f t="shared" si="87"/>
        <v>712916.37919543672</v>
      </c>
      <c r="AP160" s="192">
        <f t="shared" si="87"/>
        <v>736974.7612904479</v>
      </c>
      <c r="AQ160" s="192">
        <f t="shared" si="87"/>
        <v>760914.09239482938</v>
      </c>
      <c r="AR160" s="192">
        <f t="shared" si="87"/>
        <v>784862.1663907466</v>
      </c>
      <c r="AS160" s="192">
        <f t="shared" si="87"/>
        <v>808928.13382203493</v>
      </c>
      <c r="AT160" s="192">
        <f t="shared" si="87"/>
        <v>833205.73088994611</v>
      </c>
      <c r="AU160" s="192">
        <f t="shared" si="87"/>
        <v>857775.96528673894</v>
      </c>
      <c r="AV160" s="192">
        <f t="shared" si="87"/>
        <v>882709.35066306684</v>
      </c>
      <c r="AW160" s="192">
        <f t="shared" si="88"/>
        <v>908067.76602308208</v>
      </c>
      <c r="AX160" s="192">
        <f t="shared" si="88"/>
        <v>933906.00345737801</v>
      </c>
      <c r="AY160" s="192">
        <f t="shared" si="88"/>
        <v>960273.05691609764</v>
      </c>
      <c r="AZ160" s="192">
        <f t="shared" si="88"/>
        <v>987213.19582528179</v>
      </c>
      <c r="BA160" s="192">
        <f t="shared" si="88"/>
        <v>1014766.8599533169</v>
      </c>
      <c r="BB160" s="192">
        <f t="shared" si="88"/>
        <v>1042971.4057873719</v>
      </c>
      <c r="BC160" s="192">
        <f t="shared" si="88"/>
        <v>1071861.7295709553</v>
      </c>
      <c r="BD160" s="192">
        <f t="shared" si="88"/>
        <v>1101470.7879078484</v>
      </c>
      <c r="BE160" s="192">
        <f t="shared" si="88"/>
        <v>1131830.0333089596</v>
      </c>
      <c r="BF160" s="192">
        <f t="shared" si="88"/>
        <v>1162969.7791259564</v>
      </c>
      <c r="BG160" s="192">
        <f t="shared" si="89"/>
        <v>1194919.5058781973</v>
      </c>
      <c r="BH160" s="192">
        <f t="shared" si="89"/>
        <v>1227708.1189538816</v>
      </c>
      <c r="BI160" s="192">
        <f t="shared" si="89"/>
        <v>1261364.165982883</v>
      </c>
      <c r="BJ160" s="192">
        <f t="shared" si="89"/>
        <v>1295916.0207796684</v>
      </c>
      <c r="BK160" s="192">
        <f t="shared" si="89"/>
        <v>1331392.0395919976</v>
      </c>
      <c r="BL160" s="192">
        <f t="shared" si="89"/>
        <v>1367820.6944248311</v>
      </c>
      <c r="BM160" s="192">
        <f t="shared" si="89"/>
        <v>1405230.6874058652</v>
      </c>
      <c r="BN160" s="192">
        <f t="shared" si="89"/>
        <v>1443651.0494917894</v>
      </c>
      <c r="BO160" s="192">
        <f t="shared" si="89"/>
        <v>1483111.2262598374</v>
      </c>
      <c r="BP160" s="192">
        <f t="shared" si="89"/>
        <v>1523641.1530683723</v>
      </c>
      <c r="BQ160" s="192">
        <f t="shared" si="90"/>
        <v>0</v>
      </c>
      <c r="BR160" s="192">
        <f t="shared" si="90"/>
        <v>0</v>
      </c>
      <c r="BS160" s="192">
        <f t="shared" si="90"/>
        <v>0</v>
      </c>
      <c r="BT160" s="192">
        <f t="shared" si="90"/>
        <v>0</v>
      </c>
      <c r="BU160" s="192">
        <f t="shared" si="90"/>
        <v>0</v>
      </c>
      <c r="BV160" s="192">
        <f t="shared" si="90"/>
        <v>0</v>
      </c>
      <c r="BW160" s="192">
        <f t="shared" si="90"/>
        <v>0</v>
      </c>
      <c r="BX160" s="192">
        <f t="shared" si="90"/>
        <v>0</v>
      </c>
      <c r="BY160" s="192">
        <f t="shared" si="90"/>
        <v>0</v>
      </c>
      <c r="BZ160" s="192">
        <f t="shared" si="90"/>
        <v>0</v>
      </c>
      <c r="CA160" s="192">
        <f t="shared" si="90"/>
        <v>0</v>
      </c>
      <c r="CB160" s="192">
        <f t="shared" si="90"/>
        <v>0</v>
      </c>
    </row>
    <row r="161" spans="2:80">
      <c r="B161" s="1">
        <v>2023</v>
      </c>
      <c r="C161" s="12">
        <f t="shared" si="71"/>
        <v>2036</v>
      </c>
      <c r="E161" s="192">
        <f t="shared" ref="E161:R170" si="91">IF(E$150&gt;=$C161,E$130*HLOOKUP(E$150-$C161+1,$E$47:$CB$49,3)*E$106*$C$30,0)</f>
        <v>0</v>
      </c>
      <c r="F161" s="192">
        <f t="shared" si="91"/>
        <v>0</v>
      </c>
      <c r="G161" s="192">
        <f t="shared" si="91"/>
        <v>0</v>
      </c>
      <c r="H161" s="192">
        <f t="shared" si="91"/>
        <v>0</v>
      </c>
      <c r="I161" s="192">
        <f t="shared" si="91"/>
        <v>0</v>
      </c>
      <c r="J161" s="192">
        <f t="shared" si="91"/>
        <v>0</v>
      </c>
      <c r="K161" s="192">
        <f t="shared" si="91"/>
        <v>0</v>
      </c>
      <c r="L161" s="192">
        <f t="shared" si="91"/>
        <v>0</v>
      </c>
      <c r="M161" s="192">
        <f t="shared" si="91"/>
        <v>0</v>
      </c>
      <c r="N161" s="192">
        <f t="shared" si="91"/>
        <v>0</v>
      </c>
      <c r="O161" s="192">
        <f t="shared" si="91"/>
        <v>0</v>
      </c>
      <c r="P161" s="192">
        <f t="shared" si="91"/>
        <v>0</v>
      </c>
      <c r="Q161" s="192">
        <f t="shared" si="91"/>
        <v>0</v>
      </c>
      <c r="R161" s="192">
        <f t="shared" si="91"/>
        <v>0</v>
      </c>
      <c r="S161" s="192">
        <f t="shared" si="85"/>
        <v>0</v>
      </c>
      <c r="T161" s="192">
        <f t="shared" si="85"/>
        <v>0</v>
      </c>
      <c r="U161" s="192">
        <f t="shared" si="85"/>
        <v>0</v>
      </c>
      <c r="V161" s="192">
        <f t="shared" si="85"/>
        <v>0</v>
      </c>
      <c r="W161" s="192">
        <f t="shared" si="85"/>
        <v>0</v>
      </c>
      <c r="X161" s="192">
        <f t="shared" si="85"/>
        <v>0</v>
      </c>
      <c r="Y161" s="192">
        <f t="shared" si="85"/>
        <v>0</v>
      </c>
      <c r="Z161" s="192">
        <f t="shared" si="85"/>
        <v>0</v>
      </c>
      <c r="AA161" s="192">
        <f t="shared" si="85"/>
        <v>0</v>
      </c>
      <c r="AB161" s="192">
        <f t="shared" si="85"/>
        <v>0</v>
      </c>
      <c r="AC161" s="192">
        <f t="shared" si="86"/>
        <v>266479.7059597795</v>
      </c>
      <c r="AD161" s="192">
        <f t="shared" si="86"/>
        <v>326037.25006224192</v>
      </c>
      <c r="AE161" s="192">
        <f t="shared" si="86"/>
        <v>378390.80862675043</v>
      </c>
      <c r="AF161" s="192">
        <f t="shared" si="86"/>
        <v>424835.02635998337</v>
      </c>
      <c r="AG161" s="192">
        <f t="shared" si="86"/>
        <v>466448.02000380325</v>
      </c>
      <c r="AH161" s="192">
        <f t="shared" si="86"/>
        <v>504128.00642714795</v>
      </c>
      <c r="AI161" s="192">
        <f t="shared" si="86"/>
        <v>538623.74608721887</v>
      </c>
      <c r="AJ161" s="192">
        <f t="shared" si="86"/>
        <v>570559.84644219966</v>
      </c>
      <c r="AK161" s="192">
        <f t="shared" si="86"/>
        <v>600457.7934766137</v>
      </c>
      <c r="AL161" s="192">
        <f t="shared" si="86"/>
        <v>628753.43287558143</v>
      </c>
      <c r="AM161" s="192">
        <f t="shared" si="87"/>
        <v>655811.50052328117</v>
      </c>
      <c r="AN161" s="192">
        <f t="shared" si="87"/>
        <v>681937.70072143036</v>
      </c>
      <c r="AO161" s="192">
        <f t="shared" si="87"/>
        <v>707388.74634950003</v>
      </c>
      <c r="AP161" s="192">
        <f t="shared" si="87"/>
        <v>732380.70523072069</v>
      </c>
      <c r="AQ161" s="192">
        <f t="shared" si="87"/>
        <v>757095.93882563338</v>
      </c>
      <c r="AR161" s="192">
        <f t="shared" si="87"/>
        <v>781688.87105250289</v>
      </c>
      <c r="AS161" s="192">
        <f t="shared" si="87"/>
        <v>806290.78487280419</v>
      </c>
      <c r="AT161" s="192">
        <f t="shared" si="87"/>
        <v>831013.8109018564</v>
      </c>
      <c r="AU161" s="192">
        <f t="shared" si="87"/>
        <v>855954.24456389423</v>
      </c>
      <c r="AV161" s="192">
        <f t="shared" si="87"/>
        <v>881195.30525535345</v>
      </c>
      <c r="AW161" s="192">
        <f t="shared" si="88"/>
        <v>906809.43181857339</v>
      </c>
      <c r="AX161" s="192">
        <f t="shared" si="88"/>
        <v>932860.19270284567</v>
      </c>
      <c r="AY161" s="192">
        <f t="shared" si="88"/>
        <v>959403.87595417514</v>
      </c>
      <c r="AZ161" s="192">
        <f t="shared" si="88"/>
        <v>986490.81317498407</v>
      </c>
      <c r="BA161" s="192">
        <f t="shared" si="88"/>
        <v>1014166.4824527594</v>
      </c>
      <c r="BB161" s="192">
        <f t="shared" si="88"/>
        <v>1042472.4276584995</v>
      </c>
      <c r="BC161" s="192">
        <f t="shared" si="88"/>
        <v>1071447.0252010182</v>
      </c>
      <c r="BD161" s="192">
        <f t="shared" si="88"/>
        <v>1101126.1240749189</v>
      </c>
      <c r="BE161" s="192">
        <f t="shared" si="88"/>
        <v>1131543.5806782641</v>
      </c>
      <c r="BF161" s="192">
        <f t="shared" si="88"/>
        <v>1162731.7062509032</v>
      </c>
      <c r="BG161" s="192">
        <f t="shared" si="89"/>
        <v>1194721.6417716658</v>
      </c>
      <c r="BH161" s="192">
        <f t="shared" si="89"/>
        <v>1227543.6726487544</v>
      </c>
      <c r="BI161" s="192">
        <f t="shared" si="89"/>
        <v>1261227.4934567539</v>
      </c>
      <c r="BJ161" s="192">
        <f t="shared" si="89"/>
        <v>1295802.431244263</v>
      </c>
      <c r="BK161" s="192">
        <f t="shared" si="89"/>
        <v>1331297.6344988961</v>
      </c>
      <c r="BL161" s="192">
        <f t="shared" si="89"/>
        <v>1367742.233661948</v>
      </c>
      <c r="BM161" s="192">
        <f t="shared" si="89"/>
        <v>1405165.4780923629</v>
      </c>
      <c r="BN161" s="192">
        <f t="shared" si="89"/>
        <v>1443596.8535547226</v>
      </c>
      <c r="BO161" s="192">
        <f t="shared" si="89"/>
        <v>1483066.1836204233</v>
      </c>
      <c r="BP161" s="192">
        <f t="shared" si="89"/>
        <v>1523603.7178015385</v>
      </c>
      <c r="BQ161" s="192">
        <f t="shared" si="90"/>
        <v>1565240.2087634709</v>
      </c>
      <c r="BR161" s="192">
        <f t="shared" si="90"/>
        <v>0</v>
      </c>
      <c r="BS161" s="192">
        <f t="shared" si="90"/>
        <v>0</v>
      </c>
      <c r="BT161" s="192">
        <f t="shared" si="90"/>
        <v>0</v>
      </c>
      <c r="BU161" s="192">
        <f t="shared" si="90"/>
        <v>0</v>
      </c>
      <c r="BV161" s="192">
        <f t="shared" si="90"/>
        <v>0</v>
      </c>
      <c r="BW161" s="192">
        <f t="shared" si="90"/>
        <v>0</v>
      </c>
      <c r="BX161" s="192">
        <f t="shared" si="90"/>
        <v>0</v>
      </c>
      <c r="BY161" s="192">
        <f t="shared" si="90"/>
        <v>0</v>
      </c>
      <c r="BZ161" s="192">
        <f t="shared" si="90"/>
        <v>0</v>
      </c>
      <c r="CA161" s="192">
        <f t="shared" si="90"/>
        <v>0</v>
      </c>
      <c r="CB161" s="192">
        <f t="shared" si="90"/>
        <v>0</v>
      </c>
    </row>
    <row r="162" spans="2:80">
      <c r="B162" s="1">
        <v>2024</v>
      </c>
      <c r="C162" s="12">
        <f t="shared" si="71"/>
        <v>2037</v>
      </c>
      <c r="E162" s="192">
        <f t="shared" si="91"/>
        <v>0</v>
      </c>
      <c r="F162" s="192">
        <f t="shared" si="91"/>
        <v>0</v>
      </c>
      <c r="G162" s="192">
        <f t="shared" si="91"/>
        <v>0</v>
      </c>
      <c r="H162" s="192">
        <f t="shared" si="91"/>
        <v>0</v>
      </c>
      <c r="I162" s="192">
        <f t="shared" si="91"/>
        <v>0</v>
      </c>
      <c r="J162" s="192">
        <f t="shared" si="91"/>
        <v>0</v>
      </c>
      <c r="K162" s="192">
        <f t="shared" si="91"/>
        <v>0</v>
      </c>
      <c r="L162" s="192">
        <f t="shared" si="91"/>
        <v>0</v>
      </c>
      <c r="M162" s="192">
        <f t="shared" si="91"/>
        <v>0</v>
      </c>
      <c r="N162" s="192">
        <f t="shared" si="91"/>
        <v>0</v>
      </c>
      <c r="O162" s="192">
        <f t="shared" si="91"/>
        <v>0</v>
      </c>
      <c r="P162" s="192">
        <f t="shared" si="91"/>
        <v>0</v>
      </c>
      <c r="Q162" s="192">
        <f t="shared" si="91"/>
        <v>0</v>
      </c>
      <c r="R162" s="192">
        <f t="shared" si="91"/>
        <v>0</v>
      </c>
      <c r="S162" s="192">
        <f t="shared" si="85"/>
        <v>0</v>
      </c>
      <c r="T162" s="192">
        <f t="shared" si="85"/>
        <v>0</v>
      </c>
      <c r="U162" s="192">
        <f t="shared" si="85"/>
        <v>0</v>
      </c>
      <c r="V162" s="192">
        <f t="shared" si="85"/>
        <v>0</v>
      </c>
      <c r="W162" s="192">
        <f t="shared" si="85"/>
        <v>0</v>
      </c>
      <c r="X162" s="192">
        <f t="shared" si="85"/>
        <v>0</v>
      </c>
      <c r="Y162" s="192">
        <f t="shared" si="85"/>
        <v>0</v>
      </c>
      <c r="Z162" s="192">
        <f t="shared" si="85"/>
        <v>0</v>
      </c>
      <c r="AA162" s="192">
        <f t="shared" si="85"/>
        <v>0</v>
      </c>
      <c r="AB162" s="192">
        <f t="shared" si="85"/>
        <v>0</v>
      </c>
      <c r="AC162" s="192">
        <f t="shared" si="86"/>
        <v>0</v>
      </c>
      <c r="AD162" s="192">
        <f t="shared" si="86"/>
        <v>273755.24069281702</v>
      </c>
      <c r="AE162" s="192">
        <f t="shared" si="86"/>
        <v>334938.84851060528</v>
      </c>
      <c r="AF162" s="192">
        <f t="shared" si="86"/>
        <v>388721.78471707081</v>
      </c>
      <c r="AG162" s="192">
        <f t="shared" si="86"/>
        <v>436434.0409226889</v>
      </c>
      <c r="AH162" s="192">
        <f t="shared" si="86"/>
        <v>479183.16904065519</v>
      </c>
      <c r="AI162" s="192">
        <f t="shared" si="86"/>
        <v>517891.90941348375</v>
      </c>
      <c r="AJ162" s="192">
        <f t="shared" si="86"/>
        <v>553329.46545366035</v>
      </c>
      <c r="AK162" s="192">
        <f t="shared" si="86"/>
        <v>586137.49790018098</v>
      </c>
      <c r="AL162" s="192">
        <f t="shared" si="86"/>
        <v>616851.73055496509</v>
      </c>
      <c r="AM162" s="192">
        <f t="shared" si="87"/>
        <v>645919.90873507271</v>
      </c>
      <c r="AN162" s="192">
        <f t="shared" si="87"/>
        <v>673716.72648860398</v>
      </c>
      <c r="AO162" s="192">
        <f t="shared" si="87"/>
        <v>700556.23457749584</v>
      </c>
      <c r="AP162" s="192">
        <f t="shared" si="87"/>
        <v>726702.15475817828</v>
      </c>
      <c r="AQ162" s="192">
        <f t="shared" si="87"/>
        <v>752376.45402337692</v>
      </c>
      <c r="AR162" s="192">
        <f t="shared" si="87"/>
        <v>777766.47273863212</v>
      </c>
      <c r="AS162" s="192">
        <f t="shared" si="87"/>
        <v>803030.85096533643</v>
      </c>
      <c r="AT162" s="192">
        <f t="shared" si="87"/>
        <v>828304.45600450225</v>
      </c>
      <c r="AU162" s="192">
        <f t="shared" si="87"/>
        <v>853702.47990602779</v>
      </c>
      <c r="AV162" s="192">
        <f t="shared" si="87"/>
        <v>879323.8471900525</v>
      </c>
      <c r="AW162" s="192">
        <f t="shared" si="88"/>
        <v>905254.04934201436</v>
      </c>
      <c r="AX162" s="192">
        <f t="shared" si="88"/>
        <v>931567.50295828667</v>
      </c>
      <c r="AY162" s="192">
        <f t="shared" si="88"/>
        <v>958329.51205920242</v>
      </c>
      <c r="AZ162" s="192">
        <f t="shared" si="88"/>
        <v>985597.90148934675</v>
      </c>
      <c r="BA162" s="192">
        <f t="shared" si="88"/>
        <v>1013424.3770245343</v>
      </c>
      <c r="BB162" s="192">
        <f t="shared" si="88"/>
        <v>1041855.6584130528</v>
      </c>
      <c r="BC162" s="192">
        <f t="shared" si="88"/>
        <v>1070934.4237731611</v>
      </c>
      <c r="BD162" s="192">
        <f t="shared" si="88"/>
        <v>1100700.0972816232</v>
      </c>
      <c r="BE162" s="192">
        <f t="shared" si="88"/>
        <v>1131189.5066965257</v>
      </c>
      <c r="BF162" s="192">
        <f t="shared" si="88"/>
        <v>1162437.4327767538</v>
      </c>
      <c r="BG162" s="192">
        <f t="shared" si="89"/>
        <v>1194477.0689364551</v>
      </c>
      <c r="BH162" s="192">
        <f t="shared" si="89"/>
        <v>1227340.406377828</v>
      </c>
      <c r="BI162" s="192">
        <f t="shared" si="89"/>
        <v>1261058.5573733137</v>
      </c>
      <c r="BJ162" s="192">
        <f t="shared" si="89"/>
        <v>1295662.0272305619</v>
      </c>
      <c r="BK162" s="192">
        <f t="shared" si="89"/>
        <v>1331180.9436968965</v>
      </c>
      <c r="BL162" s="192">
        <f t="shared" si="89"/>
        <v>1367645.2510835128</v>
      </c>
      <c r="BM162" s="192">
        <f t="shared" si="89"/>
        <v>1405084.8751625801</v>
      </c>
      <c r="BN162" s="192">
        <f t="shared" si="89"/>
        <v>1443529.8638706529</v>
      </c>
      <c r="BO162" s="192">
        <f t="shared" si="89"/>
        <v>1483010.5080043653</v>
      </c>
      <c r="BP162" s="192">
        <f t="shared" si="89"/>
        <v>1523557.4453900999</v>
      </c>
      <c r="BQ162" s="192">
        <f t="shared" si="90"/>
        <v>1565201.7514241189</v>
      </c>
      <c r="BR162" s="192">
        <f t="shared" si="90"/>
        <v>1607975.0183933061</v>
      </c>
      <c r="BS162" s="192">
        <f t="shared" si="90"/>
        <v>0</v>
      </c>
      <c r="BT162" s="192">
        <f t="shared" si="90"/>
        <v>0</v>
      </c>
      <c r="BU162" s="192">
        <f t="shared" si="90"/>
        <v>0</v>
      </c>
      <c r="BV162" s="192">
        <f t="shared" si="90"/>
        <v>0</v>
      </c>
      <c r="BW162" s="192">
        <f t="shared" si="90"/>
        <v>0</v>
      </c>
      <c r="BX162" s="192">
        <f t="shared" si="90"/>
        <v>0</v>
      </c>
      <c r="BY162" s="192">
        <f t="shared" si="90"/>
        <v>0</v>
      </c>
      <c r="BZ162" s="192">
        <f t="shared" si="90"/>
        <v>0</v>
      </c>
      <c r="CA162" s="192">
        <f t="shared" si="90"/>
        <v>0</v>
      </c>
      <c r="CB162" s="192">
        <f t="shared" si="90"/>
        <v>0</v>
      </c>
    </row>
    <row r="163" spans="2:80">
      <c r="B163" s="1">
        <v>2025</v>
      </c>
      <c r="C163" s="12">
        <f t="shared" si="71"/>
        <v>2038</v>
      </c>
      <c r="E163" s="192">
        <f t="shared" si="91"/>
        <v>0</v>
      </c>
      <c r="F163" s="192">
        <f t="shared" si="91"/>
        <v>0</v>
      </c>
      <c r="G163" s="192">
        <f t="shared" si="91"/>
        <v>0</v>
      </c>
      <c r="H163" s="192">
        <f t="shared" si="91"/>
        <v>0</v>
      </c>
      <c r="I163" s="192">
        <f t="shared" si="91"/>
        <v>0</v>
      </c>
      <c r="J163" s="192">
        <f t="shared" si="91"/>
        <v>0</v>
      </c>
      <c r="K163" s="192">
        <f t="shared" si="91"/>
        <v>0</v>
      </c>
      <c r="L163" s="192">
        <f t="shared" si="91"/>
        <v>0</v>
      </c>
      <c r="M163" s="192">
        <f t="shared" si="91"/>
        <v>0</v>
      </c>
      <c r="N163" s="192">
        <f t="shared" si="91"/>
        <v>0</v>
      </c>
      <c r="O163" s="192">
        <f t="shared" si="91"/>
        <v>0</v>
      </c>
      <c r="P163" s="192">
        <f t="shared" si="91"/>
        <v>0</v>
      </c>
      <c r="Q163" s="192">
        <f t="shared" si="91"/>
        <v>0</v>
      </c>
      <c r="R163" s="192">
        <f t="shared" si="91"/>
        <v>0</v>
      </c>
      <c r="S163" s="192">
        <f t="shared" si="85"/>
        <v>0</v>
      </c>
      <c r="T163" s="192">
        <f t="shared" si="85"/>
        <v>0</v>
      </c>
      <c r="U163" s="192">
        <f t="shared" si="85"/>
        <v>0</v>
      </c>
      <c r="V163" s="192">
        <f t="shared" si="85"/>
        <v>0</v>
      </c>
      <c r="W163" s="192">
        <f t="shared" si="85"/>
        <v>0</v>
      </c>
      <c r="X163" s="192">
        <f t="shared" si="85"/>
        <v>0</v>
      </c>
      <c r="Y163" s="192">
        <f t="shared" si="85"/>
        <v>0</v>
      </c>
      <c r="Z163" s="192">
        <f t="shared" si="85"/>
        <v>0</v>
      </c>
      <c r="AA163" s="192">
        <f t="shared" si="85"/>
        <v>0</v>
      </c>
      <c r="AB163" s="192">
        <f t="shared" si="85"/>
        <v>0</v>
      </c>
      <c r="AC163" s="192">
        <f t="shared" si="86"/>
        <v>0</v>
      </c>
      <c r="AD163" s="192">
        <f t="shared" si="86"/>
        <v>0</v>
      </c>
      <c r="AE163" s="192">
        <f t="shared" si="86"/>
        <v>281229.41496375488</v>
      </c>
      <c r="AF163" s="192">
        <f t="shared" si="86"/>
        <v>344083.48193402373</v>
      </c>
      <c r="AG163" s="192">
        <f t="shared" si="86"/>
        <v>399334.82121833542</v>
      </c>
      <c r="AH163" s="192">
        <f t="shared" si="86"/>
        <v>448349.73638616333</v>
      </c>
      <c r="AI163" s="192">
        <f t="shared" si="86"/>
        <v>492266.01817277074</v>
      </c>
      <c r="AJ163" s="192">
        <f t="shared" si="86"/>
        <v>532031.59994385997</v>
      </c>
      <c r="AK163" s="192">
        <f t="shared" si="86"/>
        <v>568436.68620888295</v>
      </c>
      <c r="AL163" s="192">
        <f t="shared" si="86"/>
        <v>602140.45658309152</v>
      </c>
      <c r="AM163" s="192">
        <f t="shared" si="87"/>
        <v>633693.26141234429</v>
      </c>
      <c r="AN163" s="192">
        <f t="shared" si="87"/>
        <v>663555.07053411705</v>
      </c>
      <c r="AO163" s="192">
        <f t="shared" si="87"/>
        <v>692110.80804217653</v>
      </c>
      <c r="AP163" s="192">
        <f t="shared" si="87"/>
        <v>719683.09903705015</v>
      </c>
      <c r="AQ163" s="192">
        <f t="shared" si="87"/>
        <v>746542.8655112678</v>
      </c>
      <c r="AR163" s="192">
        <f t="shared" si="87"/>
        <v>772918.13468851894</v>
      </c>
      <c r="AS163" s="192">
        <f t="shared" si="87"/>
        <v>799001.36177538347</v>
      </c>
      <c r="AT163" s="192">
        <f t="shared" si="87"/>
        <v>824955.51808719547</v>
      </c>
      <c r="AU163" s="192">
        <f t="shared" si="87"/>
        <v>850919.15312556608</v>
      </c>
      <c r="AV163" s="192">
        <f t="shared" si="87"/>
        <v>877010.60395947471</v>
      </c>
      <c r="AW163" s="192">
        <f t="shared" si="88"/>
        <v>903331.49598558608</v>
      </c>
      <c r="AX163" s="192">
        <f t="shared" si="88"/>
        <v>929969.65481181629</v>
      </c>
      <c r="AY163" s="192">
        <f t="shared" si="88"/>
        <v>957001.52878599858</v>
      </c>
      <c r="AZ163" s="192">
        <f t="shared" si="88"/>
        <v>984494.20488475671</v>
      </c>
      <c r="BA163" s="192">
        <f t="shared" si="88"/>
        <v>1012507.0867095413</v>
      </c>
      <c r="BB163" s="192">
        <f t="shared" si="88"/>
        <v>1041093.2917277868</v>
      </c>
      <c r="BC163" s="192">
        <f t="shared" si="88"/>
        <v>1070300.8152488982</v>
      </c>
      <c r="BD163" s="192">
        <f t="shared" si="88"/>
        <v>1100173.5006060635</v>
      </c>
      <c r="BE163" s="192">
        <f t="shared" si="88"/>
        <v>1130751.8483505731</v>
      </c>
      <c r="BF163" s="192">
        <f t="shared" si="88"/>
        <v>1162073.6917265872</v>
      </c>
      <c r="BG163" s="192">
        <f t="shared" si="89"/>
        <v>1194174.7610910786</v>
      </c>
      <c r="BH163" s="192">
        <f t="shared" si="89"/>
        <v>1227089.1561179673</v>
      </c>
      <c r="BI163" s="192">
        <f t="shared" si="89"/>
        <v>1260849.7414459554</v>
      </c>
      <c r="BJ163" s="192">
        <f t="shared" si="89"/>
        <v>1295488.478787099</v>
      </c>
      <c r="BK163" s="192">
        <f t="shared" si="89"/>
        <v>1331036.7063170685</v>
      </c>
      <c r="BL163" s="192">
        <f t="shared" si="89"/>
        <v>1367525.374342907</v>
      </c>
      <c r="BM163" s="192">
        <f t="shared" si="89"/>
        <v>1404985.244727283</v>
      </c>
      <c r="BN163" s="192">
        <f t="shared" si="89"/>
        <v>1443447.0602876793</v>
      </c>
      <c r="BO163" s="192">
        <f t="shared" si="89"/>
        <v>1482941.6893413439</v>
      </c>
      <c r="BP163" s="192">
        <f t="shared" si="89"/>
        <v>1523500.2496962671</v>
      </c>
      <c r="BQ163" s="192">
        <f t="shared" si="90"/>
        <v>1565154.2156649313</v>
      </c>
      <c r="BR163" s="192">
        <f t="shared" si="90"/>
        <v>1607935.5110764063</v>
      </c>
      <c r="BS163" s="192">
        <f t="shared" si="90"/>
        <v>1651876.5907627339</v>
      </c>
      <c r="BT163" s="192">
        <f t="shared" si="90"/>
        <v>0</v>
      </c>
      <c r="BU163" s="192">
        <f t="shared" si="90"/>
        <v>0</v>
      </c>
      <c r="BV163" s="192">
        <f t="shared" si="90"/>
        <v>0</v>
      </c>
      <c r="BW163" s="192">
        <f t="shared" si="90"/>
        <v>0</v>
      </c>
      <c r="BX163" s="192">
        <f t="shared" si="90"/>
        <v>0</v>
      </c>
      <c r="BY163" s="192">
        <f t="shared" si="90"/>
        <v>0</v>
      </c>
      <c r="BZ163" s="192">
        <f t="shared" si="90"/>
        <v>0</v>
      </c>
      <c r="CA163" s="192">
        <f t="shared" si="90"/>
        <v>0</v>
      </c>
      <c r="CB163" s="192">
        <f t="shared" si="90"/>
        <v>0</v>
      </c>
    </row>
    <row r="164" spans="2:80">
      <c r="B164" s="1">
        <v>2026</v>
      </c>
      <c r="C164" s="12">
        <f t="shared" si="71"/>
        <v>2039</v>
      </c>
      <c r="E164" s="192">
        <f t="shared" si="91"/>
        <v>0</v>
      </c>
      <c r="F164" s="192">
        <f t="shared" si="91"/>
        <v>0</v>
      </c>
      <c r="G164" s="192">
        <f t="shared" si="91"/>
        <v>0</v>
      </c>
      <c r="H164" s="192">
        <f t="shared" si="91"/>
        <v>0</v>
      </c>
      <c r="I164" s="192">
        <f t="shared" si="91"/>
        <v>0</v>
      </c>
      <c r="J164" s="192">
        <f t="shared" si="91"/>
        <v>0</v>
      </c>
      <c r="K164" s="192">
        <f t="shared" si="91"/>
        <v>0</v>
      </c>
      <c r="L164" s="192">
        <f t="shared" si="91"/>
        <v>0</v>
      </c>
      <c r="M164" s="192">
        <f t="shared" si="91"/>
        <v>0</v>
      </c>
      <c r="N164" s="192">
        <f t="shared" si="91"/>
        <v>0</v>
      </c>
      <c r="O164" s="192">
        <f t="shared" si="91"/>
        <v>0</v>
      </c>
      <c r="P164" s="192">
        <f t="shared" si="91"/>
        <v>0</v>
      </c>
      <c r="Q164" s="192">
        <f t="shared" si="91"/>
        <v>0</v>
      </c>
      <c r="R164" s="192">
        <f t="shared" si="91"/>
        <v>0</v>
      </c>
      <c r="S164" s="192">
        <f t="shared" si="85"/>
        <v>0</v>
      </c>
      <c r="T164" s="192">
        <f t="shared" si="85"/>
        <v>0</v>
      </c>
      <c r="U164" s="192">
        <f t="shared" si="85"/>
        <v>0</v>
      </c>
      <c r="V164" s="192">
        <f t="shared" si="85"/>
        <v>0</v>
      </c>
      <c r="W164" s="192">
        <f t="shared" si="85"/>
        <v>0</v>
      </c>
      <c r="X164" s="192">
        <f t="shared" si="85"/>
        <v>0</v>
      </c>
      <c r="Y164" s="192">
        <f t="shared" si="85"/>
        <v>0</v>
      </c>
      <c r="Z164" s="192">
        <f t="shared" si="85"/>
        <v>0</v>
      </c>
      <c r="AA164" s="192">
        <f t="shared" si="85"/>
        <v>0</v>
      </c>
      <c r="AB164" s="192">
        <f t="shared" si="85"/>
        <v>0</v>
      </c>
      <c r="AC164" s="192">
        <f t="shared" si="86"/>
        <v>0</v>
      </c>
      <c r="AD164" s="192">
        <f t="shared" si="86"/>
        <v>0</v>
      </c>
      <c r="AE164" s="192">
        <f t="shared" si="86"/>
        <v>0</v>
      </c>
      <c r="AF164" s="192">
        <f t="shared" si="86"/>
        <v>288907.65210812277</v>
      </c>
      <c r="AG164" s="192">
        <f t="shared" si="86"/>
        <v>353477.78576987883</v>
      </c>
      <c r="AH164" s="192">
        <f t="shared" si="86"/>
        <v>410237.6190558708</v>
      </c>
      <c r="AI164" s="192">
        <f t="shared" si="86"/>
        <v>460590.75889809197</v>
      </c>
      <c r="AJ164" s="192">
        <f t="shared" si="86"/>
        <v>505706.06044619868</v>
      </c>
      <c r="AK164" s="192">
        <f t="shared" si="86"/>
        <v>546557.33791900368</v>
      </c>
      <c r="AL164" s="192">
        <f t="shared" si="86"/>
        <v>583956.3703032122</v>
      </c>
      <c r="AM164" s="192">
        <f t="shared" si="87"/>
        <v>618580.33439764671</v>
      </c>
      <c r="AN164" s="192">
        <f t="shared" si="87"/>
        <v>650994.60643181554</v>
      </c>
      <c r="AO164" s="192">
        <f t="shared" si="87"/>
        <v>681671.71452231938</v>
      </c>
      <c r="AP164" s="192">
        <f t="shared" si="87"/>
        <v>711007.09211336041</v>
      </c>
      <c r="AQ164" s="192">
        <f t="shared" si="87"/>
        <v>739332.17274405307</v>
      </c>
      <c r="AR164" s="192">
        <f t="shared" si="87"/>
        <v>766925.2752267319</v>
      </c>
      <c r="AS164" s="192">
        <f t="shared" si="87"/>
        <v>794020.6524748815</v>
      </c>
      <c r="AT164" s="192">
        <f t="shared" si="87"/>
        <v>820816.01418354281</v>
      </c>
      <c r="AU164" s="192">
        <f t="shared" si="87"/>
        <v>847478.78117560584</v>
      </c>
      <c r="AV164" s="192">
        <f t="shared" si="87"/>
        <v>874151.28568618349</v>
      </c>
      <c r="AW164" s="192">
        <f t="shared" si="88"/>
        <v>900955.09566989588</v>
      </c>
      <c r="AX164" s="192">
        <f t="shared" si="88"/>
        <v>927994.61114033591</v>
      </c>
      <c r="AY164" s="192">
        <f t="shared" si="88"/>
        <v>955360.05555503652</v>
      </c>
      <c r="AZ164" s="192">
        <f t="shared" si="88"/>
        <v>983129.96448497614</v>
      </c>
      <c r="BA164" s="192">
        <f t="shared" si="88"/>
        <v>1011373.2565420502</v>
      </c>
      <c r="BB164" s="192">
        <f t="shared" si="88"/>
        <v>1040150.9571884205</v>
      </c>
      <c r="BC164" s="192">
        <f t="shared" si="88"/>
        <v>1069517.6341257072</v>
      </c>
      <c r="BD164" s="192">
        <f t="shared" si="88"/>
        <v>1099522.5930503083</v>
      </c>
      <c r="BE164" s="192">
        <f t="shared" si="88"/>
        <v>1130210.8743235017</v>
      </c>
      <c r="BF164" s="192">
        <f t="shared" si="88"/>
        <v>1161624.0842587091</v>
      </c>
      <c r="BG164" s="192">
        <f t="shared" si="89"/>
        <v>1193801.0890383436</v>
      </c>
      <c r="BH164" s="192">
        <f t="shared" si="89"/>
        <v>1226778.5945437704</v>
      </c>
      <c r="BI164" s="192">
        <f t="shared" si="89"/>
        <v>1260591.6314517455</v>
      </c>
      <c r="BJ164" s="192">
        <f t="shared" si="89"/>
        <v>1295273.9616843853</v>
      </c>
      <c r="BK164" s="192">
        <f t="shared" si="89"/>
        <v>1330858.4195850978</v>
      </c>
      <c r="BL164" s="192">
        <f t="shared" si="89"/>
        <v>1367377.1989368682</v>
      </c>
      <c r="BM164" s="192">
        <f t="shared" si="89"/>
        <v>1404862.0950643104</v>
      </c>
      <c r="BN164" s="192">
        <f t="shared" si="89"/>
        <v>1443344.7097026813</v>
      </c>
      <c r="BO164" s="192">
        <f t="shared" si="89"/>
        <v>1482856.6250220723</v>
      </c>
      <c r="BP164" s="192">
        <f t="shared" si="89"/>
        <v>1523429.5521187852</v>
      </c>
      <c r="BQ164" s="192">
        <f t="shared" si="90"/>
        <v>1565095.4583915574</v>
      </c>
      <c r="BR164" s="192">
        <f t="shared" si="90"/>
        <v>1607886.6774770482</v>
      </c>
      <c r="BS164" s="192">
        <f t="shared" si="90"/>
        <v>1651836.004801383</v>
      </c>
      <c r="BT164" s="192">
        <f t="shared" si="90"/>
        <v>1696976.7812913139</v>
      </c>
      <c r="BU164" s="192">
        <f t="shared" si="90"/>
        <v>0</v>
      </c>
      <c r="BV164" s="192">
        <f t="shared" si="90"/>
        <v>0</v>
      </c>
      <c r="BW164" s="192">
        <f t="shared" si="90"/>
        <v>0</v>
      </c>
      <c r="BX164" s="192">
        <f t="shared" si="90"/>
        <v>0</v>
      </c>
      <c r="BY164" s="192">
        <f t="shared" si="90"/>
        <v>0</v>
      </c>
      <c r="BZ164" s="192">
        <f t="shared" si="90"/>
        <v>0</v>
      </c>
      <c r="CA164" s="192">
        <f t="shared" si="90"/>
        <v>0</v>
      </c>
      <c r="CB164" s="192">
        <f t="shared" si="90"/>
        <v>0</v>
      </c>
    </row>
    <row r="165" spans="2:80">
      <c r="B165" s="1">
        <v>2027</v>
      </c>
      <c r="C165" s="12">
        <f t="shared" si="71"/>
        <v>2040</v>
      </c>
      <c r="E165" s="192">
        <f t="shared" si="91"/>
        <v>0</v>
      </c>
      <c r="F165" s="192">
        <f t="shared" si="91"/>
        <v>0</v>
      </c>
      <c r="G165" s="192">
        <f t="shared" si="91"/>
        <v>0</v>
      </c>
      <c r="H165" s="192">
        <f t="shared" si="91"/>
        <v>0</v>
      </c>
      <c r="I165" s="192">
        <f t="shared" si="91"/>
        <v>0</v>
      </c>
      <c r="J165" s="192">
        <f t="shared" si="91"/>
        <v>0</v>
      </c>
      <c r="K165" s="192">
        <f t="shared" si="91"/>
        <v>0</v>
      </c>
      <c r="L165" s="192">
        <f t="shared" si="91"/>
        <v>0</v>
      </c>
      <c r="M165" s="192">
        <f t="shared" si="91"/>
        <v>0</v>
      </c>
      <c r="N165" s="192">
        <f t="shared" si="91"/>
        <v>0</v>
      </c>
      <c r="O165" s="192">
        <f t="shared" si="91"/>
        <v>0</v>
      </c>
      <c r="P165" s="192">
        <f t="shared" si="91"/>
        <v>0</v>
      </c>
      <c r="Q165" s="192">
        <f t="shared" si="91"/>
        <v>0</v>
      </c>
      <c r="R165" s="192">
        <f t="shared" si="91"/>
        <v>0</v>
      </c>
      <c r="S165" s="192">
        <f t="shared" si="85"/>
        <v>0</v>
      </c>
      <c r="T165" s="192">
        <f t="shared" si="85"/>
        <v>0</v>
      </c>
      <c r="U165" s="192">
        <f t="shared" si="85"/>
        <v>0</v>
      </c>
      <c r="V165" s="192">
        <f t="shared" si="85"/>
        <v>0</v>
      </c>
      <c r="W165" s="192">
        <f t="shared" si="85"/>
        <v>0</v>
      </c>
      <c r="X165" s="192">
        <f t="shared" si="85"/>
        <v>0</v>
      </c>
      <c r="Y165" s="192">
        <f t="shared" si="85"/>
        <v>0</v>
      </c>
      <c r="Z165" s="192">
        <f t="shared" si="85"/>
        <v>0</v>
      </c>
      <c r="AA165" s="192">
        <f t="shared" si="85"/>
        <v>0</v>
      </c>
      <c r="AB165" s="192">
        <f t="shared" si="85"/>
        <v>0</v>
      </c>
      <c r="AC165" s="192">
        <f t="shared" si="86"/>
        <v>0</v>
      </c>
      <c r="AD165" s="192">
        <f t="shared" si="86"/>
        <v>0</v>
      </c>
      <c r="AE165" s="192">
        <f t="shared" si="86"/>
        <v>0</v>
      </c>
      <c r="AF165" s="192">
        <f t="shared" si="86"/>
        <v>0</v>
      </c>
      <c r="AG165" s="192">
        <f t="shared" si="86"/>
        <v>296795.52353151079</v>
      </c>
      <c r="AH165" s="192">
        <f t="shared" si="86"/>
        <v>363128.57661889802</v>
      </c>
      <c r="AI165" s="192">
        <f t="shared" si="86"/>
        <v>421438.08940872428</v>
      </c>
      <c r="AJ165" s="192">
        <f t="shared" si="86"/>
        <v>473165.99066671671</v>
      </c>
      <c r="AK165" s="192">
        <f t="shared" si="86"/>
        <v>519513.04808990029</v>
      </c>
      <c r="AL165" s="192">
        <f t="shared" si="86"/>
        <v>561479.66335952503</v>
      </c>
      <c r="AM165" s="192">
        <f t="shared" si="87"/>
        <v>599899.77897449315</v>
      </c>
      <c r="AN165" s="192">
        <f t="shared" si="87"/>
        <v>635469.06028344971</v>
      </c>
      <c r="AO165" s="192">
        <f t="shared" si="87"/>
        <v>668768.31964219292</v>
      </c>
      <c r="AP165" s="192">
        <f t="shared" si="87"/>
        <v>700282.98631757183</v>
      </c>
      <c r="AQ165" s="192">
        <f t="shared" si="87"/>
        <v>730419.29003468191</v>
      </c>
      <c r="AR165" s="192">
        <f t="shared" si="87"/>
        <v>759517.71326271223</v>
      </c>
      <c r="AS165" s="192">
        <f t="shared" si="87"/>
        <v>787864.1735847129</v>
      </c>
      <c r="AT165" s="192">
        <f t="shared" si="87"/>
        <v>815699.31958021841</v>
      </c>
      <c r="AU165" s="192">
        <f t="shared" si="87"/>
        <v>843226.25889286108</v>
      </c>
      <c r="AV165" s="192">
        <f t="shared" si="87"/>
        <v>870616.98333530838</v>
      </c>
      <c r="AW165" s="192">
        <f t="shared" si="88"/>
        <v>898017.71115386684</v>
      </c>
      <c r="AX165" s="192">
        <f t="shared" si="88"/>
        <v>925553.3293997203</v>
      </c>
      <c r="AY165" s="192">
        <f t="shared" si="88"/>
        <v>953331.0884570824</v>
      </c>
      <c r="AZ165" s="192">
        <f t="shared" si="88"/>
        <v>981443.6751001454</v>
      </c>
      <c r="BA165" s="192">
        <f t="shared" si="88"/>
        <v>1009971.7691092278</v>
      </c>
      <c r="BB165" s="192">
        <f t="shared" si="88"/>
        <v>1038986.1707395298</v>
      </c>
      <c r="BC165" s="192">
        <f t="shared" si="88"/>
        <v>1068549.5715946103</v>
      </c>
      <c r="BD165" s="192">
        <f t="shared" si="88"/>
        <v>1098718.0292051442</v>
      </c>
      <c r="BE165" s="192">
        <f t="shared" si="88"/>
        <v>1129542.1954312285</v>
      </c>
      <c r="BF165" s="192">
        <f t="shared" si="88"/>
        <v>1161068.3403439666</v>
      </c>
      <c r="BG165" s="192">
        <f t="shared" si="89"/>
        <v>1193339.2062088689</v>
      </c>
      <c r="BH165" s="192">
        <f t="shared" si="89"/>
        <v>1226394.720348292</v>
      </c>
      <c r="BI165" s="192">
        <f t="shared" si="89"/>
        <v>1260272.5908021473</v>
      </c>
      <c r="BJ165" s="192">
        <f t="shared" si="89"/>
        <v>1295008.8046686356</v>
      </c>
      <c r="BK165" s="192">
        <f t="shared" si="89"/>
        <v>1330638.0456512757</v>
      </c>
      <c r="BL165" s="192">
        <f t="shared" si="89"/>
        <v>1367194.0445497555</v>
      </c>
      <c r="BM165" s="192">
        <f t="shared" si="89"/>
        <v>1404709.8741145057</v>
      </c>
      <c r="BN165" s="192">
        <f t="shared" si="89"/>
        <v>1443218.1977587161</v>
      </c>
      <c r="BO165" s="192">
        <f t="shared" si="89"/>
        <v>1482751.4800207664</v>
      </c>
      <c r="BP165" s="192">
        <f t="shared" si="89"/>
        <v>1523342.1653396955</v>
      </c>
      <c r="BQ165" s="192">
        <f t="shared" si="90"/>
        <v>1565022.8306007455</v>
      </c>
      <c r="BR165" s="192">
        <f t="shared" si="90"/>
        <v>1607826.315989268</v>
      </c>
      <c r="BS165" s="192">
        <f t="shared" si="90"/>
        <v>1651785.8379277068</v>
      </c>
      <c r="BT165" s="192">
        <f t="shared" si="90"/>
        <v>1696935.0872359318</v>
      </c>
      <c r="BU165" s="192">
        <f t="shared" si="90"/>
        <v>1743308.3151279157</v>
      </c>
      <c r="BV165" s="192">
        <f t="shared" si="90"/>
        <v>0</v>
      </c>
      <c r="BW165" s="192">
        <f t="shared" si="90"/>
        <v>0</v>
      </c>
      <c r="BX165" s="192">
        <f t="shared" si="90"/>
        <v>0</v>
      </c>
      <c r="BY165" s="192">
        <f t="shared" si="90"/>
        <v>0</v>
      </c>
      <c r="BZ165" s="192">
        <f t="shared" si="90"/>
        <v>0</v>
      </c>
      <c r="CA165" s="192">
        <f t="shared" si="90"/>
        <v>0</v>
      </c>
      <c r="CB165" s="192">
        <f t="shared" si="90"/>
        <v>0</v>
      </c>
    </row>
    <row r="166" spans="2:80">
      <c r="B166" s="1">
        <v>2028</v>
      </c>
      <c r="C166" s="12">
        <f t="shared" si="71"/>
        <v>2041</v>
      </c>
      <c r="E166" s="192">
        <f t="shared" si="91"/>
        <v>0</v>
      </c>
      <c r="F166" s="192">
        <f t="shared" si="91"/>
        <v>0</v>
      </c>
      <c r="G166" s="192">
        <f t="shared" si="91"/>
        <v>0</v>
      </c>
      <c r="H166" s="192">
        <f t="shared" si="91"/>
        <v>0</v>
      </c>
      <c r="I166" s="192">
        <f t="shared" si="91"/>
        <v>0</v>
      </c>
      <c r="J166" s="192">
        <f t="shared" si="91"/>
        <v>0</v>
      </c>
      <c r="K166" s="192">
        <f t="shared" si="91"/>
        <v>0</v>
      </c>
      <c r="L166" s="192">
        <f t="shared" si="91"/>
        <v>0</v>
      </c>
      <c r="M166" s="192">
        <f t="shared" si="91"/>
        <v>0</v>
      </c>
      <c r="N166" s="192">
        <f t="shared" si="91"/>
        <v>0</v>
      </c>
      <c r="O166" s="192">
        <f t="shared" si="91"/>
        <v>0</v>
      </c>
      <c r="P166" s="192">
        <f t="shared" si="91"/>
        <v>0</v>
      </c>
      <c r="Q166" s="192">
        <f t="shared" si="91"/>
        <v>0</v>
      </c>
      <c r="R166" s="192">
        <f t="shared" si="91"/>
        <v>0</v>
      </c>
      <c r="S166" s="192">
        <f t="shared" si="85"/>
        <v>0</v>
      </c>
      <c r="T166" s="192">
        <f t="shared" si="85"/>
        <v>0</v>
      </c>
      <c r="U166" s="192">
        <f t="shared" si="85"/>
        <v>0</v>
      </c>
      <c r="V166" s="192">
        <f t="shared" si="85"/>
        <v>0</v>
      </c>
      <c r="W166" s="192">
        <f t="shared" si="85"/>
        <v>0</v>
      </c>
      <c r="X166" s="192">
        <f t="shared" si="85"/>
        <v>0</v>
      </c>
      <c r="Y166" s="192">
        <f t="shared" si="85"/>
        <v>0</v>
      </c>
      <c r="Z166" s="192">
        <f t="shared" si="85"/>
        <v>0</v>
      </c>
      <c r="AA166" s="192">
        <f t="shared" si="85"/>
        <v>0</v>
      </c>
      <c r="AB166" s="192">
        <f t="shared" si="85"/>
        <v>0</v>
      </c>
      <c r="AC166" s="192">
        <f t="shared" si="86"/>
        <v>0</v>
      </c>
      <c r="AD166" s="192">
        <f t="shared" si="86"/>
        <v>0</v>
      </c>
      <c r="AE166" s="192">
        <f t="shared" si="86"/>
        <v>0</v>
      </c>
      <c r="AF166" s="192">
        <f t="shared" si="86"/>
        <v>0</v>
      </c>
      <c r="AG166" s="192">
        <f t="shared" si="86"/>
        <v>0</v>
      </c>
      <c r="AH166" s="192">
        <f t="shared" si="86"/>
        <v>304898.75275223615</v>
      </c>
      <c r="AI166" s="192">
        <f t="shared" si="86"/>
        <v>373042.85719134822</v>
      </c>
      <c r="AJ166" s="192">
        <f t="shared" si="86"/>
        <v>432944.35945009452</v>
      </c>
      <c r="AK166" s="192">
        <f t="shared" si="86"/>
        <v>486084.55640585563</v>
      </c>
      <c r="AL166" s="192">
        <f t="shared" si="86"/>
        <v>533696.99959206372</v>
      </c>
      <c r="AM166" s="192">
        <f t="shared" si="87"/>
        <v>576809.40405386151</v>
      </c>
      <c r="AN166" s="192">
        <f t="shared" si="87"/>
        <v>616278.4809193582</v>
      </c>
      <c r="AO166" s="192">
        <f t="shared" si="87"/>
        <v>652818.88886874833</v>
      </c>
      <c r="AP166" s="192">
        <f t="shared" si="87"/>
        <v>687027.29782736953</v>
      </c>
      <c r="AQ166" s="192">
        <f t="shared" si="87"/>
        <v>719402.39044464543</v>
      </c>
      <c r="AR166" s="192">
        <f t="shared" si="87"/>
        <v>750361.48749091174</v>
      </c>
      <c r="AS166" s="192">
        <f t="shared" si="87"/>
        <v>780254.36742291367</v>
      </c>
      <c r="AT166" s="192">
        <f t="shared" si="87"/>
        <v>809374.75405907247</v>
      </c>
      <c r="AU166" s="192">
        <f t="shared" si="87"/>
        <v>837969.86626198608</v>
      </c>
      <c r="AV166" s="192">
        <f t="shared" si="87"/>
        <v>866248.35700081335</v>
      </c>
      <c r="AW166" s="192">
        <f t="shared" si="88"/>
        <v>894386.91387697763</v>
      </c>
      <c r="AX166" s="192">
        <f t="shared" si="88"/>
        <v>922535.74724539951</v>
      </c>
      <c r="AY166" s="192">
        <f t="shared" si="88"/>
        <v>950823.15387311787</v>
      </c>
      <c r="AZ166" s="192">
        <f t="shared" si="88"/>
        <v>979359.31233691832</v>
      </c>
      <c r="BA166" s="192">
        <f t="shared" si="88"/>
        <v>1008239.4399821018</v>
      </c>
      <c r="BB166" s="192">
        <f t="shared" si="88"/>
        <v>1037546.4193403815</v>
      </c>
      <c r="BC166" s="192">
        <f t="shared" si="88"/>
        <v>1067352.9836836348</v>
      </c>
      <c r="BD166" s="192">
        <f t="shared" si="88"/>
        <v>1097723.5362464716</v>
      </c>
      <c r="BE166" s="192">
        <f t="shared" si="88"/>
        <v>1128715.6650645263</v>
      </c>
      <c r="BF166" s="192">
        <f t="shared" si="88"/>
        <v>1160381.4049150897</v>
      </c>
      <c r="BG166" s="192">
        <f t="shared" si="89"/>
        <v>1192768.2891531184</v>
      </c>
      <c r="BH166" s="192">
        <f t="shared" si="89"/>
        <v>1225920.2270104249</v>
      </c>
      <c r="BI166" s="192">
        <f t="shared" si="89"/>
        <v>1259878.2359209738</v>
      </c>
      <c r="BJ166" s="192">
        <f t="shared" si="89"/>
        <v>1294681.0534445527</v>
      </c>
      <c r="BK166" s="192">
        <f t="shared" si="89"/>
        <v>1330365.6492134065</v>
      </c>
      <c r="BL166" s="192">
        <f t="shared" si="89"/>
        <v>1366967.6538792965</v>
      </c>
      <c r="BM166" s="192">
        <f t="shared" si="89"/>
        <v>1404521.7191735979</v>
      </c>
      <c r="BN166" s="192">
        <f t="shared" si="89"/>
        <v>1443061.8208121031</v>
      </c>
      <c r="BO166" s="192">
        <f t="shared" si="89"/>
        <v>1482621.5139974775</v>
      </c>
      <c r="BP166" s="192">
        <f t="shared" si="89"/>
        <v>1523234.149627818</v>
      </c>
      <c r="BQ166" s="192">
        <f t="shared" si="90"/>
        <v>1564933.0579531179</v>
      </c>
      <c r="BR166" s="192">
        <f t="shared" si="90"/>
        <v>1607751.7052856761</v>
      </c>
      <c r="BS166" s="192">
        <f t="shared" si="90"/>
        <v>1651723.8284266216</v>
      </c>
      <c r="BT166" s="192">
        <f t="shared" si="90"/>
        <v>1696883.5506863527</v>
      </c>
      <c r="BU166" s="192">
        <f t="shared" si="90"/>
        <v>1743265.4827248799</v>
      </c>
      <c r="BV166" s="192">
        <f t="shared" si="90"/>
        <v>1790904.8108964178</v>
      </c>
      <c r="BW166" s="192">
        <f t="shared" si="90"/>
        <v>0</v>
      </c>
      <c r="BX166" s="192">
        <f t="shared" si="90"/>
        <v>0</v>
      </c>
      <c r="BY166" s="192">
        <f t="shared" si="90"/>
        <v>0</v>
      </c>
      <c r="BZ166" s="192">
        <f t="shared" si="90"/>
        <v>0</v>
      </c>
      <c r="CA166" s="192">
        <f t="shared" si="90"/>
        <v>0</v>
      </c>
      <c r="CB166" s="192">
        <f t="shared" si="90"/>
        <v>0</v>
      </c>
    </row>
    <row r="167" spans="2:80">
      <c r="B167" s="1">
        <v>2029</v>
      </c>
      <c r="C167" s="12">
        <f t="shared" si="71"/>
        <v>2042</v>
      </c>
      <c r="E167" s="192">
        <f t="shared" si="91"/>
        <v>0</v>
      </c>
      <c r="F167" s="192">
        <f t="shared" si="91"/>
        <v>0</v>
      </c>
      <c r="G167" s="192">
        <f t="shared" si="91"/>
        <v>0</v>
      </c>
      <c r="H167" s="192">
        <f t="shared" si="91"/>
        <v>0</v>
      </c>
      <c r="I167" s="192">
        <f t="shared" si="91"/>
        <v>0</v>
      </c>
      <c r="J167" s="192">
        <f t="shared" si="91"/>
        <v>0</v>
      </c>
      <c r="K167" s="192">
        <f t="shared" si="91"/>
        <v>0</v>
      </c>
      <c r="L167" s="192">
        <f t="shared" si="91"/>
        <v>0</v>
      </c>
      <c r="M167" s="192">
        <f t="shared" si="91"/>
        <v>0</v>
      </c>
      <c r="N167" s="192">
        <f t="shared" si="91"/>
        <v>0</v>
      </c>
      <c r="O167" s="192">
        <f t="shared" si="91"/>
        <v>0</v>
      </c>
      <c r="P167" s="192">
        <f t="shared" si="91"/>
        <v>0</v>
      </c>
      <c r="Q167" s="192">
        <f t="shared" si="91"/>
        <v>0</v>
      </c>
      <c r="R167" s="192">
        <f t="shared" si="91"/>
        <v>0</v>
      </c>
      <c r="S167" s="192">
        <f t="shared" si="85"/>
        <v>0</v>
      </c>
      <c r="T167" s="192">
        <f t="shared" si="85"/>
        <v>0</v>
      </c>
      <c r="U167" s="192">
        <f t="shared" si="85"/>
        <v>0</v>
      </c>
      <c r="V167" s="192">
        <f t="shared" si="85"/>
        <v>0</v>
      </c>
      <c r="W167" s="192">
        <f t="shared" si="85"/>
        <v>0</v>
      </c>
      <c r="X167" s="192">
        <f t="shared" si="85"/>
        <v>0</v>
      </c>
      <c r="Y167" s="192">
        <f t="shared" si="85"/>
        <v>0</v>
      </c>
      <c r="Z167" s="192">
        <f t="shared" si="85"/>
        <v>0</v>
      </c>
      <c r="AA167" s="192">
        <f t="shared" si="85"/>
        <v>0</v>
      </c>
      <c r="AB167" s="192">
        <f t="shared" si="85"/>
        <v>0</v>
      </c>
      <c r="AC167" s="192">
        <f t="shared" si="86"/>
        <v>0</v>
      </c>
      <c r="AD167" s="192">
        <f t="shared" si="86"/>
        <v>0</v>
      </c>
      <c r="AE167" s="192">
        <f t="shared" si="86"/>
        <v>0</v>
      </c>
      <c r="AF167" s="192">
        <f t="shared" si="86"/>
        <v>0</v>
      </c>
      <c r="AG167" s="192">
        <f t="shared" si="86"/>
        <v>0</v>
      </c>
      <c r="AH167" s="192">
        <f t="shared" si="86"/>
        <v>0</v>
      </c>
      <c r="AI167" s="192">
        <f t="shared" si="86"/>
        <v>313223.21955438552</v>
      </c>
      <c r="AJ167" s="192">
        <f t="shared" si="86"/>
        <v>383227.82138827234</v>
      </c>
      <c r="AK167" s="192">
        <f t="shared" si="86"/>
        <v>444764.77824448969</v>
      </c>
      <c r="AL167" s="192">
        <f t="shared" si="86"/>
        <v>499355.82995588623</v>
      </c>
      <c r="AM167" s="192">
        <f t="shared" si="87"/>
        <v>548268.20696961938</v>
      </c>
      <c r="AN167" s="192">
        <f t="shared" si="87"/>
        <v>592557.68341502978</v>
      </c>
      <c r="AO167" s="192">
        <f t="shared" si="87"/>
        <v>633104.36068758764</v>
      </c>
      <c r="AP167" s="192">
        <f t="shared" si="87"/>
        <v>670642.40936251695</v>
      </c>
      <c r="AQ167" s="192">
        <f t="shared" si="87"/>
        <v>705784.78988435352</v>
      </c>
      <c r="AR167" s="192">
        <f t="shared" si="87"/>
        <v>739043.80013420817</v>
      </c>
      <c r="AS167" s="192">
        <f t="shared" si="87"/>
        <v>770848.15473977837</v>
      </c>
      <c r="AT167" s="192">
        <f t="shared" si="87"/>
        <v>801557.1819481086</v>
      </c>
      <c r="AU167" s="192">
        <f t="shared" si="87"/>
        <v>831472.62494192808</v>
      </c>
      <c r="AV167" s="192">
        <f t="shared" si="87"/>
        <v>860848.45225137507</v>
      </c>
      <c r="AW167" s="192">
        <f t="shared" si="88"/>
        <v>889899.01357181463</v>
      </c>
      <c r="AX167" s="192">
        <f t="shared" si="88"/>
        <v>918805.82049971446</v>
      </c>
      <c r="AY167" s="192">
        <f t="shared" si="88"/>
        <v>947723.18449274369</v>
      </c>
      <c r="AZ167" s="192">
        <f t="shared" si="88"/>
        <v>976782.90512721252</v>
      </c>
      <c r="BA167" s="192">
        <f t="shared" si="88"/>
        <v>1006098.1691191548</v>
      </c>
      <c r="BB167" s="192">
        <f t="shared" si="88"/>
        <v>1035766.7934756369</v>
      </c>
      <c r="BC167" s="192">
        <f t="shared" si="88"/>
        <v>1065873.9236201597</v>
      </c>
      <c r="BD167" s="192">
        <f t="shared" si="88"/>
        <v>1096494.278617267</v>
      </c>
      <c r="BE167" s="192">
        <f t="shared" si="88"/>
        <v>1127694.0200642506</v>
      </c>
      <c r="BF167" s="192">
        <f t="shared" si="88"/>
        <v>1159532.308288157</v>
      </c>
      <c r="BG167" s="192">
        <f t="shared" si="89"/>
        <v>1192062.5987404271</v>
      </c>
      <c r="BH167" s="192">
        <f t="shared" si="89"/>
        <v>1225333.7225505458</v>
      </c>
      <c r="BI167" s="192">
        <f t="shared" si="89"/>
        <v>1259390.7877776071</v>
      </c>
      <c r="BJ167" s="192">
        <f t="shared" si="89"/>
        <v>1294275.9317298417</v>
      </c>
      <c r="BK167" s="192">
        <f t="shared" si="89"/>
        <v>1330028.9495952758</v>
      </c>
      <c r="BL167" s="192">
        <f t="shared" si="89"/>
        <v>1366687.8203657307</v>
      </c>
      <c r="BM167" s="192">
        <f t="shared" si="89"/>
        <v>1404289.1474951699</v>
      </c>
      <c r="BN167" s="192">
        <f t="shared" si="89"/>
        <v>1442868.5287902951</v>
      </c>
      <c r="BO167" s="192">
        <f t="shared" si="89"/>
        <v>1482460.8675853815</v>
      </c>
      <c r="BP167" s="192">
        <f t="shared" si="89"/>
        <v>1523100.6352205605</v>
      </c>
      <c r="BQ167" s="192">
        <f t="shared" si="90"/>
        <v>1564822.0931533889</v>
      </c>
      <c r="BR167" s="192">
        <f t="shared" si="90"/>
        <v>1607659.4816295803</v>
      </c>
      <c r="BS167" s="192">
        <f t="shared" si="90"/>
        <v>1651647.1806719773</v>
      </c>
      <c r="BT167" s="192">
        <f t="shared" si="90"/>
        <v>1696819.8481772493</v>
      </c>
      <c r="BU167" s="192">
        <f t="shared" si="90"/>
        <v>1743212.5391039622</v>
      </c>
      <c r="BV167" s="192">
        <f t="shared" si="90"/>
        <v>1790860.8090661084</v>
      </c>
      <c r="BW167" s="192">
        <f t="shared" si="90"/>
        <v>1839800.8050897152</v>
      </c>
      <c r="BX167" s="192">
        <f t="shared" si="90"/>
        <v>0</v>
      </c>
      <c r="BY167" s="192">
        <f t="shared" si="90"/>
        <v>0</v>
      </c>
      <c r="BZ167" s="192">
        <f t="shared" si="90"/>
        <v>0</v>
      </c>
      <c r="CA167" s="192">
        <f t="shared" si="90"/>
        <v>0</v>
      </c>
      <c r="CB167" s="192">
        <f t="shared" si="90"/>
        <v>0</v>
      </c>
    </row>
    <row r="168" spans="2:80">
      <c r="B168" s="1">
        <v>2030</v>
      </c>
      <c r="C168" s="12">
        <f t="shared" si="71"/>
        <v>2043</v>
      </c>
      <c r="E168" s="192">
        <f t="shared" si="91"/>
        <v>0</v>
      </c>
      <c r="F168" s="192">
        <f t="shared" si="91"/>
        <v>0</v>
      </c>
      <c r="G168" s="192">
        <f t="shared" si="91"/>
        <v>0</v>
      </c>
      <c r="H168" s="192">
        <f t="shared" si="91"/>
        <v>0</v>
      </c>
      <c r="I168" s="192">
        <f t="shared" si="91"/>
        <v>0</v>
      </c>
      <c r="J168" s="192">
        <f t="shared" si="91"/>
        <v>0</v>
      </c>
      <c r="K168" s="192">
        <f t="shared" si="91"/>
        <v>0</v>
      </c>
      <c r="L168" s="192">
        <f t="shared" si="91"/>
        <v>0</v>
      </c>
      <c r="M168" s="192">
        <f t="shared" si="91"/>
        <v>0</v>
      </c>
      <c r="N168" s="192">
        <f t="shared" si="91"/>
        <v>0</v>
      </c>
      <c r="O168" s="192">
        <f t="shared" si="91"/>
        <v>0</v>
      </c>
      <c r="P168" s="192">
        <f t="shared" si="91"/>
        <v>0</v>
      </c>
      <c r="Q168" s="192">
        <f t="shared" si="91"/>
        <v>0</v>
      </c>
      <c r="R168" s="192">
        <f t="shared" si="91"/>
        <v>0</v>
      </c>
      <c r="S168" s="192">
        <f t="shared" si="85"/>
        <v>0</v>
      </c>
      <c r="T168" s="192">
        <f t="shared" si="85"/>
        <v>0</v>
      </c>
      <c r="U168" s="192">
        <f t="shared" si="85"/>
        <v>0</v>
      </c>
      <c r="V168" s="192">
        <f t="shared" si="85"/>
        <v>0</v>
      </c>
      <c r="W168" s="192">
        <f t="shared" si="85"/>
        <v>0</v>
      </c>
      <c r="X168" s="192">
        <f t="shared" si="85"/>
        <v>0</v>
      </c>
      <c r="Y168" s="192">
        <f t="shared" si="85"/>
        <v>0</v>
      </c>
      <c r="Z168" s="192">
        <f t="shared" si="85"/>
        <v>0</v>
      </c>
      <c r="AA168" s="192">
        <f t="shared" si="85"/>
        <v>0</v>
      </c>
      <c r="AB168" s="192">
        <f t="shared" si="85"/>
        <v>0</v>
      </c>
      <c r="AC168" s="192">
        <f t="shared" si="86"/>
        <v>0</v>
      </c>
      <c r="AD168" s="192">
        <f t="shared" si="86"/>
        <v>0</v>
      </c>
      <c r="AE168" s="192">
        <f t="shared" si="86"/>
        <v>0</v>
      </c>
      <c r="AF168" s="192">
        <f t="shared" si="86"/>
        <v>0</v>
      </c>
      <c r="AG168" s="192">
        <f t="shared" si="86"/>
        <v>0</v>
      </c>
      <c r="AH168" s="192">
        <f t="shared" si="86"/>
        <v>0</v>
      </c>
      <c r="AI168" s="192">
        <f t="shared" si="86"/>
        <v>0</v>
      </c>
      <c r="AJ168" s="192">
        <f t="shared" si="86"/>
        <v>321774.96425424551</v>
      </c>
      <c r="AK168" s="192">
        <f t="shared" si="86"/>
        <v>393690.85952145583</v>
      </c>
      <c r="AL168" s="192">
        <f t="shared" si="86"/>
        <v>456907.92280589172</v>
      </c>
      <c r="AM168" s="192">
        <f t="shared" si="87"/>
        <v>512989.44108549773</v>
      </c>
      <c r="AN168" s="192">
        <f t="shared" si="87"/>
        <v>563237.2432362301</v>
      </c>
      <c r="AO168" s="192">
        <f t="shared" si="87"/>
        <v>608735.9285518846</v>
      </c>
      <c r="AP168" s="192">
        <f t="shared" si="87"/>
        <v>650389.62730565912</v>
      </c>
      <c r="AQ168" s="192">
        <f t="shared" si="87"/>
        <v>688952.55468931131</v>
      </c>
      <c r="AR168" s="192">
        <f t="shared" si="87"/>
        <v>725054.40643679863</v>
      </c>
      <c r="AS168" s="192">
        <f t="shared" si="87"/>
        <v>759221.46738938009</v>
      </c>
      <c r="AT168" s="192">
        <f t="shared" si="87"/>
        <v>791894.15711173264</v>
      </c>
      <c r="AU168" s="192">
        <f t="shared" si="87"/>
        <v>823441.61437336565</v>
      </c>
      <c r="AV168" s="192">
        <f t="shared" si="87"/>
        <v>854173.82066918525</v>
      </c>
      <c r="AW168" s="192">
        <f t="shared" si="88"/>
        <v>884351.67847897322</v>
      </c>
      <c r="AX168" s="192">
        <f t="shared" si="88"/>
        <v>914195.3897585806</v>
      </c>
      <c r="AY168" s="192">
        <f t="shared" si="88"/>
        <v>943891.42180614837</v>
      </c>
      <c r="AZ168" s="192">
        <f t="shared" si="88"/>
        <v>973598.29915202886</v>
      </c>
      <c r="BA168" s="192">
        <f t="shared" si="88"/>
        <v>1003451.4198168941</v>
      </c>
      <c r="BB168" s="192">
        <f t="shared" si="88"/>
        <v>1033567.0607854371</v>
      </c>
      <c r="BC168" s="192">
        <f t="shared" si="88"/>
        <v>1064045.7097034878</v>
      </c>
      <c r="BD168" s="192">
        <f t="shared" si="88"/>
        <v>1094974.8366687053</v>
      </c>
      <c r="BE168" s="192">
        <f t="shared" si="88"/>
        <v>1126431.2007551992</v>
      </c>
      <c r="BF168" s="192">
        <f t="shared" si="88"/>
        <v>1158482.7699304582</v>
      </c>
      <c r="BG168" s="192">
        <f t="shared" si="89"/>
        <v>1191190.3197402672</v>
      </c>
      <c r="BH168" s="192">
        <f t="shared" si="89"/>
        <v>1224608.7650980258</v>
      </c>
      <c r="BI168" s="192">
        <f t="shared" si="89"/>
        <v>1258788.2703401034</v>
      </c>
      <c r="BJ168" s="192">
        <f t="shared" si="89"/>
        <v>1293775.1750837327</v>
      </c>
      <c r="BK168" s="192">
        <f t="shared" si="89"/>
        <v>1329612.7670866635</v>
      </c>
      <c r="BL168" s="192">
        <f t="shared" si="89"/>
        <v>1366341.9280409454</v>
      </c>
      <c r="BM168" s="192">
        <f t="shared" si="89"/>
        <v>1404001.673855914</v>
      </c>
      <c r="BN168" s="192">
        <f t="shared" si="89"/>
        <v>1442629.6073475643</v>
      </c>
      <c r="BO168" s="192">
        <f t="shared" si="89"/>
        <v>1482262.298228051</v>
      </c>
      <c r="BP168" s="192">
        <f t="shared" si="89"/>
        <v>1522935.6027763397</v>
      </c>
      <c r="BQ168" s="192">
        <f t="shared" si="90"/>
        <v>1564684.933482775</v>
      </c>
      <c r="BR168" s="192">
        <f t="shared" si="90"/>
        <v>1607545.4872248324</v>
      </c>
      <c r="BS168" s="192">
        <f t="shared" si="90"/>
        <v>1651552.439089007</v>
      </c>
      <c r="BT168" s="192">
        <f t="shared" si="90"/>
        <v>1696741.1077551763</v>
      </c>
      <c r="BU168" s="192">
        <f t="shared" si="90"/>
        <v>1743147.0973636636</v>
      </c>
      <c r="BV168" s="192">
        <f t="shared" si="90"/>
        <v>1790806.4199574324</v>
      </c>
      <c r="BW168" s="192">
        <f t="shared" si="90"/>
        <v>1839755.6019039643</v>
      </c>
      <c r="BX168" s="192">
        <f t="shared" si="90"/>
        <v>1890031.7771297435</v>
      </c>
      <c r="BY168" s="192">
        <f t="shared" si="90"/>
        <v>0</v>
      </c>
      <c r="BZ168" s="192">
        <f t="shared" si="90"/>
        <v>0</v>
      </c>
      <c r="CA168" s="192">
        <f t="shared" si="90"/>
        <v>0</v>
      </c>
      <c r="CB168" s="192">
        <f t="shared" si="90"/>
        <v>0</v>
      </c>
    </row>
    <row r="169" spans="2:80">
      <c r="B169" s="1">
        <v>2031</v>
      </c>
      <c r="C169" s="12">
        <f t="shared" si="71"/>
        <v>2044</v>
      </c>
      <c r="E169" s="192">
        <f t="shared" si="91"/>
        <v>0</v>
      </c>
      <c r="F169" s="192">
        <f t="shared" si="91"/>
        <v>0</v>
      </c>
      <c r="G169" s="192">
        <f t="shared" si="91"/>
        <v>0</v>
      </c>
      <c r="H169" s="192">
        <f t="shared" si="91"/>
        <v>0</v>
      </c>
      <c r="I169" s="192">
        <f t="shared" si="91"/>
        <v>0</v>
      </c>
      <c r="J169" s="192">
        <f t="shared" si="91"/>
        <v>0</v>
      </c>
      <c r="K169" s="192">
        <f t="shared" si="91"/>
        <v>0</v>
      </c>
      <c r="L169" s="192">
        <f t="shared" si="91"/>
        <v>0</v>
      </c>
      <c r="M169" s="192">
        <f t="shared" si="91"/>
        <v>0</v>
      </c>
      <c r="N169" s="192">
        <f t="shared" si="91"/>
        <v>0</v>
      </c>
      <c r="O169" s="192">
        <f t="shared" si="91"/>
        <v>0</v>
      </c>
      <c r="P169" s="192">
        <f t="shared" si="91"/>
        <v>0</v>
      </c>
      <c r="Q169" s="192">
        <f t="shared" si="91"/>
        <v>0</v>
      </c>
      <c r="R169" s="192">
        <f t="shared" si="91"/>
        <v>0</v>
      </c>
      <c r="S169" s="192">
        <f t="shared" si="85"/>
        <v>0</v>
      </c>
      <c r="T169" s="192">
        <f t="shared" si="85"/>
        <v>0</v>
      </c>
      <c r="U169" s="192">
        <f t="shared" si="85"/>
        <v>0</v>
      </c>
      <c r="V169" s="192">
        <f t="shared" si="85"/>
        <v>0</v>
      </c>
      <c r="W169" s="192">
        <f t="shared" si="85"/>
        <v>0</v>
      </c>
      <c r="X169" s="192">
        <f t="shared" si="85"/>
        <v>0</v>
      </c>
      <c r="Y169" s="192">
        <f t="shared" si="85"/>
        <v>0</v>
      </c>
      <c r="Z169" s="192">
        <f t="shared" si="85"/>
        <v>0</v>
      </c>
      <c r="AA169" s="192">
        <f t="shared" si="85"/>
        <v>0</v>
      </c>
      <c r="AB169" s="192">
        <f t="shared" si="85"/>
        <v>0</v>
      </c>
      <c r="AC169" s="192">
        <f t="shared" si="86"/>
        <v>0</v>
      </c>
      <c r="AD169" s="192">
        <f t="shared" si="86"/>
        <v>0</v>
      </c>
      <c r="AE169" s="192">
        <f t="shared" si="86"/>
        <v>0</v>
      </c>
      <c r="AF169" s="192">
        <f t="shared" si="86"/>
        <v>0</v>
      </c>
      <c r="AG169" s="192">
        <f t="shared" si="86"/>
        <v>0</v>
      </c>
      <c r="AH169" s="192">
        <f t="shared" si="86"/>
        <v>0</v>
      </c>
      <c r="AI169" s="192">
        <f t="shared" si="86"/>
        <v>0</v>
      </c>
      <c r="AJ169" s="192">
        <f t="shared" si="86"/>
        <v>0</v>
      </c>
      <c r="AK169" s="192">
        <f t="shared" si="86"/>
        <v>330560.19208321581</v>
      </c>
      <c r="AL169" s="192">
        <f t="shared" si="86"/>
        <v>404439.56367591058</v>
      </c>
      <c r="AM169" s="192">
        <f t="shared" si="87"/>
        <v>469382.60432132409</v>
      </c>
      <c r="AN169" s="192">
        <f t="shared" si="87"/>
        <v>526995.28247914743</v>
      </c>
      <c r="AO169" s="192">
        <f t="shared" si="87"/>
        <v>578614.97007417562</v>
      </c>
      <c r="AP169" s="192">
        <f t="shared" si="87"/>
        <v>625355.87856074411</v>
      </c>
      <c r="AQ169" s="192">
        <f t="shared" si="87"/>
        <v>668146.82313573826</v>
      </c>
      <c r="AR169" s="192">
        <f t="shared" si="87"/>
        <v>707762.61087352817</v>
      </c>
      <c r="AS169" s="192">
        <f t="shared" si="87"/>
        <v>744850.12971100933</v>
      </c>
      <c r="AT169" s="192">
        <f t="shared" si="87"/>
        <v>779950.03332712885</v>
      </c>
      <c r="AU169" s="192">
        <f t="shared" si="87"/>
        <v>813514.7657963786</v>
      </c>
      <c r="AV169" s="192">
        <f t="shared" si="87"/>
        <v>845923.54426151316</v>
      </c>
      <c r="AW169" s="192">
        <f t="shared" si="88"/>
        <v>877494.81345528527</v>
      </c>
      <c r="AX169" s="192">
        <f t="shared" si="88"/>
        <v>908496.59912056604</v>
      </c>
      <c r="AY169" s="192">
        <f t="shared" si="88"/>
        <v>939155.11525443243</v>
      </c>
      <c r="AZ169" s="192">
        <f t="shared" si="88"/>
        <v>969661.92015923257</v>
      </c>
      <c r="BA169" s="192">
        <f t="shared" si="88"/>
        <v>1000179.866464986</v>
      </c>
      <c r="BB169" s="192">
        <f t="shared" si="88"/>
        <v>1030848.0488828822</v>
      </c>
      <c r="BC169" s="192">
        <f t="shared" si="88"/>
        <v>1061785.9190380163</v>
      </c>
      <c r="BD169" s="192">
        <f t="shared" si="88"/>
        <v>1093096.7081298213</v>
      </c>
      <c r="BE169" s="192">
        <f t="shared" si="88"/>
        <v>1124870.2743992908</v>
      </c>
      <c r="BF169" s="192">
        <f t="shared" si="88"/>
        <v>1157185.4726272516</v>
      </c>
      <c r="BG169" s="192">
        <f t="shared" si="89"/>
        <v>1190112.1264696263</v>
      </c>
      <c r="BH169" s="192">
        <f t="shared" si="89"/>
        <v>1223712.6707902811</v>
      </c>
      <c r="BI169" s="192">
        <f t="shared" si="89"/>
        <v>1258043.5198113834</v>
      </c>
      <c r="BJ169" s="192">
        <f t="shared" si="89"/>
        <v>1293156.2074759318</v>
      </c>
      <c r="BK169" s="192">
        <f t="shared" si="89"/>
        <v>1329098.338583786</v>
      </c>
      <c r="BL169" s="192">
        <f t="shared" si="89"/>
        <v>1365914.3827522458</v>
      </c>
      <c r="BM169" s="192">
        <f t="shared" si="89"/>
        <v>1403646.3378415471</v>
      </c>
      <c r="BN169" s="192">
        <f t="shared" si="89"/>
        <v>1442334.2849888732</v>
      </c>
      <c r="BO169" s="192">
        <f t="shared" si="89"/>
        <v>1482016.8536572317</v>
      </c>
      <c r="BP169" s="192">
        <f t="shared" si="89"/>
        <v>1522731.6119995774</v>
      </c>
      <c r="BQ169" s="192">
        <f t="shared" si="90"/>
        <v>1564515.3952572392</v>
      </c>
      <c r="BR169" s="192">
        <f t="shared" si="90"/>
        <v>1607404.5827664346</v>
      </c>
      <c r="BS169" s="192">
        <f t="shared" si="90"/>
        <v>1651435.3323637615</v>
      </c>
      <c r="BT169" s="192">
        <f t="shared" si="90"/>
        <v>1696643.7794998919</v>
      </c>
      <c r="BU169" s="192">
        <f t="shared" si="90"/>
        <v>1743066.2071393244</v>
      </c>
      <c r="BV169" s="192">
        <f t="shared" si="90"/>
        <v>1790739.1915007574</v>
      </c>
      <c r="BW169" s="192">
        <f t="shared" si="90"/>
        <v>1839699.727842249</v>
      </c>
      <c r="BX169" s="192">
        <f t="shared" si="90"/>
        <v>1889985.3397886683</v>
      </c>
      <c r="BY169" s="192">
        <f t="shared" si="90"/>
        <v>1941634.1751117033</v>
      </c>
      <c r="BZ169" s="192">
        <f t="shared" si="90"/>
        <v>0</v>
      </c>
      <c r="CA169" s="192">
        <f t="shared" si="90"/>
        <v>0</v>
      </c>
      <c r="CB169" s="192">
        <f t="shared" si="90"/>
        <v>0</v>
      </c>
    </row>
    <row r="170" spans="2:80">
      <c r="B170" s="1">
        <v>2032</v>
      </c>
      <c r="C170" s="12">
        <f t="shared" si="71"/>
        <v>2045</v>
      </c>
      <c r="E170" s="193">
        <f t="shared" si="91"/>
        <v>0</v>
      </c>
      <c r="F170" s="193">
        <f t="shared" si="91"/>
        <v>0</v>
      </c>
      <c r="G170" s="193">
        <f t="shared" si="91"/>
        <v>0</v>
      </c>
      <c r="H170" s="193">
        <f t="shared" si="91"/>
        <v>0</v>
      </c>
      <c r="I170" s="193">
        <f t="shared" si="91"/>
        <v>0</v>
      </c>
      <c r="J170" s="193">
        <f t="shared" si="91"/>
        <v>0</v>
      </c>
      <c r="K170" s="193">
        <f t="shared" si="91"/>
        <v>0</v>
      </c>
      <c r="L170" s="193">
        <f t="shared" si="91"/>
        <v>0</v>
      </c>
      <c r="M170" s="193">
        <f t="shared" si="91"/>
        <v>0</v>
      </c>
      <c r="N170" s="193">
        <f t="shared" si="91"/>
        <v>0</v>
      </c>
      <c r="O170" s="193">
        <f t="shared" si="91"/>
        <v>0</v>
      </c>
      <c r="P170" s="193">
        <f t="shared" si="91"/>
        <v>0</v>
      </c>
      <c r="Q170" s="193">
        <f t="shared" si="91"/>
        <v>0</v>
      </c>
      <c r="R170" s="193">
        <f t="shared" si="91"/>
        <v>0</v>
      </c>
      <c r="S170" s="192">
        <f t="shared" si="85"/>
        <v>0</v>
      </c>
      <c r="T170" s="192">
        <f t="shared" si="85"/>
        <v>0</v>
      </c>
      <c r="U170" s="192">
        <f t="shared" si="85"/>
        <v>0</v>
      </c>
      <c r="V170" s="192">
        <f t="shared" si="85"/>
        <v>0</v>
      </c>
      <c r="W170" s="192">
        <f t="shared" si="85"/>
        <v>0</v>
      </c>
      <c r="X170" s="192">
        <f t="shared" si="85"/>
        <v>0</v>
      </c>
      <c r="Y170" s="192">
        <f t="shared" si="85"/>
        <v>0</v>
      </c>
      <c r="Z170" s="192">
        <f t="shared" si="85"/>
        <v>0</v>
      </c>
      <c r="AA170" s="192">
        <f t="shared" si="85"/>
        <v>0</v>
      </c>
      <c r="AB170" s="192">
        <f t="shared" si="85"/>
        <v>0</v>
      </c>
      <c r="AC170" s="192">
        <f t="shared" si="86"/>
        <v>0</v>
      </c>
      <c r="AD170" s="192">
        <f t="shared" si="86"/>
        <v>0</v>
      </c>
      <c r="AE170" s="192">
        <f t="shared" si="86"/>
        <v>0</v>
      </c>
      <c r="AF170" s="192">
        <f t="shared" si="86"/>
        <v>0</v>
      </c>
      <c r="AG170" s="192">
        <f t="shared" si="86"/>
        <v>0</v>
      </c>
      <c r="AH170" s="192">
        <f t="shared" si="86"/>
        <v>0</v>
      </c>
      <c r="AI170" s="192">
        <f t="shared" si="86"/>
        <v>0</v>
      </c>
      <c r="AJ170" s="192">
        <f t="shared" si="86"/>
        <v>0</v>
      </c>
      <c r="AK170" s="192">
        <f t="shared" si="86"/>
        <v>0</v>
      </c>
      <c r="AL170" s="192">
        <f t="shared" si="86"/>
        <v>339585.27769038768</v>
      </c>
      <c r="AM170" s="192">
        <f t="shared" si="87"/>
        <v>415481.73321876785</v>
      </c>
      <c r="AN170" s="192">
        <f t="shared" si="87"/>
        <v>482197.87454433634</v>
      </c>
      <c r="AO170" s="192">
        <f t="shared" si="87"/>
        <v>541383.5169152912</v>
      </c>
      <c r="AP170" s="192">
        <f t="shared" si="87"/>
        <v>594412.54571569758</v>
      </c>
      <c r="AQ170" s="192">
        <f t="shared" si="87"/>
        <v>642429.59304339474</v>
      </c>
      <c r="AR170" s="192">
        <f t="shared" si="87"/>
        <v>686388.83297654183</v>
      </c>
      <c r="AS170" s="192">
        <f t="shared" si="87"/>
        <v>727086.22667987749</v>
      </c>
      <c r="AT170" s="192">
        <f t="shared" si="87"/>
        <v>765186.32368158479</v>
      </c>
      <c r="AU170" s="192">
        <f t="shared" si="87"/>
        <v>801244.53880201036</v>
      </c>
      <c r="AV170" s="192">
        <f t="shared" si="87"/>
        <v>835725.66892340244</v>
      </c>
      <c r="AW170" s="192">
        <f t="shared" si="88"/>
        <v>869019.28472550865</v>
      </c>
      <c r="AX170" s="192">
        <f t="shared" si="88"/>
        <v>901452.5252456076</v>
      </c>
      <c r="AY170" s="192">
        <f t="shared" si="88"/>
        <v>933300.7339718173</v>
      </c>
      <c r="AZ170" s="192">
        <f t="shared" si="88"/>
        <v>964796.30108557711</v>
      </c>
      <c r="BA170" s="192">
        <f t="shared" si="88"/>
        <v>996136.01489006064</v>
      </c>
      <c r="BB170" s="192">
        <f t="shared" si="88"/>
        <v>1027487.1742824496</v>
      </c>
      <c r="BC170" s="192">
        <f t="shared" si="88"/>
        <v>1058992.6715929636</v>
      </c>
      <c r="BD170" s="192">
        <f t="shared" si="88"/>
        <v>1090775.2197623921</v>
      </c>
      <c r="BE170" s="192">
        <f t="shared" si="88"/>
        <v>1122940.8684493613</v>
      </c>
      <c r="BF170" s="192">
        <f t="shared" si="88"/>
        <v>1155581.9292402368</v>
      </c>
      <c r="BG170" s="192">
        <f t="shared" si="89"/>
        <v>1188779.4098403794</v>
      </c>
      <c r="BH170" s="192">
        <f t="shared" si="89"/>
        <v>1222605.0402588884</v>
      </c>
      <c r="BI170" s="192">
        <f t="shared" si="89"/>
        <v>1257122.9599810708</v>
      </c>
      <c r="BJ170" s="192">
        <f t="shared" si="89"/>
        <v>1292391.1234725867</v>
      </c>
      <c r="BK170" s="192">
        <f t="shared" si="89"/>
        <v>1328462.4716766072</v>
      </c>
      <c r="BL170" s="192">
        <f t="shared" si="89"/>
        <v>1365385.909118138</v>
      </c>
      <c r="BM170" s="192">
        <f t="shared" si="89"/>
        <v>1403207.1195416257</v>
      </c>
      <c r="BN170" s="192">
        <f t="shared" si="89"/>
        <v>1441969.2474495624</v>
      </c>
      <c r="BO170" s="192">
        <f t="shared" si="89"/>
        <v>1481713.468290251</v>
      </c>
      <c r="BP170" s="192">
        <f t="shared" si="89"/>
        <v>1522479.4662036356</v>
      </c>
      <c r="BQ170" s="192">
        <f t="shared" si="90"/>
        <v>1564305.8350432988</v>
      </c>
      <c r="BR170" s="192">
        <f t="shared" si="90"/>
        <v>1607230.4157409533</v>
      </c>
      <c r="BS170" s="192">
        <f t="shared" si="90"/>
        <v>1651290.5808758971</v>
      </c>
      <c r="BT170" s="192">
        <f t="shared" si="90"/>
        <v>1696523.4754803388</v>
      </c>
      <c r="BU170" s="192">
        <f t="shared" si="90"/>
        <v>1742966.2215893723</v>
      </c>
      <c r="BV170" s="192">
        <f t="shared" si="90"/>
        <v>1790656.0927793973</v>
      </c>
      <c r="BW170" s="192">
        <f t="shared" si="90"/>
        <v>1839630.6638875583</v>
      </c>
      <c r="BX170" s="192">
        <f t="shared" si="90"/>
        <v>1889927.9402311363</v>
      </c>
      <c r="BY170" s="192">
        <f t="shared" si="90"/>
        <v>1941586.4699199051</v>
      </c>
      <c r="BZ170" s="192">
        <f t="shared" si="90"/>
        <v>1994645.4422511605</v>
      </c>
      <c r="CA170" s="192">
        <f t="shared" si="90"/>
        <v>0</v>
      </c>
      <c r="CB170" s="192">
        <f t="shared" si="90"/>
        <v>0</v>
      </c>
    </row>
    <row r="171" spans="2:80" ht="15.75" thickBot="1">
      <c r="B171" s="115" t="s">
        <v>400</v>
      </c>
      <c r="C171" s="12"/>
      <c r="E171" s="192">
        <f t="shared" ref="E171:AJ171" si="92">SUM(E151:E170)</f>
        <v>0</v>
      </c>
      <c r="F171" s="192">
        <f t="shared" si="92"/>
        <v>0</v>
      </c>
      <c r="G171" s="192">
        <f t="shared" si="92"/>
        <v>0</v>
      </c>
      <c r="H171" s="192">
        <f t="shared" si="92"/>
        <v>0</v>
      </c>
      <c r="I171" s="192">
        <f t="shared" si="92"/>
        <v>0</v>
      </c>
      <c r="J171" s="192">
        <f t="shared" si="92"/>
        <v>0</v>
      </c>
      <c r="K171" s="192">
        <f t="shared" si="92"/>
        <v>0</v>
      </c>
      <c r="L171" s="192">
        <f t="shared" si="92"/>
        <v>0</v>
      </c>
      <c r="M171" s="192">
        <f t="shared" si="92"/>
        <v>0</v>
      </c>
      <c r="N171" s="192">
        <f t="shared" si="92"/>
        <v>0</v>
      </c>
      <c r="O171" s="192">
        <f t="shared" si="92"/>
        <v>0</v>
      </c>
      <c r="P171" s="192">
        <f t="shared" si="92"/>
        <v>0</v>
      </c>
      <c r="Q171" s="192">
        <f t="shared" si="92"/>
        <v>0</v>
      </c>
      <c r="R171" s="192">
        <f t="shared" si="92"/>
        <v>0</v>
      </c>
      <c r="S171" s="192">
        <f t="shared" si="92"/>
        <v>0</v>
      </c>
      <c r="T171" s="192">
        <f t="shared" si="92"/>
        <v>10455.611352084916</v>
      </c>
      <c r="U171" s="192">
        <f t="shared" si="92"/>
        <v>66497.787216226832</v>
      </c>
      <c r="V171" s="192">
        <f t="shared" si="92"/>
        <v>212966.93017253469</v>
      </c>
      <c r="W171" s="192">
        <f t="shared" si="92"/>
        <v>470310.42506728345</v>
      </c>
      <c r="X171" s="192">
        <f t="shared" si="92"/>
        <v>788355.24020240852</v>
      </c>
      <c r="Y171" s="192">
        <f t="shared" si="92"/>
        <v>1154925.0140060734</v>
      </c>
      <c r="Z171" s="192">
        <f t="shared" si="92"/>
        <v>1567110.7642845076</v>
      </c>
      <c r="AA171" s="192">
        <f t="shared" si="92"/>
        <v>2022707.2723514955</v>
      </c>
      <c r="AB171" s="192">
        <f t="shared" si="92"/>
        <v>2520101.8830345813</v>
      </c>
      <c r="AC171" s="192">
        <f t="shared" si="92"/>
        <v>3058182.3454781324</v>
      </c>
      <c r="AD171" s="192">
        <f t="shared" si="92"/>
        <v>3636260.4873749842</v>
      </c>
      <c r="AE171" s="192">
        <f t="shared" si="92"/>
        <v>4254009.0572289238</v>
      </c>
      <c r="AF171" s="192">
        <f t="shared" si="92"/>
        <v>4911409.5196943032</v>
      </c>
      <c r="AG171" s="192">
        <f t="shared" si="92"/>
        <v>5608708.9634151058</v>
      </c>
      <c r="AH171" s="192">
        <f t="shared" si="92"/>
        <v>6346384.5919412542</v>
      </c>
      <c r="AI171" s="192">
        <f t="shared" si="92"/>
        <v>7125114.5269128429</v>
      </c>
      <c r="AJ171" s="192">
        <f t="shared" si="92"/>
        <v>7945753.8676474271</v>
      </c>
      <c r="AK171" s="192">
        <f t="shared" ref="AK171:BP171" si="93">SUM(AK151:AK170)</f>
        <v>8809315.1299171876</v>
      </c>
      <c r="AL171" s="192">
        <f t="shared" si="93"/>
        <v>9716952.3351915292</v>
      </c>
      <c r="AM171" s="192">
        <f t="shared" si="93"/>
        <v>10321091.375273162</v>
      </c>
      <c r="AN171" s="192">
        <f t="shared" si="93"/>
        <v>10884496.761724373</v>
      </c>
      <c r="AO171" s="192">
        <f t="shared" si="93"/>
        <v>11415721.775559757</v>
      </c>
      <c r="AP171" s="192">
        <f t="shared" si="93"/>
        <v>11921920.806202954</v>
      </c>
      <c r="AQ171" s="192">
        <f t="shared" si="93"/>
        <v>12409086.861636419</v>
      </c>
      <c r="AR171" s="192">
        <f t="shared" si="93"/>
        <v>12882248.998884924</v>
      </c>
      <c r="AS171" s="192">
        <f t="shared" si="93"/>
        <v>13345636.444925457</v>
      </c>
      <c r="AT171" s="192">
        <f t="shared" si="93"/>
        <v>13802815.034722345</v>
      </c>
      <c r="AU171" s="192">
        <f t="shared" si="93"/>
        <v>14256800.642804379</v>
      </c>
      <c r="AV171" s="192">
        <f t="shared" si="93"/>
        <v>14710153.495014645</v>
      </c>
      <c r="AW171" s="192">
        <f t="shared" si="93"/>
        <v>15165056.590668056</v>
      </c>
      <c r="AX171" s="192">
        <f t="shared" si="93"/>
        <v>15623380.919816548</v>
      </c>
      <c r="AY171" s="192">
        <f t="shared" si="93"/>
        <v>16086739.706924859</v>
      </c>
      <c r="AZ171" s="192">
        <f t="shared" si="93"/>
        <v>16556533.535438953</v>
      </c>
      <c r="BA171" s="192">
        <f t="shared" si="93"/>
        <v>17033987.894551162</v>
      </c>
      <c r="BB171" s="192">
        <f t="shared" si="93"/>
        <v>17520184.42918285</v>
      </c>
      <c r="BC171" s="192">
        <f t="shared" si="93"/>
        <v>18016086.957882505</v>
      </c>
      <c r="BD171" s="192">
        <f t="shared" si="93"/>
        <v>18522563.143550888</v>
      </c>
      <c r="BE171" s="192">
        <f t="shared" si="93"/>
        <v>19040402.552483726</v>
      </c>
      <c r="BF171" s="192">
        <f t="shared" si="93"/>
        <v>19570331.713038739</v>
      </c>
      <c r="BG171" s="192">
        <f t="shared" si="93"/>
        <v>20113026.682024386</v>
      </c>
      <c r="BH171" s="192">
        <f t="shared" si="93"/>
        <v>20669123.541131038</v>
      </c>
      <c r="BI171" s="192">
        <f t="shared" si="93"/>
        <v>21176135.33042603</v>
      </c>
      <c r="BJ171" s="192">
        <f t="shared" si="93"/>
        <v>21435031.160992723</v>
      </c>
      <c r="BK171" s="192">
        <f t="shared" si="93"/>
        <v>21225242.098422688</v>
      </c>
      <c r="BL171" s="192">
        <f t="shared" si="93"/>
        <v>20508409.937852856</v>
      </c>
      <c r="BM171" s="192">
        <f t="shared" si="93"/>
        <v>19665674.471156977</v>
      </c>
      <c r="BN171" s="192">
        <f t="shared" si="93"/>
        <v>18761076.486029867</v>
      </c>
      <c r="BO171" s="192">
        <f t="shared" si="93"/>
        <v>17791960.380644761</v>
      </c>
      <c r="BP171" s="192">
        <f t="shared" si="93"/>
        <v>16755555.749242689</v>
      </c>
      <c r="BQ171" s="192">
        <f t="shared" ref="BQ171:CB171" si="94">SUM(BQ151:BQ170)</f>
        <v>15648975.779734643</v>
      </c>
      <c r="BR171" s="192">
        <f t="shared" si="94"/>
        <v>14469215.195583504</v>
      </c>
      <c r="BS171" s="192">
        <f t="shared" si="94"/>
        <v>13213147.79491909</v>
      </c>
      <c r="BT171" s="192">
        <f t="shared" si="94"/>
        <v>11877523.630126255</v>
      </c>
      <c r="BU171" s="192">
        <f t="shared" si="94"/>
        <v>10458965.863049118</v>
      </c>
      <c r="BV171" s="192">
        <f t="shared" si="94"/>
        <v>8953967.3242001142</v>
      </c>
      <c r="BW171" s="192">
        <f t="shared" si="94"/>
        <v>7358886.7987234872</v>
      </c>
      <c r="BX171" s="192">
        <f t="shared" si="94"/>
        <v>5669945.0571495481</v>
      </c>
      <c r="BY171" s="192">
        <f t="shared" si="94"/>
        <v>3883220.6450316086</v>
      </c>
      <c r="BZ171" s="192">
        <f t="shared" si="94"/>
        <v>1994645.4422511605</v>
      </c>
      <c r="CA171" s="192">
        <f t="shared" si="94"/>
        <v>0</v>
      </c>
      <c r="CB171" s="192">
        <f t="shared" si="94"/>
        <v>0</v>
      </c>
    </row>
    <row r="172" spans="2:80" ht="15.75" thickBot="1">
      <c r="B172" s="115" t="s">
        <v>399</v>
      </c>
      <c r="C172" s="565" t="s">
        <v>759</v>
      </c>
      <c r="D172" s="12"/>
      <c r="G172" s="566">
        <f>10%</f>
        <v>0.1</v>
      </c>
      <c r="H172" s="192"/>
      <c r="I172" s="192"/>
      <c r="J172" s="192"/>
      <c r="K172" s="192"/>
      <c r="L172" s="192"/>
      <c r="M172" s="192"/>
      <c r="N172" s="192"/>
      <c r="O172" s="192"/>
      <c r="P172" s="192"/>
      <c r="Q172" s="192"/>
      <c r="R172" s="192"/>
      <c r="S172" s="192"/>
      <c r="T172" s="192"/>
      <c r="U172" s="192"/>
      <c r="V172" s="192"/>
      <c r="W172" s="192"/>
      <c r="X172" s="192"/>
      <c r="Y172" s="192"/>
      <c r="Z172" s="192">
        <f t="shared" ref="Z172:BE172" si="95">Z171/(1+$G172)^(Z150-$Y$150)</f>
        <v>1424646.1493495523</v>
      </c>
      <c r="AA172" s="192">
        <f t="shared" si="95"/>
        <v>1671658.9027698308</v>
      </c>
      <c r="AB172" s="192">
        <f t="shared" si="95"/>
        <v>1893389.8445038171</v>
      </c>
      <c r="AC172" s="192">
        <f t="shared" si="95"/>
        <v>2088779.6909214749</v>
      </c>
      <c r="AD172" s="192">
        <f t="shared" si="95"/>
        <v>2257831.6728086029</v>
      </c>
      <c r="AE172" s="192">
        <f t="shared" si="95"/>
        <v>2401277.2110183742</v>
      </c>
      <c r="AF172" s="192">
        <f t="shared" si="95"/>
        <v>2520329.6669867062</v>
      </c>
      <c r="AG172" s="192">
        <f t="shared" si="95"/>
        <v>2616504.1248816294</v>
      </c>
      <c r="AH172" s="192">
        <f t="shared" si="95"/>
        <v>2691486.5907181189</v>
      </c>
      <c r="AI172" s="192">
        <f t="shared" si="95"/>
        <v>2747040.0922681172</v>
      </c>
      <c r="AJ172" s="192">
        <f t="shared" si="95"/>
        <v>2784938.2573911007</v>
      </c>
      <c r="AK172" s="192">
        <f t="shared" si="95"/>
        <v>2806919.2833137293</v>
      </c>
      <c r="AL172" s="192">
        <f t="shared" si="95"/>
        <v>2814654.971104214</v>
      </c>
      <c r="AM172" s="192">
        <f t="shared" si="95"/>
        <v>2717865.9376583435</v>
      </c>
      <c r="AN172" s="192">
        <f t="shared" si="95"/>
        <v>2605661.9861412202</v>
      </c>
      <c r="AO172" s="192">
        <f t="shared" si="95"/>
        <v>2484393.66443585</v>
      </c>
      <c r="AP172" s="192">
        <f t="shared" si="95"/>
        <v>2358688.4745568545</v>
      </c>
      <c r="AQ172" s="192">
        <f t="shared" si="95"/>
        <v>2231883.3468122482</v>
      </c>
      <c r="AR172" s="192">
        <f t="shared" si="95"/>
        <v>2106350.6511351098</v>
      </c>
      <c r="AS172" s="192">
        <f t="shared" si="95"/>
        <v>1983743.8194649525</v>
      </c>
      <c r="AT172" s="192">
        <f t="shared" si="95"/>
        <v>1865182.2760975666</v>
      </c>
      <c r="AU172" s="192">
        <f t="shared" si="95"/>
        <v>1751390.5550110606</v>
      </c>
      <c r="AV172" s="192">
        <f t="shared" si="95"/>
        <v>1642802.843193847</v>
      </c>
      <c r="AW172" s="192">
        <f t="shared" si="95"/>
        <v>1539641.4389921096</v>
      </c>
      <c r="AX172" s="192">
        <f t="shared" si="95"/>
        <v>1441975.5368949655</v>
      </c>
      <c r="AY172" s="192">
        <f t="shared" si="95"/>
        <v>1349765.1806047643</v>
      </c>
      <c r="AZ172" s="192">
        <f t="shared" si="95"/>
        <v>1262894.0405003084</v>
      </c>
      <c r="BA172" s="192">
        <f t="shared" si="95"/>
        <v>1181193.7758554658</v>
      </c>
      <c r="BB172" s="192">
        <f t="shared" si="95"/>
        <v>1104462.0655267304</v>
      </c>
      <c r="BC172" s="192">
        <f t="shared" si="95"/>
        <v>1032475.8797042865</v>
      </c>
      <c r="BD172" s="192">
        <f t="shared" si="95"/>
        <v>965001.1792603957</v>
      </c>
      <c r="BE172" s="192">
        <f t="shared" si="95"/>
        <v>901799.93764851906</v>
      </c>
      <c r="BF172" s="192">
        <f t="shared" ref="BF172:CB172" si="96">BF171/(1+$G172)^(BF150-$Y$150)</f>
        <v>842635.16010384529</v>
      </c>
      <c r="BG172" s="192">
        <f t="shared" si="96"/>
        <v>787274.40861594677</v>
      </c>
      <c r="BH172" s="192">
        <f t="shared" si="96"/>
        <v>735492.21559961326</v>
      </c>
      <c r="BI172" s="192">
        <f t="shared" si="96"/>
        <v>685030.7047267725</v>
      </c>
      <c r="BJ172" s="192">
        <f t="shared" si="96"/>
        <v>630368.88515113213</v>
      </c>
      <c r="BK172" s="192">
        <f t="shared" si="96"/>
        <v>567453.94100450166</v>
      </c>
      <c r="BL172" s="192">
        <f t="shared" si="96"/>
        <v>498445.02850154293</v>
      </c>
      <c r="BM172" s="192">
        <f t="shared" si="96"/>
        <v>434511.66450437257</v>
      </c>
      <c r="BN172" s="192">
        <f t="shared" si="96"/>
        <v>376840.57910580205</v>
      </c>
      <c r="BO172" s="192">
        <f t="shared" si="96"/>
        <v>324886.02173287427</v>
      </c>
      <c r="BP172" s="192">
        <f t="shared" si="96"/>
        <v>278146.35644580203</v>
      </c>
      <c r="BQ172" s="192">
        <f t="shared" si="96"/>
        <v>236160.77829959759</v>
      </c>
      <c r="BR172" s="192">
        <f t="shared" si="96"/>
        <v>198506.23104783424</v>
      </c>
      <c r="BS172" s="192">
        <f t="shared" si="96"/>
        <v>164794.52369569655</v>
      </c>
      <c r="BT172" s="192">
        <f t="shared" si="96"/>
        <v>134669.64046934203</v>
      </c>
      <c r="BU172" s="192">
        <f t="shared" si="96"/>
        <v>107805.23681226566</v>
      </c>
      <c r="BV172" s="192">
        <f t="shared" si="96"/>
        <v>83902.312786788709</v>
      </c>
      <c r="BW172" s="192">
        <f t="shared" si="96"/>
        <v>62687.054554966126</v>
      </c>
      <c r="BX172" s="192">
        <f t="shared" si="96"/>
        <v>43908.834292072221</v>
      </c>
      <c r="BY172" s="192">
        <f t="shared" si="96"/>
        <v>27338.358838278673</v>
      </c>
      <c r="BZ172" s="192">
        <f t="shared" si="96"/>
        <v>12765.957538872037</v>
      </c>
      <c r="CA172" s="192">
        <f t="shared" si="96"/>
        <v>0</v>
      </c>
      <c r="CB172" s="192">
        <f t="shared" si="96"/>
        <v>0</v>
      </c>
    </row>
    <row r="173" spans="2:80">
      <c r="B173" s="115" t="s">
        <v>398</v>
      </c>
      <c r="C173" s="12"/>
      <c r="E173" s="192">
        <f t="shared" ref="E173:X173" si="97">E171</f>
        <v>0</v>
      </c>
      <c r="F173" s="192">
        <f t="shared" si="97"/>
        <v>0</v>
      </c>
      <c r="G173" s="192">
        <f t="shared" si="97"/>
        <v>0</v>
      </c>
      <c r="H173" s="192">
        <f t="shared" si="97"/>
        <v>0</v>
      </c>
      <c r="I173" s="192">
        <f t="shared" si="97"/>
        <v>0</v>
      </c>
      <c r="J173" s="192">
        <f t="shared" si="97"/>
        <v>0</v>
      </c>
      <c r="K173" s="192">
        <f t="shared" si="97"/>
        <v>0</v>
      </c>
      <c r="L173" s="192">
        <f t="shared" si="97"/>
        <v>0</v>
      </c>
      <c r="M173" s="192">
        <f t="shared" si="97"/>
        <v>0</v>
      </c>
      <c r="N173" s="192">
        <f t="shared" si="97"/>
        <v>0</v>
      </c>
      <c r="O173" s="192">
        <f t="shared" si="97"/>
        <v>0</v>
      </c>
      <c r="P173" s="192">
        <f t="shared" si="97"/>
        <v>0</v>
      </c>
      <c r="Q173" s="192">
        <f t="shared" si="97"/>
        <v>0</v>
      </c>
      <c r="R173" s="192">
        <f t="shared" si="97"/>
        <v>0</v>
      </c>
      <c r="S173" s="192">
        <f t="shared" si="97"/>
        <v>0</v>
      </c>
      <c r="T173" s="192">
        <f t="shared" si="97"/>
        <v>10455.611352084916</v>
      </c>
      <c r="U173" s="192">
        <f t="shared" si="97"/>
        <v>66497.787216226832</v>
      </c>
      <c r="V173" s="192">
        <f t="shared" si="97"/>
        <v>212966.93017253469</v>
      </c>
      <c r="W173" s="192">
        <f t="shared" si="97"/>
        <v>470310.42506728345</v>
      </c>
      <c r="X173" s="192">
        <f t="shared" si="97"/>
        <v>788355.24020240852</v>
      </c>
      <c r="Y173" s="192">
        <f>Y171+SUM(Z172:CB172)</f>
        <v>71635177.955363885</v>
      </c>
      <c r="Z173" s="192"/>
    </row>
    <row r="174" spans="2:80">
      <c r="C174" s="12"/>
    </row>
    <row r="175" spans="2:80">
      <c r="B175" s="195" t="s">
        <v>392</v>
      </c>
      <c r="C175" s="12"/>
      <c r="D175" s="194" t="str">
        <f t="shared" ref="D175:AI175" si="98">D150</f>
        <v>Units</v>
      </c>
      <c r="E175" s="134">
        <f t="shared" si="98"/>
        <v>2012</v>
      </c>
      <c r="F175" s="134">
        <f t="shared" si="98"/>
        <v>2013</v>
      </c>
      <c r="G175" s="134">
        <f t="shared" si="98"/>
        <v>2014</v>
      </c>
      <c r="H175" s="134">
        <f t="shared" si="98"/>
        <v>2015</v>
      </c>
      <c r="I175" s="134">
        <f t="shared" si="98"/>
        <v>2016</v>
      </c>
      <c r="J175" s="134">
        <f t="shared" si="98"/>
        <v>2017</v>
      </c>
      <c r="K175" s="134">
        <f t="shared" si="98"/>
        <v>2018</v>
      </c>
      <c r="L175" s="134">
        <f t="shared" si="98"/>
        <v>2019</v>
      </c>
      <c r="M175" s="134">
        <f t="shared" si="98"/>
        <v>2020</v>
      </c>
      <c r="N175" s="134">
        <f t="shared" si="98"/>
        <v>2021</v>
      </c>
      <c r="O175" s="134">
        <f t="shared" si="98"/>
        <v>2022</v>
      </c>
      <c r="P175" s="134">
        <f t="shared" si="98"/>
        <v>2023</v>
      </c>
      <c r="Q175" s="134">
        <f t="shared" si="98"/>
        <v>2024</v>
      </c>
      <c r="R175" s="134">
        <f t="shared" si="98"/>
        <v>2025</v>
      </c>
      <c r="S175" s="134">
        <f t="shared" si="98"/>
        <v>2026</v>
      </c>
      <c r="T175" s="134">
        <f t="shared" si="98"/>
        <v>2027</v>
      </c>
      <c r="U175" s="134">
        <f t="shared" si="98"/>
        <v>2028</v>
      </c>
      <c r="V175" s="134">
        <f t="shared" si="98"/>
        <v>2029</v>
      </c>
      <c r="W175" s="134">
        <f t="shared" si="98"/>
        <v>2030</v>
      </c>
      <c r="X175" s="134">
        <f t="shared" si="98"/>
        <v>2031</v>
      </c>
      <c r="Y175" s="134">
        <f t="shared" si="98"/>
        <v>2032</v>
      </c>
      <c r="Z175" s="134">
        <f t="shared" si="98"/>
        <v>2033</v>
      </c>
      <c r="AA175" s="134">
        <f t="shared" si="98"/>
        <v>2034</v>
      </c>
      <c r="AB175" s="134">
        <f t="shared" si="98"/>
        <v>2035</v>
      </c>
      <c r="AC175" s="134">
        <f t="shared" si="98"/>
        <v>2036</v>
      </c>
      <c r="AD175" s="134">
        <f t="shared" si="98"/>
        <v>2037</v>
      </c>
      <c r="AE175" s="134">
        <f t="shared" si="98"/>
        <v>2038</v>
      </c>
      <c r="AF175" s="134">
        <f t="shared" si="98"/>
        <v>2039</v>
      </c>
      <c r="AG175" s="134">
        <f t="shared" si="98"/>
        <v>2040</v>
      </c>
      <c r="AH175" s="134">
        <f t="shared" si="98"/>
        <v>2041</v>
      </c>
      <c r="AI175" s="134">
        <f t="shared" si="98"/>
        <v>2042</v>
      </c>
      <c r="AJ175" s="134">
        <f t="shared" ref="AJ175:BO175" si="99">AJ150</f>
        <v>2043</v>
      </c>
      <c r="AK175" s="134">
        <f t="shared" si="99"/>
        <v>2044</v>
      </c>
      <c r="AL175" s="134">
        <f t="shared" si="99"/>
        <v>2045</v>
      </c>
      <c r="AM175" s="134">
        <f t="shared" si="99"/>
        <v>2046</v>
      </c>
      <c r="AN175" s="134">
        <f t="shared" si="99"/>
        <v>2047</v>
      </c>
      <c r="AO175" s="134">
        <f t="shared" si="99"/>
        <v>2048</v>
      </c>
      <c r="AP175" s="134">
        <f t="shared" si="99"/>
        <v>2049</v>
      </c>
      <c r="AQ175" s="134">
        <f t="shared" si="99"/>
        <v>2050</v>
      </c>
      <c r="AR175" s="134">
        <f t="shared" si="99"/>
        <v>2051</v>
      </c>
      <c r="AS175" s="134">
        <f t="shared" si="99"/>
        <v>2052</v>
      </c>
      <c r="AT175" s="134">
        <f t="shared" si="99"/>
        <v>2053</v>
      </c>
      <c r="AU175" s="134">
        <f t="shared" si="99"/>
        <v>2054</v>
      </c>
      <c r="AV175" s="134">
        <f t="shared" si="99"/>
        <v>2055</v>
      </c>
      <c r="AW175" s="134">
        <f t="shared" si="99"/>
        <v>2056</v>
      </c>
      <c r="AX175" s="134">
        <f t="shared" si="99"/>
        <v>2057</v>
      </c>
      <c r="AY175" s="134">
        <f t="shared" si="99"/>
        <v>2058</v>
      </c>
      <c r="AZ175" s="134">
        <f t="shared" si="99"/>
        <v>2059</v>
      </c>
      <c r="BA175" s="134">
        <f t="shared" si="99"/>
        <v>2060</v>
      </c>
      <c r="BB175" s="134">
        <f t="shared" si="99"/>
        <v>2061</v>
      </c>
      <c r="BC175" s="134">
        <f t="shared" si="99"/>
        <v>2062</v>
      </c>
      <c r="BD175" s="134">
        <f t="shared" si="99"/>
        <v>2063</v>
      </c>
      <c r="BE175" s="134">
        <f t="shared" si="99"/>
        <v>2064</v>
      </c>
      <c r="BF175" s="134">
        <f t="shared" si="99"/>
        <v>2065</v>
      </c>
      <c r="BG175" s="134">
        <f t="shared" si="99"/>
        <v>2066</v>
      </c>
      <c r="BH175" s="134">
        <f t="shared" si="99"/>
        <v>2067</v>
      </c>
      <c r="BI175" s="134">
        <f t="shared" si="99"/>
        <v>2068</v>
      </c>
      <c r="BJ175" s="134">
        <f t="shared" si="99"/>
        <v>2069</v>
      </c>
      <c r="BK175" s="134">
        <f t="shared" si="99"/>
        <v>2070</v>
      </c>
      <c r="BL175" s="134">
        <f t="shared" si="99"/>
        <v>2071</v>
      </c>
      <c r="BM175" s="134">
        <f t="shared" si="99"/>
        <v>2072</v>
      </c>
      <c r="BN175" s="134">
        <f t="shared" si="99"/>
        <v>2073</v>
      </c>
      <c r="BO175" s="134">
        <f t="shared" si="99"/>
        <v>2074</v>
      </c>
      <c r="BP175" s="134">
        <f t="shared" ref="BP175:CB175" si="100">BP150</f>
        <v>2075</v>
      </c>
      <c r="BQ175" s="134">
        <f t="shared" si="100"/>
        <v>2076</v>
      </c>
      <c r="BR175" s="134">
        <f t="shared" si="100"/>
        <v>2077</v>
      </c>
      <c r="BS175" s="134">
        <f t="shared" si="100"/>
        <v>2078</v>
      </c>
      <c r="BT175" s="134">
        <f t="shared" si="100"/>
        <v>2079</v>
      </c>
      <c r="BU175" s="134">
        <f t="shared" si="100"/>
        <v>2080</v>
      </c>
      <c r="BV175" s="134">
        <f t="shared" si="100"/>
        <v>2081</v>
      </c>
      <c r="BW175" s="134">
        <f t="shared" si="100"/>
        <v>2082</v>
      </c>
      <c r="BX175" s="134">
        <f t="shared" si="100"/>
        <v>2083</v>
      </c>
      <c r="BY175" s="134">
        <f t="shared" si="100"/>
        <v>2084</v>
      </c>
      <c r="BZ175" s="134">
        <f t="shared" si="100"/>
        <v>2085</v>
      </c>
      <c r="CA175" s="134">
        <f t="shared" si="100"/>
        <v>2086</v>
      </c>
      <c r="CB175" s="134">
        <f t="shared" si="100"/>
        <v>2087</v>
      </c>
    </row>
    <row r="176" spans="2:80">
      <c r="B176" s="1">
        <v>2013</v>
      </c>
      <c r="C176" s="12">
        <f t="shared" ref="C176:C195" si="101">$B176+$C$33-$C$32</f>
        <v>2026</v>
      </c>
      <c r="E176" s="192">
        <f t="shared" ref="E176:R185" si="102">IF(E$175&gt;=$C176,E$131*HLOOKUP(E$175-$C176+1,$E$47:$CB$49,3)*E$106*$C$30,0)</f>
        <v>0</v>
      </c>
      <c r="F176" s="192">
        <f t="shared" si="102"/>
        <v>0</v>
      </c>
      <c r="G176" s="192">
        <f t="shared" si="102"/>
        <v>0</v>
      </c>
      <c r="H176" s="192">
        <f t="shared" si="102"/>
        <v>0</v>
      </c>
      <c r="I176" s="192">
        <f t="shared" si="102"/>
        <v>0</v>
      </c>
      <c r="J176" s="192">
        <f t="shared" si="102"/>
        <v>0</v>
      </c>
      <c r="K176" s="192">
        <f t="shared" si="102"/>
        <v>0</v>
      </c>
      <c r="L176" s="192">
        <f t="shared" si="102"/>
        <v>0</v>
      </c>
      <c r="M176" s="192">
        <f t="shared" si="102"/>
        <v>0</v>
      </c>
      <c r="N176" s="192">
        <f t="shared" si="102"/>
        <v>0</v>
      </c>
      <c r="O176" s="192">
        <f t="shared" si="102"/>
        <v>0</v>
      </c>
      <c r="P176" s="192">
        <f t="shared" si="102"/>
        <v>0</v>
      </c>
      <c r="Q176" s="192">
        <f t="shared" si="102"/>
        <v>0</v>
      </c>
      <c r="R176" s="192">
        <f t="shared" si="102"/>
        <v>0</v>
      </c>
      <c r="S176" s="192">
        <f t="shared" ref="S176:AX176" si="103">IF(S$175&gt;=$C176,$D138*HLOOKUP(S$175-$C176+1,$E$47:$CB$49,3)*S$106*$C$30,0)</f>
        <v>0</v>
      </c>
      <c r="T176" s="192">
        <f t="shared" si="103"/>
        <v>0</v>
      </c>
      <c r="U176" s="192">
        <f t="shared" si="103"/>
        <v>0</v>
      </c>
      <c r="V176" s="192">
        <f t="shared" si="103"/>
        <v>0</v>
      </c>
      <c r="W176" s="192">
        <f t="shared" si="103"/>
        <v>0</v>
      </c>
      <c r="X176" s="192">
        <f t="shared" si="103"/>
        <v>0</v>
      </c>
      <c r="Y176" s="192">
        <f t="shared" si="103"/>
        <v>0</v>
      </c>
      <c r="Z176" s="192">
        <f t="shared" si="103"/>
        <v>0</v>
      </c>
      <c r="AA176" s="192">
        <f t="shared" si="103"/>
        <v>0</v>
      </c>
      <c r="AB176" s="192">
        <f t="shared" si="103"/>
        <v>0</v>
      </c>
      <c r="AC176" s="192">
        <f t="shared" si="103"/>
        <v>0</v>
      </c>
      <c r="AD176" s="192">
        <f t="shared" si="103"/>
        <v>0</v>
      </c>
      <c r="AE176" s="192">
        <f t="shared" si="103"/>
        <v>0</v>
      </c>
      <c r="AF176" s="192">
        <f t="shared" si="103"/>
        <v>0</v>
      </c>
      <c r="AG176" s="192">
        <f t="shared" si="103"/>
        <v>0</v>
      </c>
      <c r="AH176" s="192">
        <f t="shared" si="103"/>
        <v>0</v>
      </c>
      <c r="AI176" s="192">
        <f t="shared" si="103"/>
        <v>0</v>
      </c>
      <c r="AJ176" s="192">
        <f t="shared" si="103"/>
        <v>0</v>
      </c>
      <c r="AK176" s="192">
        <f t="shared" si="103"/>
        <v>0</v>
      </c>
      <c r="AL176" s="192">
        <f t="shared" si="103"/>
        <v>0</v>
      </c>
      <c r="AM176" s="192">
        <f t="shared" si="103"/>
        <v>0</v>
      </c>
      <c r="AN176" s="192">
        <f t="shared" si="103"/>
        <v>0</v>
      </c>
      <c r="AO176" s="192">
        <f t="shared" si="103"/>
        <v>0</v>
      </c>
      <c r="AP176" s="192">
        <f t="shared" si="103"/>
        <v>0</v>
      </c>
      <c r="AQ176" s="192">
        <f t="shared" si="103"/>
        <v>0</v>
      </c>
      <c r="AR176" s="192">
        <f t="shared" si="103"/>
        <v>0</v>
      </c>
      <c r="AS176" s="192">
        <f t="shared" si="103"/>
        <v>0</v>
      </c>
      <c r="AT176" s="192">
        <f t="shared" si="103"/>
        <v>0</v>
      </c>
      <c r="AU176" s="192">
        <f t="shared" si="103"/>
        <v>0</v>
      </c>
      <c r="AV176" s="192">
        <f t="shared" si="103"/>
        <v>0</v>
      </c>
      <c r="AW176" s="192">
        <f t="shared" si="103"/>
        <v>0</v>
      </c>
      <c r="AX176" s="192">
        <f t="shared" si="103"/>
        <v>0</v>
      </c>
      <c r="AY176" s="192">
        <f t="shared" ref="AY176:CB176" si="104">IF(AY$175&gt;=$C176,$D138*HLOOKUP(AY$175-$C176+1,$E$47:$CB$49,3)*AY$106*$C$30,0)</f>
        <v>0</v>
      </c>
      <c r="AZ176" s="192">
        <f t="shared" si="104"/>
        <v>0</v>
      </c>
      <c r="BA176" s="192">
        <f t="shared" si="104"/>
        <v>0</v>
      </c>
      <c r="BB176" s="192">
        <f t="shared" si="104"/>
        <v>0</v>
      </c>
      <c r="BC176" s="192">
        <f t="shared" si="104"/>
        <v>0</v>
      </c>
      <c r="BD176" s="192">
        <f t="shared" si="104"/>
        <v>0</v>
      </c>
      <c r="BE176" s="192">
        <f t="shared" si="104"/>
        <v>0</v>
      </c>
      <c r="BF176" s="192">
        <f t="shared" si="104"/>
        <v>0</v>
      </c>
      <c r="BG176" s="192">
        <f t="shared" si="104"/>
        <v>0</v>
      </c>
      <c r="BH176" s="192">
        <f t="shared" si="104"/>
        <v>0</v>
      </c>
      <c r="BI176" s="192">
        <f t="shared" si="104"/>
        <v>0</v>
      </c>
      <c r="BJ176" s="192">
        <f t="shared" si="104"/>
        <v>0</v>
      </c>
      <c r="BK176" s="192">
        <f t="shared" si="104"/>
        <v>0</v>
      </c>
      <c r="BL176" s="192">
        <f t="shared" si="104"/>
        <v>0</v>
      </c>
      <c r="BM176" s="192">
        <f t="shared" si="104"/>
        <v>0</v>
      </c>
      <c r="BN176" s="192">
        <f t="shared" si="104"/>
        <v>0</v>
      </c>
      <c r="BO176" s="192">
        <f t="shared" si="104"/>
        <v>0</v>
      </c>
      <c r="BP176" s="192">
        <f t="shared" si="104"/>
        <v>0</v>
      </c>
      <c r="BQ176" s="192">
        <f t="shared" si="104"/>
        <v>0</v>
      </c>
      <c r="BR176" s="192">
        <f t="shared" si="104"/>
        <v>0</v>
      </c>
      <c r="BS176" s="192">
        <f t="shared" si="104"/>
        <v>0</v>
      </c>
      <c r="BT176" s="192">
        <f t="shared" si="104"/>
        <v>0</v>
      </c>
      <c r="BU176" s="192">
        <f t="shared" si="104"/>
        <v>0</v>
      </c>
      <c r="BV176" s="192">
        <f t="shared" si="104"/>
        <v>0</v>
      </c>
      <c r="BW176" s="192">
        <f t="shared" si="104"/>
        <v>0</v>
      </c>
      <c r="BX176" s="192">
        <f t="shared" si="104"/>
        <v>0</v>
      </c>
      <c r="BY176" s="192">
        <f t="shared" si="104"/>
        <v>0</v>
      </c>
      <c r="BZ176" s="192">
        <f t="shared" si="104"/>
        <v>0</v>
      </c>
      <c r="CA176" s="192">
        <f t="shared" si="104"/>
        <v>0</v>
      </c>
      <c r="CB176" s="192">
        <f t="shared" si="104"/>
        <v>0</v>
      </c>
    </row>
    <row r="177" spans="2:80">
      <c r="B177" s="1">
        <v>2014</v>
      </c>
      <c r="C177" s="12">
        <f t="shared" si="101"/>
        <v>2027</v>
      </c>
      <c r="E177" s="192">
        <f t="shared" si="102"/>
        <v>0</v>
      </c>
      <c r="F177" s="192">
        <f t="shared" si="102"/>
        <v>0</v>
      </c>
      <c r="G177" s="192">
        <f t="shared" si="102"/>
        <v>0</v>
      </c>
      <c r="H177" s="192">
        <f t="shared" si="102"/>
        <v>0</v>
      </c>
      <c r="I177" s="192">
        <f t="shared" si="102"/>
        <v>0</v>
      </c>
      <c r="J177" s="192">
        <f t="shared" si="102"/>
        <v>0</v>
      </c>
      <c r="K177" s="192">
        <f t="shared" si="102"/>
        <v>0</v>
      </c>
      <c r="L177" s="192">
        <f t="shared" si="102"/>
        <v>0</v>
      </c>
      <c r="M177" s="192">
        <f t="shared" si="102"/>
        <v>0</v>
      </c>
      <c r="N177" s="192">
        <f t="shared" si="102"/>
        <v>0</v>
      </c>
      <c r="O177" s="192">
        <f t="shared" si="102"/>
        <v>0</v>
      </c>
      <c r="P177" s="192">
        <f t="shared" si="102"/>
        <v>0</v>
      </c>
      <c r="Q177" s="192">
        <f t="shared" si="102"/>
        <v>0</v>
      </c>
      <c r="R177" s="192">
        <f t="shared" si="102"/>
        <v>0</v>
      </c>
      <c r="S177" s="192">
        <f t="shared" ref="S177:AX177" si="105">IF(S$175&gt;=$C177,$D139*HLOOKUP(S$175-$C177+1,$E$47:$CB$49,3)*S$106*$C$30,0)</f>
        <v>0</v>
      </c>
      <c r="T177" s="192">
        <f t="shared" si="105"/>
        <v>4376.8536218780464</v>
      </c>
      <c r="U177" s="192">
        <f t="shared" si="105"/>
        <v>5355.0693988587091</v>
      </c>
      <c r="V177" s="192">
        <f t="shared" si="105"/>
        <v>6214.9617557493248</v>
      </c>
      <c r="W177" s="192">
        <f t="shared" si="105"/>
        <v>6977.7948648179545</v>
      </c>
      <c r="X177" s="192">
        <f t="shared" si="105"/>
        <v>7661.2764878974695</v>
      </c>
      <c r="Y177" s="192">
        <f t="shared" si="105"/>
        <v>8280.1595824105789</v>
      </c>
      <c r="Z177" s="192">
        <f t="shared" si="105"/>
        <v>8846.742326588972</v>
      </c>
      <c r="AA177" s="192">
        <f t="shared" si="105"/>
        <v>9371.2837208535548</v>
      </c>
      <c r="AB177" s="192">
        <f t="shared" si="105"/>
        <v>9862.3490246558795</v>
      </c>
      <c r="AC177" s="192">
        <f t="shared" si="105"/>
        <v>10327.096879809318</v>
      </c>
      <c r="AD177" s="192">
        <f t="shared" si="105"/>
        <v>10771.517969806813</v>
      </c>
      <c r="AE177" s="192">
        <f t="shared" si="105"/>
        <v>11200.633401135152</v>
      </c>
      <c r="AF177" s="192">
        <f t="shared" si="105"/>
        <v>11618.659610060095</v>
      </c>
      <c r="AG177" s="192">
        <f t="shared" si="105"/>
        <v>12029.145449321742</v>
      </c>
      <c r="AH177" s="192">
        <f t="shared" si="105"/>
        <v>12435.086154208975</v>
      </c>
      <c r="AI177" s="192">
        <f t="shared" si="105"/>
        <v>12839.018093799235</v>
      </c>
      <c r="AJ177" s="192">
        <f t="shared" si="105"/>
        <v>13243.097553515277</v>
      </c>
      <c r="AK177" s="192">
        <f t="shared" si="105"/>
        <v>13649.166246924049</v>
      </c>
      <c r="AL177" s="192">
        <f t="shared" si="105"/>
        <v>14058.805799068317</v>
      </c>
      <c r="AM177" s="192">
        <f t="shared" si="105"/>
        <v>14473.383064941356</v>
      </c>
      <c r="AN177" s="192">
        <f t="shared" si="105"/>
        <v>14894.08783199177</v>
      </c>
      <c r="AO177" s="192">
        <f t="shared" si="105"/>
        <v>15321.964193977159</v>
      </c>
      <c r="AP177" s="192">
        <f t="shared" si="105"/>
        <v>15757.936666095164</v>
      </c>
      <c r="AQ177" s="192">
        <f t="shared" si="105"/>
        <v>16202.831930646285</v>
      </c>
      <c r="AR177" s="192">
        <f t="shared" si="105"/>
        <v>16657.396952324194</v>
      </c>
      <c r="AS177" s="192">
        <f t="shared" si="105"/>
        <v>17122.314077432115</v>
      </c>
      <c r="AT177" s="192">
        <f t="shared" si="105"/>
        <v>17598.213627604888</v>
      </c>
      <c r="AU177" s="192">
        <f t="shared" si="105"/>
        <v>18085.684412415481</v>
      </c>
      <c r="AV177" s="192">
        <f t="shared" si="105"/>
        <v>18585.282513603575</v>
      </c>
      <c r="AW177" s="192">
        <f t="shared" si="105"/>
        <v>19097.538634123295</v>
      </c>
      <c r="AX177" s="192">
        <f t="shared" si="105"/>
        <v>19622.964255723269</v>
      </c>
      <c r="AY177" s="192">
        <f t="shared" ref="AY177:CB177" si="106">IF(AY$175&gt;=$C177,$D139*HLOOKUP(AY$175-$C177+1,$E$47:$CB$49,3)*AY$106*$C$30,0)</f>
        <v>20162.056807647139</v>
      </c>
      <c r="AZ177" s="192">
        <f t="shared" si="106"/>
        <v>20715.304014863868</v>
      </c>
      <c r="BA177" s="192">
        <f t="shared" si="106"/>
        <v>21283.187565832319</v>
      </c>
      <c r="BB177" s="192">
        <f t="shared" si="106"/>
        <v>21866.186216197781</v>
      </c>
      <c r="BC177" s="192">
        <f t="shared" si="106"/>
        <v>22464.778425199896</v>
      </c>
      <c r="BD177" s="192">
        <f t="shared" si="106"/>
        <v>23079.444605266952</v>
      </c>
      <c r="BE177" s="192">
        <f t="shared" si="106"/>
        <v>23710.669051722827</v>
      </c>
      <c r="BF177" s="192">
        <f t="shared" si="106"/>
        <v>24358.941608272537</v>
      </c>
      <c r="BG177" s="192">
        <f t="shared" si="106"/>
        <v>25024.759114575994</v>
      </c>
      <c r="BH177" s="192">
        <f t="shared" si="106"/>
        <v>25708.626674443876</v>
      </c>
      <c r="BI177" s="192">
        <f t="shared" si="106"/>
        <v>0</v>
      </c>
      <c r="BJ177" s="192">
        <f t="shared" si="106"/>
        <v>0</v>
      </c>
      <c r="BK177" s="192">
        <f t="shared" si="106"/>
        <v>0</v>
      </c>
      <c r="BL177" s="192">
        <f t="shared" si="106"/>
        <v>0</v>
      </c>
      <c r="BM177" s="192">
        <f t="shared" si="106"/>
        <v>0</v>
      </c>
      <c r="BN177" s="192">
        <f t="shared" si="106"/>
        <v>0</v>
      </c>
      <c r="BO177" s="192">
        <f t="shared" si="106"/>
        <v>0</v>
      </c>
      <c r="BP177" s="192">
        <f t="shared" si="106"/>
        <v>0</v>
      </c>
      <c r="BQ177" s="192">
        <f t="shared" si="106"/>
        <v>0</v>
      </c>
      <c r="BR177" s="192">
        <f t="shared" si="106"/>
        <v>0</v>
      </c>
      <c r="BS177" s="192">
        <f t="shared" si="106"/>
        <v>0</v>
      </c>
      <c r="BT177" s="192">
        <f t="shared" si="106"/>
        <v>0</v>
      </c>
      <c r="BU177" s="192">
        <f t="shared" si="106"/>
        <v>0</v>
      </c>
      <c r="BV177" s="192">
        <f t="shared" si="106"/>
        <v>0</v>
      </c>
      <c r="BW177" s="192">
        <f t="shared" si="106"/>
        <v>0</v>
      </c>
      <c r="BX177" s="192">
        <f t="shared" si="106"/>
        <v>0</v>
      </c>
      <c r="BY177" s="192">
        <f t="shared" si="106"/>
        <v>0</v>
      </c>
      <c r="BZ177" s="192">
        <f t="shared" si="106"/>
        <v>0</v>
      </c>
      <c r="CA177" s="192">
        <f t="shared" si="106"/>
        <v>0</v>
      </c>
      <c r="CB177" s="192">
        <f t="shared" si="106"/>
        <v>0</v>
      </c>
    </row>
    <row r="178" spans="2:80">
      <c r="B178" s="1">
        <v>2015</v>
      </c>
      <c r="C178" s="12">
        <f t="shared" si="101"/>
        <v>2028</v>
      </c>
      <c r="E178" s="192">
        <f t="shared" si="102"/>
        <v>0</v>
      </c>
      <c r="F178" s="192">
        <f t="shared" si="102"/>
        <v>0</v>
      </c>
      <c r="G178" s="192">
        <f t="shared" si="102"/>
        <v>0</v>
      </c>
      <c r="H178" s="192">
        <f t="shared" si="102"/>
        <v>0</v>
      </c>
      <c r="I178" s="192">
        <f t="shared" si="102"/>
        <v>0</v>
      </c>
      <c r="J178" s="192">
        <f t="shared" si="102"/>
        <v>0</v>
      </c>
      <c r="K178" s="192">
        <f t="shared" si="102"/>
        <v>0</v>
      </c>
      <c r="L178" s="192">
        <f t="shared" si="102"/>
        <v>0</v>
      </c>
      <c r="M178" s="192">
        <f t="shared" si="102"/>
        <v>0</v>
      </c>
      <c r="N178" s="192">
        <f t="shared" si="102"/>
        <v>0</v>
      </c>
      <c r="O178" s="192">
        <f t="shared" si="102"/>
        <v>0</v>
      </c>
      <c r="P178" s="192">
        <f t="shared" si="102"/>
        <v>0</v>
      </c>
      <c r="Q178" s="192">
        <f t="shared" si="102"/>
        <v>0</v>
      </c>
      <c r="R178" s="192">
        <f t="shared" si="102"/>
        <v>0</v>
      </c>
      <c r="S178" s="192">
        <f t="shared" ref="S178:AX178" si="107">IF(S$175&gt;=$C178,$D140*HLOOKUP(S$175-$C178+1,$E$47:$CB$49,3)*S$106*$C$30,0)</f>
        <v>0</v>
      </c>
      <c r="T178" s="192">
        <f t="shared" si="107"/>
        <v>0</v>
      </c>
      <c r="U178" s="192">
        <f t="shared" si="107"/>
        <v>22481.761086063681</v>
      </c>
      <c r="V178" s="192">
        <f t="shared" si="107"/>
        <v>27506.378148596596</v>
      </c>
      <c r="W178" s="192">
        <f t="shared" si="107"/>
        <v>31923.225545711965</v>
      </c>
      <c r="X178" s="192">
        <f t="shared" si="107"/>
        <v>35841.526953119181</v>
      </c>
      <c r="Y178" s="192">
        <f t="shared" si="107"/>
        <v>39352.238501703105</v>
      </c>
      <c r="Z178" s="192">
        <f t="shared" si="107"/>
        <v>42531.138934082061</v>
      </c>
      <c r="AA178" s="192">
        <f t="shared" si="107"/>
        <v>45441.397990138721</v>
      </c>
      <c r="AB178" s="192">
        <f t="shared" si="107"/>
        <v>48135.711148490816</v>
      </c>
      <c r="AC178" s="192">
        <f t="shared" si="107"/>
        <v>50658.073966967269</v>
      </c>
      <c r="AD178" s="192">
        <f t="shared" si="107"/>
        <v>53045.2568950399</v>
      </c>
      <c r="AE178" s="192">
        <f t="shared" si="107"/>
        <v>55328.031150269511</v>
      </c>
      <c r="AF178" s="192">
        <f t="shared" si="107"/>
        <v>57532.187706304248</v>
      </c>
      <c r="AG178" s="192">
        <f t="shared" si="107"/>
        <v>59679.384338557851</v>
      </c>
      <c r="AH178" s="192">
        <f t="shared" si="107"/>
        <v>61787.849771663401</v>
      </c>
      <c r="AI178" s="192">
        <f t="shared" si="107"/>
        <v>63872.969067580612</v>
      </c>
      <c r="AJ178" s="192">
        <f t="shared" si="107"/>
        <v>65947.770316474547</v>
      </c>
      <c r="AK178" s="192">
        <f t="shared" si="107"/>
        <v>68023.329304262617</v>
      </c>
      <c r="AL178" s="192">
        <f t="shared" si="107"/>
        <v>70109.106014754681</v>
      </c>
      <c r="AM178" s="192">
        <f t="shared" si="107"/>
        <v>72213.224483938931</v>
      </c>
      <c r="AN178" s="192">
        <f t="shared" si="107"/>
        <v>74342.705578870286</v>
      </c>
      <c r="AO178" s="192">
        <f t="shared" si="107"/>
        <v>76503.66065703833</v>
      </c>
      <c r="AP178" s="192">
        <f t="shared" si="107"/>
        <v>78701.45271854254</v>
      </c>
      <c r="AQ178" s="192">
        <f t="shared" si="107"/>
        <v>80940.830546776138</v>
      </c>
      <c r="AR178" s="192">
        <f t="shared" si="107"/>
        <v>83226.040405283507</v>
      </c>
      <c r="AS178" s="192">
        <f t="shared" si="107"/>
        <v>85560.919087166185</v>
      </c>
      <c r="AT178" s="192">
        <f t="shared" si="107"/>
        <v>87948.971472388745</v>
      </c>
      <c r="AU178" s="192">
        <f t="shared" si="107"/>
        <v>90393.435215583027</v>
      </c>
      <c r="AV178" s="192">
        <f t="shared" si="107"/>
        <v>92897.33474417754</v>
      </c>
      <c r="AW178" s="192">
        <f t="shared" si="107"/>
        <v>95463.526378692972</v>
      </c>
      <c r="AX178" s="192">
        <f t="shared" si="107"/>
        <v>98094.736081213632</v>
      </c>
      <c r="AY178" s="192">
        <f t="shared" ref="AY178:CB178" si="108">IF(AY$175&gt;=$C178,$D140*HLOOKUP(AY$175-$C178+1,$E$47:$CB$49,3)*AY$106*$C$30,0)</f>
        <v>100793.59108387155</v>
      </c>
      <c r="AZ178" s="192">
        <f t="shared" si="108"/>
        <v>103562.64643793849</v>
      </c>
      <c r="BA178" s="192">
        <f t="shared" si="108"/>
        <v>106404.40734856307</v>
      </c>
      <c r="BB178" s="192">
        <f t="shared" si="108"/>
        <v>109321.3480142872</v>
      </c>
      <c r="BC178" s="192">
        <f t="shared" si="108"/>
        <v>112315.92756922105</v>
      </c>
      <c r="BD178" s="192">
        <f t="shared" si="108"/>
        <v>115390.60362498328</v>
      </c>
      <c r="BE178" s="192">
        <f t="shared" si="108"/>
        <v>118547.84382576968</v>
      </c>
      <c r="BF178" s="192">
        <f t="shared" si="108"/>
        <v>121790.13576031568</v>
      </c>
      <c r="BG178" s="192">
        <f t="shared" si="108"/>
        <v>125119.995516683</v>
      </c>
      <c r="BH178" s="192">
        <f t="shared" si="108"/>
        <v>128539.97511773946</v>
      </c>
      <c r="BI178" s="192">
        <f t="shared" si="108"/>
        <v>132052.66903526237</v>
      </c>
      <c r="BJ178" s="192">
        <f t="shared" si="108"/>
        <v>0</v>
      </c>
      <c r="BK178" s="192">
        <f t="shared" si="108"/>
        <v>0</v>
      </c>
      <c r="BL178" s="192">
        <f t="shared" si="108"/>
        <v>0</v>
      </c>
      <c r="BM178" s="192">
        <f t="shared" si="108"/>
        <v>0</v>
      </c>
      <c r="BN178" s="192">
        <f t="shared" si="108"/>
        <v>0</v>
      </c>
      <c r="BO178" s="192">
        <f t="shared" si="108"/>
        <v>0</v>
      </c>
      <c r="BP178" s="192">
        <f t="shared" si="108"/>
        <v>0</v>
      </c>
      <c r="BQ178" s="192">
        <f t="shared" si="108"/>
        <v>0</v>
      </c>
      <c r="BR178" s="192">
        <f t="shared" si="108"/>
        <v>0</v>
      </c>
      <c r="BS178" s="192">
        <f t="shared" si="108"/>
        <v>0</v>
      </c>
      <c r="BT178" s="192">
        <f t="shared" si="108"/>
        <v>0</v>
      </c>
      <c r="BU178" s="192">
        <f t="shared" si="108"/>
        <v>0</v>
      </c>
      <c r="BV178" s="192">
        <f t="shared" si="108"/>
        <v>0</v>
      </c>
      <c r="BW178" s="192">
        <f t="shared" si="108"/>
        <v>0</v>
      </c>
      <c r="BX178" s="192">
        <f t="shared" si="108"/>
        <v>0</v>
      </c>
      <c r="BY178" s="192">
        <f t="shared" si="108"/>
        <v>0</v>
      </c>
      <c r="BZ178" s="192">
        <f t="shared" si="108"/>
        <v>0</v>
      </c>
      <c r="CA178" s="192">
        <f t="shared" si="108"/>
        <v>0</v>
      </c>
      <c r="CB178" s="192">
        <f t="shared" si="108"/>
        <v>0</v>
      </c>
    </row>
    <row r="179" spans="2:80">
      <c r="B179" s="1">
        <v>2016</v>
      </c>
      <c r="C179" s="12">
        <f t="shared" si="101"/>
        <v>2029</v>
      </c>
      <c r="E179" s="192">
        <f t="shared" si="102"/>
        <v>0</v>
      </c>
      <c r="F179" s="192">
        <f t="shared" si="102"/>
        <v>0</v>
      </c>
      <c r="G179" s="192">
        <f t="shared" si="102"/>
        <v>0</v>
      </c>
      <c r="H179" s="192">
        <f t="shared" si="102"/>
        <v>0</v>
      </c>
      <c r="I179" s="192">
        <f t="shared" si="102"/>
        <v>0</v>
      </c>
      <c r="J179" s="192">
        <f t="shared" si="102"/>
        <v>0</v>
      </c>
      <c r="K179" s="192">
        <f t="shared" si="102"/>
        <v>0</v>
      </c>
      <c r="L179" s="192">
        <f t="shared" si="102"/>
        <v>0</v>
      </c>
      <c r="M179" s="192">
        <f t="shared" si="102"/>
        <v>0</v>
      </c>
      <c r="N179" s="192">
        <f t="shared" si="102"/>
        <v>0</v>
      </c>
      <c r="O179" s="192">
        <f t="shared" si="102"/>
        <v>0</v>
      </c>
      <c r="P179" s="192">
        <f t="shared" si="102"/>
        <v>0</v>
      </c>
      <c r="Q179" s="192">
        <f t="shared" si="102"/>
        <v>0</v>
      </c>
      <c r="R179" s="192">
        <f t="shared" si="102"/>
        <v>0</v>
      </c>
      <c r="S179" s="192">
        <f t="shared" ref="S179:AX179" si="109">IF(S$175&gt;=$C179,$D141*HLOOKUP(S$175-$C179+1,$E$47:$CB$49,3)*S$106*$C$30,0)</f>
        <v>0</v>
      </c>
      <c r="T179" s="192">
        <f t="shared" si="109"/>
        <v>0</v>
      </c>
      <c r="U179" s="192">
        <f t="shared" si="109"/>
        <v>0</v>
      </c>
      <c r="V179" s="192">
        <f t="shared" si="109"/>
        <v>55429.360927703987</v>
      </c>
      <c r="W179" s="192">
        <f t="shared" si="109"/>
        <v>67817.683693720945</v>
      </c>
      <c r="X179" s="192">
        <f t="shared" si="109"/>
        <v>78707.534697833893</v>
      </c>
      <c r="Y179" s="192">
        <f t="shared" si="109"/>
        <v>88368.207725328131</v>
      </c>
      <c r="Z179" s="192">
        <f t="shared" si="109"/>
        <v>97023.957459282319</v>
      </c>
      <c r="AA179" s="192">
        <f t="shared" si="109"/>
        <v>104861.61834114246</v>
      </c>
      <c r="AB179" s="192">
        <f t="shared" si="109"/>
        <v>112036.93699139188</v>
      </c>
      <c r="AC179" s="192">
        <f t="shared" si="109"/>
        <v>118679.83546962266</v>
      </c>
      <c r="AD179" s="192">
        <f t="shared" si="109"/>
        <v>124898.78595667418</v>
      </c>
      <c r="AE179" s="192">
        <f t="shared" si="109"/>
        <v>130784.4469426641</v>
      </c>
      <c r="AF179" s="192">
        <f t="shared" si="109"/>
        <v>136412.68565693588</v>
      </c>
      <c r="AG179" s="192">
        <f t="shared" si="109"/>
        <v>141847.09040921082</v>
      </c>
      <c r="AH179" s="192">
        <f t="shared" si="109"/>
        <v>147141.05900252151</v>
      </c>
      <c r="AI179" s="192">
        <f t="shared" si="109"/>
        <v>152339.53482689286</v>
      </c>
      <c r="AJ179" s="192">
        <f t="shared" si="109"/>
        <v>157480.45014879623</v>
      </c>
      <c r="AK179" s="192">
        <f t="shared" si="109"/>
        <v>162595.92606004429</v>
      </c>
      <c r="AL179" s="192">
        <f t="shared" si="109"/>
        <v>167713.27019604982</v>
      </c>
      <c r="AM179" s="192">
        <f t="shared" si="109"/>
        <v>172855.8063905178</v>
      </c>
      <c r="AN179" s="192">
        <f t="shared" si="109"/>
        <v>178043.56466339433</v>
      </c>
      <c r="AO179" s="192">
        <f t="shared" si="109"/>
        <v>183293.855143211</v>
      </c>
      <c r="AP179" s="192">
        <f t="shared" si="109"/>
        <v>188621.74553924327</v>
      </c>
      <c r="AQ179" s="192">
        <f t="shared" si="109"/>
        <v>194040.4584663492</v>
      </c>
      <c r="AR179" s="192">
        <f t="shared" si="109"/>
        <v>199561.70217227947</v>
      </c>
      <c r="AS179" s="192">
        <f t="shared" si="109"/>
        <v>205195.94592915641</v>
      </c>
      <c r="AT179" s="192">
        <f t="shared" si="109"/>
        <v>210952.6494491802</v>
      </c>
      <c r="AU179" s="192">
        <f t="shared" si="109"/>
        <v>216840.4541041643</v>
      </c>
      <c r="AV179" s="192">
        <f t="shared" si="109"/>
        <v>222867.34241498235</v>
      </c>
      <c r="AW179" s="192">
        <f t="shared" si="109"/>
        <v>229040.77118534717</v>
      </c>
      <c r="AX179" s="192">
        <f t="shared" si="109"/>
        <v>235367.78274706085</v>
      </c>
      <c r="AY179" s="192">
        <f t="shared" ref="AY179:CB179" si="110">IF(AY$175&gt;=$C179,$D141*HLOOKUP(AY$175-$C179+1,$E$47:$CB$49,3)*AY$106*$C$30,0)</f>
        <v>241855.09802984371</v>
      </c>
      <c r="AZ179" s="192">
        <f t="shared" si="110"/>
        <v>248509.19454217606</v>
      </c>
      <c r="BA179" s="192">
        <f t="shared" si="110"/>
        <v>255336.37182876837</v>
      </c>
      <c r="BB179" s="192">
        <f t="shared" si="110"/>
        <v>262342.80653743068</v>
      </c>
      <c r="BC179" s="192">
        <f t="shared" si="110"/>
        <v>269534.59886838595</v>
      </c>
      <c r="BD179" s="192">
        <f t="shared" si="110"/>
        <v>276917.81188011233</v>
      </c>
      <c r="BE179" s="192">
        <f t="shared" si="110"/>
        <v>284498.50487734651</v>
      </c>
      <c r="BF179" s="192">
        <f t="shared" si="110"/>
        <v>292282.76190040191</v>
      </c>
      <c r="BG179" s="192">
        <f t="shared" si="110"/>
        <v>300276.71616336849</v>
      </c>
      <c r="BH179" s="192">
        <f t="shared" si="110"/>
        <v>308486.57114615879</v>
      </c>
      <c r="BI179" s="192">
        <f t="shared" si="110"/>
        <v>316918.61892687541</v>
      </c>
      <c r="BJ179" s="192">
        <f t="shared" si="110"/>
        <v>325579.25624250039</v>
      </c>
      <c r="BK179" s="192">
        <f t="shared" si="110"/>
        <v>0</v>
      </c>
      <c r="BL179" s="192">
        <f t="shared" si="110"/>
        <v>0</v>
      </c>
      <c r="BM179" s="192">
        <f t="shared" si="110"/>
        <v>0</v>
      </c>
      <c r="BN179" s="192">
        <f t="shared" si="110"/>
        <v>0</v>
      </c>
      <c r="BO179" s="192">
        <f t="shared" si="110"/>
        <v>0</v>
      </c>
      <c r="BP179" s="192">
        <f t="shared" si="110"/>
        <v>0</v>
      </c>
      <c r="BQ179" s="192">
        <f t="shared" si="110"/>
        <v>0</v>
      </c>
      <c r="BR179" s="192">
        <f t="shared" si="110"/>
        <v>0</v>
      </c>
      <c r="BS179" s="192">
        <f t="shared" si="110"/>
        <v>0</v>
      </c>
      <c r="BT179" s="192">
        <f t="shared" si="110"/>
        <v>0</v>
      </c>
      <c r="BU179" s="192">
        <f t="shared" si="110"/>
        <v>0</v>
      </c>
      <c r="BV179" s="192">
        <f t="shared" si="110"/>
        <v>0</v>
      </c>
      <c r="BW179" s="192">
        <f t="shared" si="110"/>
        <v>0</v>
      </c>
      <c r="BX179" s="192">
        <f t="shared" si="110"/>
        <v>0</v>
      </c>
      <c r="BY179" s="192">
        <f t="shared" si="110"/>
        <v>0</v>
      </c>
      <c r="BZ179" s="192">
        <f t="shared" si="110"/>
        <v>0</v>
      </c>
      <c r="CA179" s="192">
        <f t="shared" si="110"/>
        <v>0</v>
      </c>
      <c r="CB179" s="192">
        <f t="shared" si="110"/>
        <v>0</v>
      </c>
    </row>
    <row r="180" spans="2:80">
      <c r="B180" s="1">
        <v>2017</v>
      </c>
      <c r="C180" s="12">
        <f t="shared" si="101"/>
        <v>2030</v>
      </c>
      <c r="E180" s="192">
        <f t="shared" si="102"/>
        <v>0</v>
      </c>
      <c r="F180" s="192">
        <f t="shared" si="102"/>
        <v>0</v>
      </c>
      <c r="G180" s="192">
        <f t="shared" si="102"/>
        <v>0</v>
      </c>
      <c r="H180" s="192">
        <f t="shared" si="102"/>
        <v>0</v>
      </c>
      <c r="I180" s="192">
        <f t="shared" si="102"/>
        <v>0</v>
      </c>
      <c r="J180" s="192">
        <f t="shared" si="102"/>
        <v>0</v>
      </c>
      <c r="K180" s="192">
        <f t="shared" si="102"/>
        <v>0</v>
      </c>
      <c r="L180" s="192">
        <f t="shared" si="102"/>
        <v>0</v>
      </c>
      <c r="M180" s="192">
        <f t="shared" si="102"/>
        <v>0</v>
      </c>
      <c r="N180" s="192">
        <f t="shared" si="102"/>
        <v>0</v>
      </c>
      <c r="O180" s="192">
        <f t="shared" si="102"/>
        <v>0</v>
      </c>
      <c r="P180" s="192">
        <f t="shared" si="102"/>
        <v>0</v>
      </c>
      <c r="Q180" s="192">
        <f t="shared" si="102"/>
        <v>0</v>
      </c>
      <c r="R180" s="192">
        <f t="shared" si="102"/>
        <v>0</v>
      </c>
      <c r="S180" s="192">
        <f t="shared" ref="S180:AX180" si="111">IF(S$175&gt;=$C180,$D142*HLOOKUP(S$175-$C180+1,$E$47:$CB$49,3)*S$106*$C$30,0)</f>
        <v>0</v>
      </c>
      <c r="T180" s="192">
        <f t="shared" si="111"/>
        <v>0</v>
      </c>
      <c r="U180" s="192">
        <f t="shared" si="111"/>
        <v>0</v>
      </c>
      <c r="V180" s="192">
        <f t="shared" si="111"/>
        <v>0</v>
      </c>
      <c r="W180" s="192">
        <f t="shared" si="111"/>
        <v>90159.299299373</v>
      </c>
      <c r="X180" s="192">
        <f t="shared" si="111"/>
        <v>110309.67594786714</v>
      </c>
      <c r="Y180" s="192">
        <f t="shared" si="111"/>
        <v>128022.69517762116</v>
      </c>
      <c r="Z180" s="192">
        <f t="shared" si="111"/>
        <v>143736.38006125655</v>
      </c>
      <c r="AA180" s="192">
        <f t="shared" si="111"/>
        <v>157815.49477343785</v>
      </c>
      <c r="AB180" s="192">
        <f t="shared" si="111"/>
        <v>170563.93714094555</v>
      </c>
      <c r="AC180" s="192">
        <f t="shared" si="111"/>
        <v>182235.03871832046</v>
      </c>
      <c r="AD180" s="192">
        <f t="shared" si="111"/>
        <v>193040.12580736924</v>
      </c>
      <c r="AE180" s="192">
        <f t="shared" si="111"/>
        <v>203155.63514945548</v>
      </c>
      <c r="AF180" s="192">
        <f t="shared" si="111"/>
        <v>212729.02841124366</v>
      </c>
      <c r="AG180" s="192">
        <f t="shared" si="111"/>
        <v>221883.70835478828</v>
      </c>
      <c r="AH180" s="192">
        <f t="shared" si="111"/>
        <v>230723.10531650583</v>
      </c>
      <c r="AI180" s="192">
        <f t="shared" si="111"/>
        <v>239334.07414056134</v>
      </c>
      <c r="AJ180" s="192">
        <f t="shared" si="111"/>
        <v>247789.71804310181</v>
      </c>
      <c r="AK180" s="192">
        <f t="shared" si="111"/>
        <v>256151.73621222263</v>
      </c>
      <c r="AL180" s="192">
        <f t="shared" si="111"/>
        <v>264472.37559939676</v>
      </c>
      <c r="AM180" s="192">
        <f t="shared" si="111"/>
        <v>272796.0537702092</v>
      </c>
      <c r="AN180" s="192">
        <f t="shared" si="111"/>
        <v>281160.70838925894</v>
      </c>
      <c r="AO180" s="192">
        <f t="shared" si="111"/>
        <v>289598.91952842625</v>
      </c>
      <c r="AP180" s="192">
        <f t="shared" si="111"/>
        <v>298138.8431872222</v>
      </c>
      <c r="AQ180" s="192">
        <f t="shared" si="111"/>
        <v>306804.98793091963</v>
      </c>
      <c r="AR180" s="192">
        <f t="shared" si="111"/>
        <v>315618.86116408807</v>
      </c>
      <c r="AS180" s="192">
        <f t="shared" si="111"/>
        <v>324599.50707911164</v>
      </c>
      <c r="AT180" s="192">
        <f t="shared" si="111"/>
        <v>333763.95459753857</v>
      </c>
      <c r="AU180" s="192">
        <f t="shared" si="111"/>
        <v>343127.59052898176</v>
      </c>
      <c r="AV180" s="192">
        <f t="shared" si="111"/>
        <v>352704.47060157219</v>
      </c>
      <c r="AW180" s="192">
        <f t="shared" si="111"/>
        <v>362507.57888145419</v>
      </c>
      <c r="AX180" s="192">
        <f t="shared" si="111"/>
        <v>372549.04432314739</v>
      </c>
      <c r="AY180" s="192">
        <f t="shared" ref="AY180:CB180" si="112">IF(AY$175&gt;=$C180,$D142*HLOOKUP(AY$175-$C180+1,$E$47:$CB$49,3)*AY$106*$C$30,0)</f>
        <v>382840.32171685854</v>
      </c>
      <c r="AZ180" s="192">
        <f t="shared" si="112"/>
        <v>393392.34307233989</v>
      </c>
      <c r="BA180" s="192">
        <f t="shared" si="112"/>
        <v>404215.64445957344</v>
      </c>
      <c r="BB180" s="192">
        <f t="shared" si="112"/>
        <v>415320.4724794128</v>
      </c>
      <c r="BC180" s="192">
        <f t="shared" si="112"/>
        <v>426716.87383326772</v>
      </c>
      <c r="BD180" s="192">
        <f t="shared" si="112"/>
        <v>438414.77087579801</v>
      </c>
      <c r="BE180" s="192">
        <f t="shared" si="112"/>
        <v>450424.02554830798</v>
      </c>
      <c r="BF180" s="192">
        <f t="shared" si="112"/>
        <v>462754.49368640786</v>
      </c>
      <c r="BG180" s="192">
        <f t="shared" si="112"/>
        <v>475416.07135966083</v>
      </c>
      <c r="BH180" s="192">
        <f t="shared" si="112"/>
        <v>488418.73462183226</v>
      </c>
      <c r="BI180" s="192">
        <f t="shared" si="112"/>
        <v>501772.57381841383</v>
      </c>
      <c r="BJ180" s="192">
        <f t="shared" si="112"/>
        <v>515487.82340535749</v>
      </c>
      <c r="BK180" s="192">
        <f t="shared" si="112"/>
        <v>529574.88807278499</v>
      </c>
      <c r="BL180" s="192">
        <f t="shared" si="112"/>
        <v>0</v>
      </c>
      <c r="BM180" s="192">
        <f t="shared" si="112"/>
        <v>0</v>
      </c>
      <c r="BN180" s="192">
        <f t="shared" si="112"/>
        <v>0</v>
      </c>
      <c r="BO180" s="192">
        <f t="shared" si="112"/>
        <v>0</v>
      </c>
      <c r="BP180" s="192">
        <f t="shared" si="112"/>
        <v>0</v>
      </c>
      <c r="BQ180" s="192">
        <f t="shared" si="112"/>
        <v>0</v>
      </c>
      <c r="BR180" s="192">
        <f t="shared" si="112"/>
        <v>0</v>
      </c>
      <c r="BS180" s="192">
        <f t="shared" si="112"/>
        <v>0</v>
      </c>
      <c r="BT180" s="192">
        <f t="shared" si="112"/>
        <v>0</v>
      </c>
      <c r="BU180" s="192">
        <f t="shared" si="112"/>
        <v>0</v>
      </c>
      <c r="BV180" s="192">
        <f t="shared" si="112"/>
        <v>0</v>
      </c>
      <c r="BW180" s="192">
        <f t="shared" si="112"/>
        <v>0</v>
      </c>
      <c r="BX180" s="192">
        <f t="shared" si="112"/>
        <v>0</v>
      </c>
      <c r="BY180" s="192">
        <f t="shared" si="112"/>
        <v>0</v>
      </c>
      <c r="BZ180" s="192">
        <f t="shared" si="112"/>
        <v>0</v>
      </c>
      <c r="CA180" s="192">
        <f t="shared" si="112"/>
        <v>0</v>
      </c>
      <c r="CB180" s="192">
        <f t="shared" si="112"/>
        <v>0</v>
      </c>
    </row>
    <row r="181" spans="2:80">
      <c r="B181" s="1">
        <v>2018</v>
      </c>
      <c r="C181" s="12">
        <f t="shared" si="101"/>
        <v>2031</v>
      </c>
      <c r="E181" s="192">
        <f t="shared" si="102"/>
        <v>0</v>
      </c>
      <c r="F181" s="192">
        <f t="shared" si="102"/>
        <v>0</v>
      </c>
      <c r="G181" s="192">
        <f t="shared" si="102"/>
        <v>0</v>
      </c>
      <c r="H181" s="192">
        <f t="shared" si="102"/>
        <v>0</v>
      </c>
      <c r="I181" s="192">
        <f t="shared" si="102"/>
        <v>0</v>
      </c>
      <c r="J181" s="192">
        <f t="shared" si="102"/>
        <v>0</v>
      </c>
      <c r="K181" s="192">
        <f t="shared" si="102"/>
        <v>0</v>
      </c>
      <c r="L181" s="192">
        <f t="shared" si="102"/>
        <v>0</v>
      </c>
      <c r="M181" s="192">
        <f t="shared" si="102"/>
        <v>0</v>
      </c>
      <c r="N181" s="192">
        <f t="shared" si="102"/>
        <v>0</v>
      </c>
      <c r="O181" s="192">
        <f t="shared" si="102"/>
        <v>0</v>
      </c>
      <c r="P181" s="192">
        <f t="shared" si="102"/>
        <v>0</v>
      </c>
      <c r="Q181" s="192">
        <f t="shared" si="102"/>
        <v>0</v>
      </c>
      <c r="R181" s="192">
        <f t="shared" si="102"/>
        <v>0</v>
      </c>
      <c r="S181" s="192">
        <f t="shared" ref="S181:AX181" si="113">IF(S$175&gt;=$C181,$D143*HLOOKUP(S$175-$C181+1,$E$47:$CB$49,3)*S$106*$C$30,0)</f>
        <v>0</v>
      </c>
      <c r="T181" s="192">
        <f t="shared" si="113"/>
        <v>0</v>
      </c>
      <c r="U181" s="192">
        <f t="shared" si="113"/>
        <v>0</v>
      </c>
      <c r="V181" s="192">
        <f t="shared" si="113"/>
        <v>0</v>
      </c>
      <c r="W181" s="192">
        <f t="shared" si="113"/>
        <v>0</v>
      </c>
      <c r="X181" s="192">
        <f t="shared" si="113"/>
        <v>97495.646615742662</v>
      </c>
      <c r="Y181" s="192">
        <f t="shared" si="113"/>
        <v>119285.67843899752</v>
      </c>
      <c r="Z181" s="192">
        <f t="shared" si="113"/>
        <v>138440.02276888918</v>
      </c>
      <c r="AA181" s="192">
        <f t="shared" si="113"/>
        <v>155432.34502905907</v>
      </c>
      <c r="AB181" s="192">
        <f t="shared" si="113"/>
        <v>170657.09059949045</v>
      </c>
      <c r="AC181" s="192">
        <f t="shared" si="113"/>
        <v>184442.88576008283</v>
      </c>
      <c r="AD181" s="192">
        <f t="shared" si="113"/>
        <v>197063.67589317664</v>
      </c>
      <c r="AE181" s="192">
        <f t="shared" si="113"/>
        <v>208747.98312130026</v>
      </c>
      <c r="AF181" s="192">
        <f t="shared" si="113"/>
        <v>219686.60101006131</v>
      </c>
      <c r="AG181" s="192">
        <f t="shared" si="113"/>
        <v>230038.99032118058</v>
      </c>
      <c r="AH181" s="192">
        <f t="shared" si="113"/>
        <v>239938.59521598328</v>
      </c>
      <c r="AI181" s="192">
        <f t="shared" si="113"/>
        <v>249497.26225502355</v>
      </c>
      <c r="AJ181" s="192">
        <f t="shared" si="113"/>
        <v>258808.91374314827</v>
      </c>
      <c r="AK181" s="192">
        <f t="shared" si="113"/>
        <v>267952.60137422971</v>
      </c>
      <c r="AL181" s="192">
        <f t="shared" si="113"/>
        <v>276995.04485755757</v>
      </c>
      <c r="AM181" s="192">
        <f t="shared" si="113"/>
        <v>285992.74252838013</v>
      </c>
      <c r="AN181" s="192">
        <f t="shared" si="113"/>
        <v>294993.72625153494</v>
      </c>
      <c r="AO181" s="192">
        <f t="shared" si="113"/>
        <v>304039.02071521198</v>
      </c>
      <c r="AP181" s="192">
        <f t="shared" si="113"/>
        <v>313163.85706250381</v>
      </c>
      <c r="AQ181" s="192">
        <f t="shared" si="113"/>
        <v>322398.6823731878</v>
      </c>
      <c r="AR181" s="192">
        <f t="shared" si="113"/>
        <v>331769.99949763523</v>
      </c>
      <c r="AS181" s="192">
        <f t="shared" si="113"/>
        <v>341301.06591823377</v>
      </c>
      <c r="AT181" s="192">
        <f t="shared" si="113"/>
        <v>351012.47547128401</v>
      </c>
      <c r="AU181" s="192">
        <f t="shared" si="113"/>
        <v>360922.64273776021</v>
      </c>
      <c r="AV181" s="192">
        <f t="shared" si="113"/>
        <v>371048.20656650217</v>
      </c>
      <c r="AW181" s="192">
        <f t="shared" si="113"/>
        <v>381404.3664135111</v>
      </c>
      <c r="AX181" s="192">
        <f t="shared" si="113"/>
        <v>392005.16287065344</v>
      </c>
      <c r="AY181" s="192">
        <f t="shared" ref="AY181:CB181" si="114">IF(AY$175&gt;=$C181,$D143*HLOOKUP(AY$175-$C181+1,$E$47:$CB$49,3)*AY$106*$C$30,0)</f>
        <v>402863.711836931</v>
      </c>
      <c r="AZ181" s="192">
        <f t="shared" si="114"/>
        <v>413992.4001896457</v>
      </c>
      <c r="BA181" s="192">
        <f t="shared" si="114"/>
        <v>425403.04948650562</v>
      </c>
      <c r="BB181" s="192">
        <f t="shared" si="114"/>
        <v>437107.05312745605</v>
      </c>
      <c r="BC181" s="192">
        <f t="shared" si="114"/>
        <v>449115.49148893723</v>
      </c>
      <c r="BD181" s="192">
        <f t="shared" si="114"/>
        <v>461439.22878193919</v>
      </c>
      <c r="BE181" s="192">
        <f t="shared" si="114"/>
        <v>474088.99475248955</v>
      </c>
      <c r="BF181" s="192">
        <f t="shared" si="114"/>
        <v>487075.45381736866</v>
      </c>
      <c r="BG181" s="192">
        <f t="shared" si="114"/>
        <v>500409.2637908365</v>
      </c>
      <c r="BH181" s="192">
        <f t="shared" si="114"/>
        <v>514101.12599498121</v>
      </c>
      <c r="BI181" s="192">
        <f t="shared" si="114"/>
        <v>528161.82824448263</v>
      </c>
      <c r="BJ181" s="192">
        <f t="shared" si="114"/>
        <v>542602.28194577305</v>
      </c>
      <c r="BK181" s="192">
        <f t="shared" si="114"/>
        <v>557433.55434214871</v>
      </c>
      <c r="BL181" s="192">
        <f t="shared" si="114"/>
        <v>572666.89676319133</v>
      </c>
      <c r="BM181" s="192">
        <f t="shared" si="114"/>
        <v>0</v>
      </c>
      <c r="BN181" s="192">
        <f t="shared" si="114"/>
        <v>0</v>
      </c>
      <c r="BO181" s="192">
        <f t="shared" si="114"/>
        <v>0</v>
      </c>
      <c r="BP181" s="192">
        <f t="shared" si="114"/>
        <v>0</v>
      </c>
      <c r="BQ181" s="192">
        <f t="shared" si="114"/>
        <v>0</v>
      </c>
      <c r="BR181" s="192">
        <f t="shared" si="114"/>
        <v>0</v>
      </c>
      <c r="BS181" s="192">
        <f t="shared" si="114"/>
        <v>0</v>
      </c>
      <c r="BT181" s="192">
        <f t="shared" si="114"/>
        <v>0</v>
      </c>
      <c r="BU181" s="192">
        <f t="shared" si="114"/>
        <v>0</v>
      </c>
      <c r="BV181" s="192">
        <f t="shared" si="114"/>
        <v>0</v>
      </c>
      <c r="BW181" s="192">
        <f t="shared" si="114"/>
        <v>0</v>
      </c>
      <c r="BX181" s="192">
        <f t="shared" si="114"/>
        <v>0</v>
      </c>
      <c r="BY181" s="192">
        <f t="shared" si="114"/>
        <v>0</v>
      </c>
      <c r="BZ181" s="192">
        <f t="shared" si="114"/>
        <v>0</v>
      </c>
      <c r="CA181" s="192">
        <f t="shared" si="114"/>
        <v>0</v>
      </c>
      <c r="CB181" s="192">
        <f t="shared" si="114"/>
        <v>0</v>
      </c>
    </row>
    <row r="182" spans="2:80">
      <c r="B182" s="1">
        <v>2019</v>
      </c>
      <c r="C182" s="12">
        <f t="shared" si="101"/>
        <v>2032</v>
      </c>
      <c r="E182" s="192">
        <f t="shared" si="102"/>
        <v>0</v>
      </c>
      <c r="F182" s="192">
        <f t="shared" si="102"/>
        <v>0</v>
      </c>
      <c r="G182" s="192">
        <f t="shared" si="102"/>
        <v>0</v>
      </c>
      <c r="H182" s="192">
        <f t="shared" si="102"/>
        <v>0</v>
      </c>
      <c r="I182" s="192">
        <f t="shared" si="102"/>
        <v>0</v>
      </c>
      <c r="J182" s="192">
        <f t="shared" si="102"/>
        <v>0</v>
      </c>
      <c r="K182" s="192">
        <f t="shared" si="102"/>
        <v>0</v>
      </c>
      <c r="L182" s="192">
        <f t="shared" si="102"/>
        <v>0</v>
      </c>
      <c r="M182" s="192">
        <f t="shared" si="102"/>
        <v>0</v>
      </c>
      <c r="N182" s="192">
        <f t="shared" si="102"/>
        <v>0</v>
      </c>
      <c r="O182" s="192">
        <f t="shared" si="102"/>
        <v>0</v>
      </c>
      <c r="P182" s="192">
        <f t="shared" si="102"/>
        <v>0</v>
      </c>
      <c r="Q182" s="192">
        <f t="shared" si="102"/>
        <v>0</v>
      </c>
      <c r="R182" s="192">
        <f t="shared" si="102"/>
        <v>0</v>
      </c>
      <c r="S182" s="192">
        <f t="shared" ref="S182:AB195" si="115">IF(S$175&gt;=$C182,$D$143*HLOOKUP(S$175-$C182+1,$E$47:$CB$49,3)*S$106*$C$30,0)</f>
        <v>0</v>
      </c>
      <c r="T182" s="192">
        <f t="shared" si="115"/>
        <v>0</v>
      </c>
      <c r="U182" s="192">
        <f t="shared" si="115"/>
        <v>0</v>
      </c>
      <c r="V182" s="192">
        <f t="shared" si="115"/>
        <v>0</v>
      </c>
      <c r="W182" s="192">
        <f t="shared" si="115"/>
        <v>0</v>
      </c>
      <c r="X182" s="192">
        <f t="shared" si="115"/>
        <v>0</v>
      </c>
      <c r="Y182" s="192">
        <f t="shared" si="115"/>
        <v>100157.51146852007</v>
      </c>
      <c r="Z182" s="192">
        <f t="shared" si="115"/>
        <v>122542.46339194948</v>
      </c>
      <c r="AA182" s="192">
        <f t="shared" si="115"/>
        <v>142219.76723562015</v>
      </c>
      <c r="AB182" s="192">
        <f t="shared" si="115"/>
        <v>159676.02062462983</v>
      </c>
      <c r="AC182" s="192">
        <f t="shared" ref="AC182:AL195" si="116">IF(AC$175&gt;=$C182,$D$143*HLOOKUP(AC$175-$C182+1,$E$47:$CB$49,3)*AC$106*$C$30,0)</f>
        <v>175316.43824333369</v>
      </c>
      <c r="AD182" s="192">
        <f t="shared" si="116"/>
        <v>189478.61865679995</v>
      </c>
      <c r="AE182" s="192">
        <f t="shared" si="116"/>
        <v>202443.98661296282</v>
      </c>
      <c r="AF182" s="192">
        <f t="shared" si="116"/>
        <v>214447.30343607045</v>
      </c>
      <c r="AG182" s="192">
        <f t="shared" si="116"/>
        <v>225684.57181340986</v>
      </c>
      <c r="AH182" s="192">
        <f t="shared" si="116"/>
        <v>236319.6061677293</v>
      </c>
      <c r="AI182" s="192">
        <f t="shared" si="116"/>
        <v>246489.49400582814</v>
      </c>
      <c r="AJ182" s="192">
        <f t="shared" si="116"/>
        <v>256309.13556746327</v>
      </c>
      <c r="AK182" s="192">
        <f t="shared" si="116"/>
        <v>265875.01746153878</v>
      </c>
      <c r="AL182" s="192">
        <f t="shared" si="116"/>
        <v>275268.34968265897</v>
      </c>
      <c r="AM182" s="192">
        <f t="shared" ref="AM182:AV195" si="117">IF(AM$175&gt;=$C182,$D$143*HLOOKUP(AM$175-$C182+1,$E$47:$CB$49,3)*AM$106*$C$30,0)</f>
        <v>284557.67354810645</v>
      </c>
      <c r="AN182" s="192">
        <f t="shared" si="117"/>
        <v>293801.02993311017</v>
      </c>
      <c r="AO182" s="192">
        <f t="shared" si="117"/>
        <v>303047.76208755147</v>
      </c>
      <c r="AP182" s="192">
        <f t="shared" si="117"/>
        <v>312340.01477194554</v>
      </c>
      <c r="AQ182" s="192">
        <f t="shared" si="117"/>
        <v>321713.9810240416</v>
      </c>
      <c r="AR182" s="192">
        <f t="shared" si="117"/>
        <v>331200.93920187745</v>
      </c>
      <c r="AS182" s="192">
        <f t="shared" si="117"/>
        <v>340828.11574716761</v>
      </c>
      <c r="AT182" s="192">
        <f t="shared" si="117"/>
        <v>350619.40312731807</v>
      </c>
      <c r="AU182" s="192">
        <f t="shared" si="117"/>
        <v>360595.95743972436</v>
      </c>
      <c r="AV182" s="192">
        <f t="shared" si="117"/>
        <v>370776.69602756156</v>
      </c>
      <c r="AW182" s="192">
        <f t="shared" ref="AW182:BF195" si="118">IF(AW$175&gt;=$C182,$D$143*HLOOKUP(AW$175-$C182+1,$E$47:$CB$49,3)*AW$106*$C$30,0)</f>
        <v>381178.71202012699</v>
      </c>
      <c r="AX182" s="192">
        <f t="shared" si="118"/>
        <v>391817.61985500396</v>
      </c>
      <c r="AY182" s="192">
        <f t="shared" si="118"/>
        <v>402707.84346587275</v>
      </c>
      <c r="AZ182" s="192">
        <f t="shared" si="118"/>
        <v>413862.85684721713</v>
      </c>
      <c r="BA182" s="192">
        <f t="shared" si="118"/>
        <v>425295.38506778103</v>
      </c>
      <c r="BB182" s="192">
        <f t="shared" si="118"/>
        <v>437017.57244213484</v>
      </c>
      <c r="BC182" s="192">
        <f t="shared" si="118"/>
        <v>449041.12343735236</v>
      </c>
      <c r="BD182" s="192">
        <f t="shared" si="118"/>
        <v>461377.42095071089</v>
      </c>
      <c r="BE182" s="192">
        <f t="shared" si="118"/>
        <v>474037.62581220234</v>
      </c>
      <c r="BF182" s="192">
        <f t="shared" si="118"/>
        <v>487032.76071564027</v>
      </c>
      <c r="BG182" s="192">
        <f t="shared" ref="BG182:BP195" si="119">IF(BG$175&gt;=$C182,$D$143*HLOOKUP(BG$175-$C182+1,$E$47:$CB$49,3)*BG$106*$C$30,0)</f>
        <v>500373.78124194621</v>
      </c>
      <c r="BH182" s="192">
        <f t="shared" si="119"/>
        <v>514071.63618925656</v>
      </c>
      <c r="BI182" s="192">
        <f t="shared" si="119"/>
        <v>528137.31905140379</v>
      </c>
      <c r="BJ182" s="192">
        <f t="shared" si="119"/>
        <v>542581.91217626748</v>
      </c>
      <c r="BK182" s="192">
        <f t="shared" si="119"/>
        <v>557416.62487783004</v>
      </c>
      <c r="BL182" s="192">
        <f t="shared" si="119"/>
        <v>572652.82656165864</v>
      </c>
      <c r="BM182" s="192">
        <f t="shared" si="119"/>
        <v>588302.07574560249</v>
      </c>
      <c r="BN182" s="192">
        <f t="shared" si="119"/>
        <v>0</v>
      </c>
      <c r="BO182" s="192">
        <f t="shared" si="119"/>
        <v>0</v>
      </c>
      <c r="BP182" s="192">
        <f t="shared" si="119"/>
        <v>0</v>
      </c>
      <c r="BQ182" s="192">
        <f t="shared" ref="BQ182:CB195" si="120">IF(BQ$175&gt;=$C182,$D$143*HLOOKUP(BQ$175-$C182+1,$E$47:$CB$49,3)*BQ$106*$C$30,0)</f>
        <v>0</v>
      </c>
      <c r="BR182" s="192">
        <f t="shared" si="120"/>
        <v>0</v>
      </c>
      <c r="BS182" s="192">
        <f t="shared" si="120"/>
        <v>0</v>
      </c>
      <c r="BT182" s="192">
        <f t="shared" si="120"/>
        <v>0</v>
      </c>
      <c r="BU182" s="192">
        <f t="shared" si="120"/>
        <v>0</v>
      </c>
      <c r="BV182" s="192">
        <f t="shared" si="120"/>
        <v>0</v>
      </c>
      <c r="BW182" s="192">
        <f t="shared" si="120"/>
        <v>0</v>
      </c>
      <c r="BX182" s="192">
        <f t="shared" si="120"/>
        <v>0</v>
      </c>
      <c r="BY182" s="192">
        <f t="shared" si="120"/>
        <v>0</v>
      </c>
      <c r="BZ182" s="192">
        <f t="shared" si="120"/>
        <v>0</v>
      </c>
      <c r="CA182" s="192">
        <f t="shared" si="120"/>
        <v>0</v>
      </c>
      <c r="CB182" s="192">
        <f t="shared" si="120"/>
        <v>0</v>
      </c>
    </row>
    <row r="183" spans="2:80">
      <c r="B183" s="1">
        <v>2020</v>
      </c>
      <c r="C183" s="12">
        <f t="shared" si="101"/>
        <v>2033</v>
      </c>
      <c r="E183" s="192">
        <f t="shared" si="102"/>
        <v>0</v>
      </c>
      <c r="F183" s="192">
        <f t="shared" si="102"/>
        <v>0</v>
      </c>
      <c r="G183" s="192">
        <f t="shared" si="102"/>
        <v>0</v>
      </c>
      <c r="H183" s="192">
        <f t="shared" si="102"/>
        <v>0</v>
      </c>
      <c r="I183" s="192">
        <f t="shared" si="102"/>
        <v>0</v>
      </c>
      <c r="J183" s="192">
        <f t="shared" si="102"/>
        <v>0</v>
      </c>
      <c r="K183" s="192">
        <f t="shared" si="102"/>
        <v>0</v>
      </c>
      <c r="L183" s="192">
        <f t="shared" si="102"/>
        <v>0</v>
      </c>
      <c r="M183" s="192">
        <f t="shared" si="102"/>
        <v>0</v>
      </c>
      <c r="N183" s="192">
        <f t="shared" si="102"/>
        <v>0</v>
      </c>
      <c r="O183" s="192">
        <f t="shared" si="102"/>
        <v>0</v>
      </c>
      <c r="P183" s="192">
        <f t="shared" si="102"/>
        <v>0</v>
      </c>
      <c r="Q183" s="192">
        <f t="shared" si="102"/>
        <v>0</v>
      </c>
      <c r="R183" s="192">
        <f t="shared" si="102"/>
        <v>0</v>
      </c>
      <c r="S183" s="192">
        <f t="shared" si="115"/>
        <v>0</v>
      </c>
      <c r="T183" s="192">
        <f t="shared" si="115"/>
        <v>0</v>
      </c>
      <c r="U183" s="192">
        <f t="shared" si="115"/>
        <v>0</v>
      </c>
      <c r="V183" s="192">
        <f t="shared" si="115"/>
        <v>0</v>
      </c>
      <c r="W183" s="192">
        <f t="shared" si="115"/>
        <v>0</v>
      </c>
      <c r="X183" s="192">
        <f t="shared" si="115"/>
        <v>0</v>
      </c>
      <c r="Y183" s="192">
        <f t="shared" si="115"/>
        <v>0</v>
      </c>
      <c r="Z183" s="192">
        <f t="shared" si="115"/>
        <v>102892.05161235304</v>
      </c>
      <c r="AA183" s="192">
        <f t="shared" si="115"/>
        <v>125888.16638073424</v>
      </c>
      <c r="AB183" s="192">
        <f t="shared" si="115"/>
        <v>146102.70778646058</v>
      </c>
      <c r="AC183" s="192">
        <f t="shared" si="116"/>
        <v>164035.55873618516</v>
      </c>
      <c r="AD183" s="192">
        <f t="shared" si="116"/>
        <v>180102.99724645843</v>
      </c>
      <c r="AE183" s="192">
        <f t="shared" si="116"/>
        <v>194651.83913240943</v>
      </c>
      <c r="AF183" s="192">
        <f t="shared" si="116"/>
        <v>207971.19271217514</v>
      </c>
      <c r="AG183" s="192">
        <f t="shared" si="116"/>
        <v>220302.22885688601</v>
      </c>
      <c r="AH183" s="192">
        <f t="shared" si="116"/>
        <v>231846.30159701672</v>
      </c>
      <c r="AI183" s="192">
        <f t="shared" si="116"/>
        <v>242771.69788172489</v>
      </c>
      <c r="AJ183" s="192">
        <f t="shared" si="116"/>
        <v>253219.2480353486</v>
      </c>
      <c r="AK183" s="192">
        <f t="shared" si="116"/>
        <v>263306.98934960971</v>
      </c>
      <c r="AL183" s="192">
        <f t="shared" si="116"/>
        <v>273134.04274911678</v>
      </c>
      <c r="AM183" s="192">
        <f t="shared" si="117"/>
        <v>282783.83545598981</v>
      </c>
      <c r="AN183" s="192">
        <f t="shared" si="117"/>
        <v>292326.78012976894</v>
      </c>
      <c r="AO183" s="192">
        <f t="shared" si="117"/>
        <v>301822.50230070268</v>
      </c>
      <c r="AP183" s="192">
        <f t="shared" si="117"/>
        <v>311321.69240767148</v>
      </c>
      <c r="AQ183" s="192">
        <f t="shared" si="117"/>
        <v>320867.64586417499</v>
      </c>
      <c r="AR183" s="192">
        <f t="shared" si="117"/>
        <v>330497.54386464861</v>
      </c>
      <c r="AS183" s="192">
        <f t="shared" si="117"/>
        <v>340243.51874128002</v>
      </c>
      <c r="AT183" s="192">
        <f t="shared" si="117"/>
        <v>350133.54028290528</v>
      </c>
      <c r="AU183" s="192">
        <f t="shared" si="117"/>
        <v>360192.15327856119</v>
      </c>
      <c r="AV183" s="192">
        <f t="shared" si="117"/>
        <v>370441.09143781429</v>
      </c>
      <c r="AW183" s="192">
        <f t="shared" si="118"/>
        <v>380899.78859265399</v>
      </c>
      <c r="AX183" s="192">
        <f t="shared" si="118"/>
        <v>391585.80455577973</v>
      </c>
      <c r="AY183" s="192">
        <f t="shared" si="118"/>
        <v>402515.18007634953</v>
      </c>
      <c r="AZ183" s="192">
        <f t="shared" si="118"/>
        <v>413702.73289600754</v>
      </c>
      <c r="BA183" s="192">
        <f t="shared" si="118"/>
        <v>425162.30488158471</v>
      </c>
      <c r="BB183" s="192">
        <f t="shared" si="118"/>
        <v>436906.968526704</v>
      </c>
      <c r="BC183" s="192">
        <f t="shared" si="118"/>
        <v>448949.19971483381</v>
      </c>
      <c r="BD183" s="192">
        <f t="shared" si="118"/>
        <v>461301.02247305523</v>
      </c>
      <c r="BE183" s="192">
        <f t="shared" si="118"/>
        <v>473974.13047902612</v>
      </c>
      <c r="BF183" s="192">
        <f t="shared" si="118"/>
        <v>486979.98928015021</v>
      </c>
      <c r="BG183" s="192">
        <f t="shared" si="119"/>
        <v>500329.92251620389</v>
      </c>
      <c r="BH183" s="192">
        <f t="shared" si="119"/>
        <v>514035.18488172872</v>
      </c>
      <c r="BI183" s="192">
        <f t="shared" si="119"/>
        <v>528107.02410329494</v>
      </c>
      <c r="BJ183" s="192">
        <f t="shared" si="119"/>
        <v>542556.73382346833</v>
      </c>
      <c r="BK183" s="192">
        <f t="shared" si="119"/>
        <v>557395.69896479009</v>
      </c>
      <c r="BL183" s="192">
        <f t="shared" si="119"/>
        <v>572635.43488238379</v>
      </c>
      <c r="BM183" s="192">
        <f t="shared" si="119"/>
        <v>588287.62139384123</v>
      </c>
      <c r="BN183" s="192">
        <f t="shared" si="119"/>
        <v>604364.1325922549</v>
      </c>
      <c r="BO183" s="192">
        <f t="shared" si="119"/>
        <v>0</v>
      </c>
      <c r="BP183" s="192">
        <f t="shared" si="119"/>
        <v>0</v>
      </c>
      <c r="BQ183" s="192">
        <f t="shared" si="120"/>
        <v>0</v>
      </c>
      <c r="BR183" s="192">
        <f t="shared" si="120"/>
        <v>0</v>
      </c>
      <c r="BS183" s="192">
        <f t="shared" si="120"/>
        <v>0</v>
      </c>
      <c r="BT183" s="192">
        <f t="shared" si="120"/>
        <v>0</v>
      </c>
      <c r="BU183" s="192">
        <f t="shared" si="120"/>
        <v>0</v>
      </c>
      <c r="BV183" s="192">
        <f t="shared" si="120"/>
        <v>0</v>
      </c>
      <c r="BW183" s="192">
        <f t="shared" si="120"/>
        <v>0</v>
      </c>
      <c r="BX183" s="192">
        <f t="shared" si="120"/>
        <v>0</v>
      </c>
      <c r="BY183" s="192">
        <f t="shared" si="120"/>
        <v>0</v>
      </c>
      <c r="BZ183" s="192">
        <f t="shared" si="120"/>
        <v>0</v>
      </c>
      <c r="CA183" s="192">
        <f t="shared" si="120"/>
        <v>0</v>
      </c>
      <c r="CB183" s="192">
        <f t="shared" si="120"/>
        <v>0</v>
      </c>
    </row>
    <row r="184" spans="2:80">
      <c r="B184" s="1">
        <v>2021</v>
      </c>
      <c r="C184" s="12">
        <f t="shared" si="101"/>
        <v>2034</v>
      </c>
      <c r="E184" s="192">
        <f t="shared" si="102"/>
        <v>0</v>
      </c>
      <c r="F184" s="192">
        <f t="shared" si="102"/>
        <v>0</v>
      </c>
      <c r="G184" s="192">
        <f t="shared" si="102"/>
        <v>0</v>
      </c>
      <c r="H184" s="192">
        <f t="shared" si="102"/>
        <v>0</v>
      </c>
      <c r="I184" s="192">
        <f t="shared" si="102"/>
        <v>0</v>
      </c>
      <c r="J184" s="192">
        <f t="shared" si="102"/>
        <v>0</v>
      </c>
      <c r="K184" s="192">
        <f t="shared" si="102"/>
        <v>0</v>
      </c>
      <c r="L184" s="192">
        <f t="shared" si="102"/>
        <v>0</v>
      </c>
      <c r="M184" s="192">
        <f t="shared" si="102"/>
        <v>0</v>
      </c>
      <c r="N184" s="192">
        <f t="shared" si="102"/>
        <v>0</v>
      </c>
      <c r="O184" s="192">
        <f t="shared" si="102"/>
        <v>0</v>
      </c>
      <c r="P184" s="192">
        <f t="shared" si="102"/>
        <v>0</v>
      </c>
      <c r="Q184" s="192">
        <f t="shared" si="102"/>
        <v>0</v>
      </c>
      <c r="R184" s="192">
        <f t="shared" si="102"/>
        <v>0</v>
      </c>
      <c r="S184" s="192">
        <f t="shared" si="115"/>
        <v>0</v>
      </c>
      <c r="T184" s="192">
        <f t="shared" si="115"/>
        <v>0</v>
      </c>
      <c r="U184" s="192">
        <f t="shared" si="115"/>
        <v>0</v>
      </c>
      <c r="V184" s="192">
        <f t="shared" si="115"/>
        <v>0</v>
      </c>
      <c r="W184" s="192">
        <f t="shared" si="115"/>
        <v>0</v>
      </c>
      <c r="X184" s="192">
        <f t="shared" si="115"/>
        <v>0</v>
      </c>
      <c r="Y184" s="192">
        <f t="shared" si="115"/>
        <v>0</v>
      </c>
      <c r="Z184" s="192">
        <f t="shared" si="115"/>
        <v>0</v>
      </c>
      <c r="AA184" s="192">
        <f t="shared" si="115"/>
        <v>105701.25125689241</v>
      </c>
      <c r="AB184" s="192">
        <f t="shared" si="115"/>
        <v>129325.21508086933</v>
      </c>
      <c r="AC184" s="192">
        <f t="shared" si="116"/>
        <v>150091.66192187107</v>
      </c>
      <c r="AD184" s="192">
        <f t="shared" si="116"/>
        <v>168514.12268813758</v>
      </c>
      <c r="AE184" s="192">
        <f t="shared" si="116"/>
        <v>185020.24078390267</v>
      </c>
      <c r="AF184" s="192">
        <f t="shared" si="116"/>
        <v>199966.30092737716</v>
      </c>
      <c r="AG184" s="192">
        <f t="shared" si="116"/>
        <v>213649.30478678487</v>
      </c>
      <c r="AH184" s="192">
        <f t="shared" si="116"/>
        <v>226317.00777613244</v>
      </c>
      <c r="AI184" s="192">
        <f t="shared" si="116"/>
        <v>238176.26137357843</v>
      </c>
      <c r="AJ184" s="192">
        <f t="shared" si="116"/>
        <v>249399.94716538172</v>
      </c>
      <c r="AK184" s="192">
        <f t="shared" si="116"/>
        <v>260132.74048130953</v>
      </c>
      <c r="AL184" s="192">
        <f t="shared" si="116"/>
        <v>270495.90131408698</v>
      </c>
      <c r="AM184" s="192">
        <f t="shared" si="117"/>
        <v>280591.25682716031</v>
      </c>
      <c r="AN184" s="192">
        <f t="shared" si="117"/>
        <v>290504.51200579118</v>
      </c>
      <c r="AO184" s="192">
        <f t="shared" si="117"/>
        <v>300308.00194390659</v>
      </c>
      <c r="AP184" s="192">
        <f t="shared" si="117"/>
        <v>310062.98009165504</v>
      </c>
      <c r="AQ184" s="192">
        <f t="shared" si="117"/>
        <v>319821.5208584051</v>
      </c>
      <c r="AR184" s="192">
        <f t="shared" si="117"/>
        <v>329628.10172622534</v>
      </c>
      <c r="AS184" s="192">
        <f t="shared" si="117"/>
        <v>339520.91902528383</v>
      </c>
      <c r="AT184" s="192">
        <f t="shared" si="117"/>
        <v>349532.98237745924</v>
      </c>
      <c r="AU184" s="192">
        <f t="shared" si="117"/>
        <v>359693.02521386719</v>
      </c>
      <c r="AV184" s="192">
        <f t="shared" si="117"/>
        <v>370026.26245511993</v>
      </c>
      <c r="AW184" s="192">
        <f t="shared" si="118"/>
        <v>380555.02119315165</v>
      </c>
      <c r="AX184" s="192">
        <f t="shared" si="118"/>
        <v>391299.2658501484</v>
      </c>
      <c r="AY184" s="192">
        <f t="shared" si="118"/>
        <v>402277.03566378774</v>
      </c>
      <c r="AZ184" s="192">
        <f t="shared" si="118"/>
        <v>413504.80933413003</v>
      </c>
      <c r="BA184" s="192">
        <f t="shared" si="118"/>
        <v>424997.80916268495</v>
      </c>
      <c r="BB184" s="192">
        <f t="shared" si="118"/>
        <v>436770.25493242708</v>
      </c>
      <c r="BC184" s="192">
        <f t="shared" si="118"/>
        <v>448835.57604739064</v>
      </c>
      <c r="BD184" s="192">
        <f t="shared" si="118"/>
        <v>461206.58901256777</v>
      </c>
      <c r="BE184" s="192">
        <f t="shared" si="118"/>
        <v>473895.64613980084</v>
      </c>
      <c r="BF184" s="192">
        <f t="shared" si="118"/>
        <v>486914.76037217799</v>
      </c>
      <c r="BG184" s="192">
        <f t="shared" si="119"/>
        <v>500275.71029403014</v>
      </c>
      <c r="BH184" s="192">
        <f t="shared" si="119"/>
        <v>513990.1287076429</v>
      </c>
      <c r="BI184" s="192">
        <f t="shared" si="119"/>
        <v>528069.57758769661</v>
      </c>
      <c r="BJ184" s="192">
        <f t="shared" si="119"/>
        <v>542525.61175065802</v>
      </c>
      <c r="BK184" s="192">
        <f t="shared" si="119"/>
        <v>557369.83318260615</v>
      </c>
      <c r="BL184" s="192">
        <f t="shared" si="119"/>
        <v>572613.93764175766</v>
      </c>
      <c r="BM184" s="192">
        <f t="shared" si="119"/>
        <v>588269.75488003367</v>
      </c>
      <c r="BN184" s="192">
        <f t="shared" si="119"/>
        <v>604349.28360204305</v>
      </c>
      <c r="BO184" s="192">
        <f t="shared" si="119"/>
        <v>620864.72209208249</v>
      </c>
      <c r="BP184" s="192">
        <f t="shared" si="119"/>
        <v>0</v>
      </c>
      <c r="BQ184" s="192">
        <f t="shared" si="120"/>
        <v>0</v>
      </c>
      <c r="BR184" s="192">
        <f t="shared" si="120"/>
        <v>0</v>
      </c>
      <c r="BS184" s="192">
        <f t="shared" si="120"/>
        <v>0</v>
      </c>
      <c r="BT184" s="192">
        <f t="shared" si="120"/>
        <v>0</v>
      </c>
      <c r="BU184" s="192">
        <f t="shared" si="120"/>
        <v>0</v>
      </c>
      <c r="BV184" s="192">
        <f t="shared" si="120"/>
        <v>0</v>
      </c>
      <c r="BW184" s="192">
        <f t="shared" si="120"/>
        <v>0</v>
      </c>
      <c r="BX184" s="192">
        <f t="shared" si="120"/>
        <v>0</v>
      </c>
      <c r="BY184" s="192">
        <f t="shared" si="120"/>
        <v>0</v>
      </c>
      <c r="BZ184" s="192">
        <f t="shared" si="120"/>
        <v>0</v>
      </c>
      <c r="CA184" s="192">
        <f t="shared" si="120"/>
        <v>0</v>
      </c>
      <c r="CB184" s="192">
        <f t="shared" si="120"/>
        <v>0</v>
      </c>
    </row>
    <row r="185" spans="2:80">
      <c r="B185" s="1">
        <v>2022</v>
      </c>
      <c r="C185" s="12">
        <f t="shared" si="101"/>
        <v>2035</v>
      </c>
      <c r="E185" s="192">
        <f t="shared" si="102"/>
        <v>0</v>
      </c>
      <c r="F185" s="192">
        <f t="shared" si="102"/>
        <v>0</v>
      </c>
      <c r="G185" s="192">
        <f t="shared" si="102"/>
        <v>0</v>
      </c>
      <c r="H185" s="192">
        <f t="shared" si="102"/>
        <v>0</v>
      </c>
      <c r="I185" s="192">
        <f t="shared" si="102"/>
        <v>0</v>
      </c>
      <c r="J185" s="192">
        <f t="shared" si="102"/>
        <v>0</v>
      </c>
      <c r="K185" s="192">
        <f t="shared" si="102"/>
        <v>0</v>
      </c>
      <c r="L185" s="192">
        <f t="shared" si="102"/>
        <v>0</v>
      </c>
      <c r="M185" s="192">
        <f t="shared" si="102"/>
        <v>0</v>
      </c>
      <c r="N185" s="192">
        <f t="shared" si="102"/>
        <v>0</v>
      </c>
      <c r="O185" s="192">
        <f t="shared" si="102"/>
        <v>0</v>
      </c>
      <c r="P185" s="192">
        <f t="shared" si="102"/>
        <v>0</v>
      </c>
      <c r="Q185" s="192">
        <f t="shared" si="102"/>
        <v>0</v>
      </c>
      <c r="R185" s="192">
        <f t="shared" si="102"/>
        <v>0</v>
      </c>
      <c r="S185" s="192">
        <f t="shared" si="115"/>
        <v>0</v>
      </c>
      <c r="T185" s="192">
        <f t="shared" si="115"/>
        <v>0</v>
      </c>
      <c r="U185" s="192">
        <f t="shared" si="115"/>
        <v>0</v>
      </c>
      <c r="V185" s="192">
        <f t="shared" si="115"/>
        <v>0</v>
      </c>
      <c r="W185" s="192">
        <f t="shared" si="115"/>
        <v>0</v>
      </c>
      <c r="X185" s="192">
        <f t="shared" si="115"/>
        <v>0</v>
      </c>
      <c r="Y185" s="192">
        <f t="shared" si="115"/>
        <v>0</v>
      </c>
      <c r="Z185" s="192">
        <f t="shared" si="115"/>
        <v>0</v>
      </c>
      <c r="AA185" s="192">
        <f t="shared" si="115"/>
        <v>0</v>
      </c>
      <c r="AB185" s="192">
        <f t="shared" si="115"/>
        <v>108587.14878546866</v>
      </c>
      <c r="AC185" s="192">
        <f t="shared" si="116"/>
        <v>132856.10344923323</v>
      </c>
      <c r="AD185" s="192">
        <f t="shared" si="116"/>
        <v>154189.52406682828</v>
      </c>
      <c r="AE185" s="192">
        <f t="shared" si="116"/>
        <v>173114.96217123859</v>
      </c>
      <c r="AF185" s="192">
        <f t="shared" si="116"/>
        <v>190071.73685670845</v>
      </c>
      <c r="AG185" s="192">
        <f t="shared" si="116"/>
        <v>205425.86026828157</v>
      </c>
      <c r="AH185" s="192">
        <f t="shared" si="116"/>
        <v>219482.4429316468</v>
      </c>
      <c r="AI185" s="192">
        <f t="shared" si="116"/>
        <v>232496.00457749076</v>
      </c>
      <c r="AJ185" s="192">
        <f t="shared" si="116"/>
        <v>244679.04422515529</v>
      </c>
      <c r="AK185" s="192">
        <f t="shared" si="116"/>
        <v>256209.16354260687</v>
      </c>
      <c r="AL185" s="192">
        <f t="shared" si="116"/>
        <v>267234.98784290667</v>
      </c>
      <c r="AM185" s="192">
        <f t="shared" si="117"/>
        <v>277881.08780724515</v>
      </c>
      <c r="AN185" s="192">
        <f t="shared" si="117"/>
        <v>288252.07072471391</v>
      </c>
      <c r="AO185" s="192">
        <f t="shared" si="117"/>
        <v>298435.98153210955</v>
      </c>
      <c r="AP185" s="192">
        <f t="shared" si="117"/>
        <v>308507.13024481281</v>
      </c>
      <c r="AQ185" s="192">
        <f t="shared" si="117"/>
        <v>318528.44267898786</v>
      </c>
      <c r="AR185" s="192">
        <f t="shared" si="117"/>
        <v>328553.41500020301</v>
      </c>
      <c r="AS185" s="192">
        <f t="shared" si="117"/>
        <v>338627.73903240112</v>
      </c>
      <c r="AT185" s="192">
        <f t="shared" si="117"/>
        <v>348790.65395712183</v>
      </c>
      <c r="AU185" s="192">
        <f t="shared" si="117"/>
        <v>359076.07063804608</v>
      </c>
      <c r="AV185" s="192">
        <f t="shared" si="117"/>
        <v>369513.50699783396</v>
      </c>
      <c r="AW185" s="192">
        <f t="shared" si="118"/>
        <v>380128.86638487154</v>
      </c>
      <c r="AX185" s="192">
        <f t="shared" si="118"/>
        <v>390945.08547422121</v>
      </c>
      <c r="AY185" s="192">
        <f t="shared" si="118"/>
        <v>401982.6737646503</v>
      </c>
      <c r="AZ185" s="192">
        <f t="shared" si="118"/>
        <v>413260.1630082656</v>
      </c>
      <c r="BA185" s="192">
        <f t="shared" si="118"/>
        <v>424794.48181313911</v>
      </c>
      <c r="BB185" s="192">
        <f t="shared" si="118"/>
        <v>436601.26808609988</v>
      </c>
      <c r="BC185" s="192">
        <f t="shared" si="118"/>
        <v>448695.1298442831</v>
      </c>
      <c r="BD185" s="192">
        <f t="shared" si="118"/>
        <v>461089.86314664391</v>
      </c>
      <c r="BE185" s="192">
        <f t="shared" si="118"/>
        <v>473798.6344194822</v>
      </c>
      <c r="BF185" s="192">
        <f t="shared" si="118"/>
        <v>486834.13322236238</v>
      </c>
      <c r="BG185" s="192">
        <f t="shared" si="119"/>
        <v>500208.7004805145</v>
      </c>
      <c r="BH185" s="192">
        <f t="shared" si="119"/>
        <v>513934.43636185536</v>
      </c>
      <c r="BI185" s="192">
        <f t="shared" si="119"/>
        <v>528023.29127205722</v>
      </c>
      <c r="BJ185" s="192">
        <f t="shared" si="119"/>
        <v>542487.14285542339</v>
      </c>
      <c r="BK185" s="192">
        <f t="shared" si="119"/>
        <v>557337.86140260752</v>
      </c>
      <c r="BL185" s="192">
        <f t="shared" si="119"/>
        <v>572587.365661719</v>
      </c>
      <c r="BM185" s="192">
        <f t="shared" si="119"/>
        <v>588247.67071320897</v>
      </c>
      <c r="BN185" s="192">
        <f t="shared" si="119"/>
        <v>604330.92928958195</v>
      </c>
      <c r="BO185" s="192">
        <f t="shared" si="119"/>
        <v>620849.46768884431</v>
      </c>
      <c r="BP185" s="192">
        <f t="shared" si="119"/>
        <v>637815.81723769347</v>
      </c>
      <c r="BQ185" s="192">
        <f t="shared" si="120"/>
        <v>0</v>
      </c>
      <c r="BR185" s="192">
        <f t="shared" si="120"/>
        <v>0</v>
      </c>
      <c r="BS185" s="192">
        <f t="shared" si="120"/>
        <v>0</v>
      </c>
      <c r="BT185" s="192">
        <f t="shared" si="120"/>
        <v>0</v>
      </c>
      <c r="BU185" s="192">
        <f t="shared" si="120"/>
        <v>0</v>
      </c>
      <c r="BV185" s="192">
        <f t="shared" si="120"/>
        <v>0</v>
      </c>
      <c r="BW185" s="192">
        <f t="shared" si="120"/>
        <v>0</v>
      </c>
      <c r="BX185" s="192">
        <f t="shared" si="120"/>
        <v>0</v>
      </c>
      <c r="BY185" s="192">
        <f t="shared" si="120"/>
        <v>0</v>
      </c>
      <c r="BZ185" s="192">
        <f t="shared" si="120"/>
        <v>0</v>
      </c>
      <c r="CA185" s="192">
        <f t="shared" si="120"/>
        <v>0</v>
      </c>
      <c r="CB185" s="192">
        <f t="shared" si="120"/>
        <v>0</v>
      </c>
    </row>
    <row r="186" spans="2:80">
      <c r="B186" s="1">
        <v>2023</v>
      </c>
      <c r="C186" s="12">
        <f t="shared" si="101"/>
        <v>2036</v>
      </c>
      <c r="E186" s="192">
        <f t="shared" ref="E186:R195" si="121">IF(E$175&gt;=$C186,E$131*HLOOKUP(E$175-$C186+1,$E$47:$CB$49,3)*E$106*$C$30,0)</f>
        <v>0</v>
      </c>
      <c r="F186" s="192">
        <f t="shared" si="121"/>
        <v>0</v>
      </c>
      <c r="G186" s="192">
        <f t="shared" si="121"/>
        <v>0</v>
      </c>
      <c r="H186" s="192">
        <f t="shared" si="121"/>
        <v>0</v>
      </c>
      <c r="I186" s="192">
        <f t="shared" si="121"/>
        <v>0</v>
      </c>
      <c r="J186" s="192">
        <f t="shared" si="121"/>
        <v>0</v>
      </c>
      <c r="K186" s="192">
        <f t="shared" si="121"/>
        <v>0</v>
      </c>
      <c r="L186" s="192">
        <f t="shared" si="121"/>
        <v>0</v>
      </c>
      <c r="M186" s="192">
        <f t="shared" si="121"/>
        <v>0</v>
      </c>
      <c r="N186" s="192">
        <f t="shared" si="121"/>
        <v>0</v>
      </c>
      <c r="O186" s="192">
        <f t="shared" si="121"/>
        <v>0</v>
      </c>
      <c r="P186" s="192">
        <f t="shared" si="121"/>
        <v>0</v>
      </c>
      <c r="Q186" s="192">
        <f t="shared" si="121"/>
        <v>0</v>
      </c>
      <c r="R186" s="192">
        <f t="shared" si="121"/>
        <v>0</v>
      </c>
      <c r="S186" s="192">
        <f t="shared" si="115"/>
        <v>0</v>
      </c>
      <c r="T186" s="192">
        <f t="shared" si="115"/>
        <v>0</v>
      </c>
      <c r="U186" s="192">
        <f t="shared" si="115"/>
        <v>0</v>
      </c>
      <c r="V186" s="192">
        <f t="shared" si="115"/>
        <v>0</v>
      </c>
      <c r="W186" s="192">
        <f t="shared" si="115"/>
        <v>0</v>
      </c>
      <c r="X186" s="192">
        <f t="shared" si="115"/>
        <v>0</v>
      </c>
      <c r="Y186" s="192">
        <f t="shared" si="115"/>
        <v>0</v>
      </c>
      <c r="Z186" s="192">
        <f t="shared" si="115"/>
        <v>0</v>
      </c>
      <c r="AA186" s="192">
        <f t="shared" si="115"/>
        <v>0</v>
      </c>
      <c r="AB186" s="192">
        <f t="shared" si="115"/>
        <v>0</v>
      </c>
      <c r="AC186" s="192">
        <f t="shared" si="116"/>
        <v>111551.83823416324</v>
      </c>
      <c r="AD186" s="192">
        <f t="shared" si="116"/>
        <v>136483.39353370527</v>
      </c>
      <c r="AE186" s="192">
        <f t="shared" si="116"/>
        <v>158399.26767104879</v>
      </c>
      <c r="AF186" s="192">
        <f t="shared" si="116"/>
        <v>177841.41560058692</v>
      </c>
      <c r="AG186" s="192">
        <f t="shared" si="116"/>
        <v>195261.15088089861</v>
      </c>
      <c r="AH186" s="192">
        <f t="shared" si="116"/>
        <v>211034.47866593016</v>
      </c>
      <c r="AI186" s="192">
        <f t="shared" si="116"/>
        <v>225474.83973008121</v>
      </c>
      <c r="AJ186" s="192">
        <f t="shared" si="116"/>
        <v>238843.70280277813</v>
      </c>
      <c r="AK186" s="192">
        <f t="shared" si="116"/>
        <v>251359.36863595768</v>
      </c>
      <c r="AL186" s="192">
        <f t="shared" si="116"/>
        <v>263204.28784883855</v>
      </c>
      <c r="AM186" s="192">
        <f t="shared" si="117"/>
        <v>274531.14358178829</v>
      </c>
      <c r="AN186" s="192">
        <f t="shared" si="117"/>
        <v>285467.9075941937</v>
      </c>
      <c r="AO186" s="192">
        <f t="shared" si="117"/>
        <v>296122.04320488538</v>
      </c>
      <c r="AP186" s="192">
        <f t="shared" si="117"/>
        <v>306583.99918848125</v>
      </c>
      <c r="AQ186" s="192">
        <f t="shared" si="117"/>
        <v>316930.11440190533</v>
      </c>
      <c r="AR186" s="192">
        <f t="shared" si="117"/>
        <v>327225.03268693812</v>
      </c>
      <c r="AS186" s="192">
        <f t="shared" si="117"/>
        <v>337523.7107827001</v>
      </c>
      <c r="AT186" s="192">
        <f t="shared" si="117"/>
        <v>347873.08800945256</v>
      </c>
      <c r="AU186" s="192">
        <f t="shared" si="117"/>
        <v>358313.4748724486</v>
      </c>
      <c r="AV186" s="192">
        <f t="shared" si="117"/>
        <v>368879.70808323321</v>
      </c>
      <c r="AW186" s="192">
        <f t="shared" si="118"/>
        <v>379602.11147451046</v>
      </c>
      <c r="AX186" s="192">
        <f t="shared" si="118"/>
        <v>390507.29561816837</v>
      </c>
      <c r="AY186" s="192">
        <f t="shared" si="118"/>
        <v>401618.82341547875</v>
      </c>
      <c r="AZ186" s="192">
        <f t="shared" si="118"/>
        <v>412957.76432368689</v>
      </c>
      <c r="BA186" s="192">
        <f t="shared" si="118"/>
        <v>424543.15605615359</v>
      </c>
      <c r="BB186" s="192">
        <f t="shared" si="118"/>
        <v>436392.38941252924</v>
      </c>
      <c r="BC186" s="192">
        <f t="shared" si="118"/>
        <v>448521.52925198432</v>
      </c>
      <c r="BD186" s="192">
        <f t="shared" si="118"/>
        <v>460945.58242553746</v>
      </c>
      <c r="BE186" s="192">
        <f t="shared" si="118"/>
        <v>473678.7216576229</v>
      </c>
      <c r="BF186" s="192">
        <f t="shared" si="118"/>
        <v>486734.47284953884</v>
      </c>
      <c r="BG186" s="192">
        <f t="shared" si="119"/>
        <v>500125.87201624311</v>
      </c>
      <c r="BH186" s="192">
        <f t="shared" si="119"/>
        <v>513865.5970198061</v>
      </c>
      <c r="BI186" s="192">
        <f t="shared" si="119"/>
        <v>527966.07839173335</v>
      </c>
      <c r="BJ186" s="192">
        <f t="shared" si="119"/>
        <v>542439.59281241719</v>
      </c>
      <c r="BK186" s="192">
        <f t="shared" si="119"/>
        <v>557298.34221432183</v>
      </c>
      <c r="BL186" s="192">
        <f t="shared" si="119"/>
        <v>572554.52097548917</v>
      </c>
      <c r="BM186" s="192">
        <f t="shared" si="119"/>
        <v>588220.3732544214</v>
      </c>
      <c r="BN186" s="192">
        <f t="shared" si="119"/>
        <v>604308.24217206647</v>
      </c>
      <c r="BO186" s="192">
        <f t="shared" si="119"/>
        <v>620830.61225965712</v>
      </c>
      <c r="BP186" s="192">
        <f t="shared" si="119"/>
        <v>637800.14635268168</v>
      </c>
      <c r="BQ186" s="192">
        <f t="shared" si="120"/>
        <v>655229.71791309421</v>
      </c>
      <c r="BR186" s="192">
        <f t="shared" si="120"/>
        <v>0</v>
      </c>
      <c r="BS186" s="192">
        <f t="shared" si="120"/>
        <v>0</v>
      </c>
      <c r="BT186" s="192">
        <f t="shared" si="120"/>
        <v>0</v>
      </c>
      <c r="BU186" s="192">
        <f t="shared" si="120"/>
        <v>0</v>
      </c>
      <c r="BV186" s="192">
        <f t="shared" si="120"/>
        <v>0</v>
      </c>
      <c r="BW186" s="192">
        <f t="shared" si="120"/>
        <v>0</v>
      </c>
      <c r="BX186" s="192">
        <f t="shared" si="120"/>
        <v>0</v>
      </c>
      <c r="BY186" s="192">
        <f t="shared" si="120"/>
        <v>0</v>
      </c>
      <c r="BZ186" s="192">
        <f t="shared" si="120"/>
        <v>0</v>
      </c>
      <c r="CA186" s="192">
        <f t="shared" si="120"/>
        <v>0</v>
      </c>
      <c r="CB186" s="192">
        <f t="shared" si="120"/>
        <v>0</v>
      </c>
    </row>
    <row r="187" spans="2:80">
      <c r="B187" s="1">
        <v>2024</v>
      </c>
      <c r="C187" s="12">
        <f t="shared" si="101"/>
        <v>2037</v>
      </c>
      <c r="E187" s="192">
        <f t="shared" si="121"/>
        <v>0</v>
      </c>
      <c r="F187" s="192">
        <f t="shared" si="121"/>
        <v>0</v>
      </c>
      <c r="G187" s="192">
        <f t="shared" si="121"/>
        <v>0</v>
      </c>
      <c r="H187" s="192">
        <f t="shared" si="121"/>
        <v>0</v>
      </c>
      <c r="I187" s="192">
        <f t="shared" si="121"/>
        <v>0</v>
      </c>
      <c r="J187" s="192">
        <f t="shared" si="121"/>
        <v>0</v>
      </c>
      <c r="K187" s="192">
        <f t="shared" si="121"/>
        <v>0</v>
      </c>
      <c r="L187" s="192">
        <f t="shared" si="121"/>
        <v>0</v>
      </c>
      <c r="M187" s="192">
        <f t="shared" si="121"/>
        <v>0</v>
      </c>
      <c r="N187" s="192">
        <f t="shared" si="121"/>
        <v>0</v>
      </c>
      <c r="O187" s="192">
        <f t="shared" si="121"/>
        <v>0</v>
      </c>
      <c r="P187" s="192">
        <f t="shared" si="121"/>
        <v>0</v>
      </c>
      <c r="Q187" s="192">
        <f t="shared" si="121"/>
        <v>0</v>
      </c>
      <c r="R187" s="192">
        <f t="shared" si="121"/>
        <v>0</v>
      </c>
      <c r="S187" s="192">
        <f t="shared" si="115"/>
        <v>0</v>
      </c>
      <c r="T187" s="192">
        <f t="shared" si="115"/>
        <v>0</v>
      </c>
      <c r="U187" s="192">
        <f t="shared" si="115"/>
        <v>0</v>
      </c>
      <c r="V187" s="192">
        <f t="shared" si="115"/>
        <v>0</v>
      </c>
      <c r="W187" s="192">
        <f t="shared" si="115"/>
        <v>0</v>
      </c>
      <c r="X187" s="192">
        <f t="shared" si="115"/>
        <v>0</v>
      </c>
      <c r="Y187" s="192">
        <f t="shared" si="115"/>
        <v>0</v>
      </c>
      <c r="Z187" s="192">
        <f t="shared" si="115"/>
        <v>0</v>
      </c>
      <c r="AA187" s="192">
        <f t="shared" si="115"/>
        <v>0</v>
      </c>
      <c r="AB187" s="192">
        <f t="shared" si="115"/>
        <v>0</v>
      </c>
      <c r="AC187" s="192">
        <f t="shared" si="116"/>
        <v>0</v>
      </c>
      <c r="AD187" s="192">
        <f t="shared" si="116"/>
        <v>114597.47081126216</v>
      </c>
      <c r="AE187" s="192">
        <f t="shared" si="116"/>
        <v>140209.71733221316</v>
      </c>
      <c r="AF187" s="192">
        <f t="shared" si="116"/>
        <v>162723.94736655388</v>
      </c>
      <c r="AG187" s="192">
        <f t="shared" si="116"/>
        <v>182696.91253801569</v>
      </c>
      <c r="AH187" s="192">
        <f t="shared" si="116"/>
        <v>200592.24834713977</v>
      </c>
      <c r="AI187" s="192">
        <f t="shared" si="116"/>
        <v>216796.22578987133</v>
      </c>
      <c r="AJ187" s="192">
        <f t="shared" si="116"/>
        <v>231630.84332507875</v>
      </c>
      <c r="AK187" s="192">
        <f t="shared" si="116"/>
        <v>245364.70840525051</v>
      </c>
      <c r="AL187" s="192">
        <f t="shared" si="116"/>
        <v>258222.08191612514</v>
      </c>
      <c r="AM187" s="192">
        <f t="shared" si="117"/>
        <v>270390.39581616601</v>
      </c>
      <c r="AN187" s="192">
        <f t="shared" si="117"/>
        <v>282026.50186145888</v>
      </c>
      <c r="AO187" s="192">
        <f t="shared" si="117"/>
        <v>293261.86574717436</v>
      </c>
      <c r="AP187" s="192">
        <f t="shared" si="117"/>
        <v>304206.88479834003</v>
      </c>
      <c r="AQ187" s="192">
        <f t="shared" si="117"/>
        <v>314954.47725792951</v>
      </c>
      <c r="AR187" s="192">
        <f t="shared" si="117"/>
        <v>325583.06621664745</v>
      </c>
      <c r="AS187" s="192">
        <f t="shared" si="117"/>
        <v>336159.06044810842</v>
      </c>
      <c r="AT187" s="192">
        <f t="shared" si="117"/>
        <v>346738.91714214382</v>
      </c>
      <c r="AU187" s="192">
        <f t="shared" si="117"/>
        <v>357370.85717497318</v>
      </c>
      <c r="AV187" s="192">
        <f t="shared" si="117"/>
        <v>368096.29162526864</v>
      </c>
      <c r="AW187" s="192">
        <f t="shared" si="118"/>
        <v>378951.00833030493</v>
      </c>
      <c r="AX187" s="192">
        <f t="shared" si="118"/>
        <v>389966.1590361062</v>
      </c>
      <c r="AY187" s="192">
        <f t="shared" si="118"/>
        <v>401169.08084695938</v>
      </c>
      <c r="AZ187" s="192">
        <f t="shared" si="118"/>
        <v>412583.97998782207</v>
      </c>
      <c r="BA187" s="192">
        <f t="shared" si="118"/>
        <v>424232.50116262655</v>
      </c>
      <c r="BB187" s="192">
        <f t="shared" si="118"/>
        <v>436134.20185994223</v>
      </c>
      <c r="BC187" s="192">
        <f t="shared" si="118"/>
        <v>448306.94768993644</v>
      </c>
      <c r="BD187" s="192">
        <f t="shared" si="118"/>
        <v>460767.2421209428</v>
      </c>
      <c r="BE187" s="192">
        <f t="shared" si="118"/>
        <v>473530.5017269848</v>
      </c>
      <c r="BF187" s="192">
        <f t="shared" si="118"/>
        <v>486611.28618184605</v>
      </c>
      <c r="BG187" s="192">
        <f t="shared" si="119"/>
        <v>500023.49067635235</v>
      </c>
      <c r="BH187" s="192">
        <f t="shared" si="119"/>
        <v>513780.50713991764</v>
      </c>
      <c r="BI187" s="192">
        <f t="shared" si="119"/>
        <v>527895.35957063595</v>
      </c>
      <c r="BJ187" s="192">
        <f t="shared" si="119"/>
        <v>542380.81788331945</v>
      </c>
      <c r="BK187" s="192">
        <f t="shared" si="119"/>
        <v>557249.49394116271</v>
      </c>
      <c r="BL187" s="192">
        <f t="shared" si="119"/>
        <v>572513.92281863443</v>
      </c>
      <c r="BM187" s="192">
        <f t="shared" si="119"/>
        <v>588186.63182952767</v>
      </c>
      <c r="BN187" s="192">
        <f t="shared" si="119"/>
        <v>604280.19942722109</v>
      </c>
      <c r="BO187" s="192">
        <f t="shared" si="119"/>
        <v>620807.30572945171</v>
      </c>
      <c r="BP187" s="192">
        <f t="shared" si="119"/>
        <v>637780.77612508053</v>
      </c>
      <c r="BQ187" s="192">
        <f t="shared" si="120"/>
        <v>655213.61917535786</v>
      </c>
      <c r="BR187" s="192">
        <f t="shared" si="120"/>
        <v>673119.05981860741</v>
      </c>
      <c r="BS187" s="192">
        <f t="shared" si="120"/>
        <v>0</v>
      </c>
      <c r="BT187" s="192">
        <f t="shared" si="120"/>
        <v>0</v>
      </c>
      <c r="BU187" s="192">
        <f t="shared" si="120"/>
        <v>0</v>
      </c>
      <c r="BV187" s="192">
        <f t="shared" si="120"/>
        <v>0</v>
      </c>
      <c r="BW187" s="192">
        <f t="shared" si="120"/>
        <v>0</v>
      </c>
      <c r="BX187" s="192">
        <f t="shared" si="120"/>
        <v>0</v>
      </c>
      <c r="BY187" s="192">
        <f t="shared" si="120"/>
        <v>0</v>
      </c>
      <c r="BZ187" s="192">
        <f t="shared" si="120"/>
        <v>0</v>
      </c>
      <c r="CA187" s="192">
        <f t="shared" si="120"/>
        <v>0</v>
      </c>
      <c r="CB187" s="192">
        <f t="shared" si="120"/>
        <v>0</v>
      </c>
    </row>
    <row r="188" spans="2:80">
      <c r="B188" s="1">
        <v>2025</v>
      </c>
      <c r="C188" s="12">
        <f t="shared" si="101"/>
        <v>2038</v>
      </c>
      <c r="E188" s="192">
        <f t="shared" si="121"/>
        <v>0</v>
      </c>
      <c r="F188" s="192">
        <f t="shared" si="121"/>
        <v>0</v>
      </c>
      <c r="G188" s="192">
        <f t="shared" si="121"/>
        <v>0</v>
      </c>
      <c r="H188" s="192">
        <f t="shared" si="121"/>
        <v>0</v>
      </c>
      <c r="I188" s="192">
        <f t="shared" si="121"/>
        <v>0</v>
      </c>
      <c r="J188" s="192">
        <f t="shared" si="121"/>
        <v>0</v>
      </c>
      <c r="K188" s="192">
        <f t="shared" si="121"/>
        <v>0</v>
      </c>
      <c r="L188" s="192">
        <f t="shared" si="121"/>
        <v>0</v>
      </c>
      <c r="M188" s="192">
        <f t="shared" si="121"/>
        <v>0</v>
      </c>
      <c r="N188" s="192">
        <f t="shared" si="121"/>
        <v>0</v>
      </c>
      <c r="O188" s="192">
        <f t="shared" si="121"/>
        <v>0</v>
      </c>
      <c r="P188" s="192">
        <f t="shared" si="121"/>
        <v>0</v>
      </c>
      <c r="Q188" s="192">
        <f t="shared" si="121"/>
        <v>0</v>
      </c>
      <c r="R188" s="192">
        <f t="shared" si="121"/>
        <v>0</v>
      </c>
      <c r="S188" s="192">
        <f t="shared" si="115"/>
        <v>0</v>
      </c>
      <c r="T188" s="192">
        <f t="shared" si="115"/>
        <v>0</v>
      </c>
      <c r="U188" s="192">
        <f t="shared" si="115"/>
        <v>0</v>
      </c>
      <c r="V188" s="192">
        <f t="shared" si="115"/>
        <v>0</v>
      </c>
      <c r="W188" s="192">
        <f t="shared" si="115"/>
        <v>0</v>
      </c>
      <c r="X188" s="192">
        <f t="shared" si="115"/>
        <v>0</v>
      </c>
      <c r="Y188" s="192">
        <f t="shared" si="115"/>
        <v>0</v>
      </c>
      <c r="Z188" s="192">
        <f t="shared" si="115"/>
        <v>0</v>
      </c>
      <c r="AA188" s="192">
        <f t="shared" si="115"/>
        <v>0</v>
      </c>
      <c r="AB188" s="192">
        <f t="shared" si="115"/>
        <v>0</v>
      </c>
      <c r="AC188" s="192">
        <f t="shared" si="116"/>
        <v>0</v>
      </c>
      <c r="AD188" s="192">
        <f t="shared" si="116"/>
        <v>0</v>
      </c>
      <c r="AE188" s="192">
        <f t="shared" si="116"/>
        <v>117726.25645819408</v>
      </c>
      <c r="AF188" s="192">
        <f t="shared" si="116"/>
        <v>144037.77870253701</v>
      </c>
      <c r="AG188" s="192">
        <f t="shared" si="116"/>
        <v>167166.70118414113</v>
      </c>
      <c r="AH188" s="192">
        <f t="shared" si="116"/>
        <v>187684.97618061697</v>
      </c>
      <c r="AI188" s="192">
        <f t="shared" si="116"/>
        <v>206068.89755301957</v>
      </c>
      <c r="AJ188" s="192">
        <f t="shared" si="116"/>
        <v>222715.28242138732</v>
      </c>
      <c r="AK188" s="192">
        <f t="shared" si="116"/>
        <v>237954.92057435625</v>
      </c>
      <c r="AL188" s="192">
        <f t="shared" si="116"/>
        <v>252063.75309172831</v>
      </c>
      <c r="AM188" s="192">
        <f t="shared" si="117"/>
        <v>265272.1637189833</v>
      </c>
      <c r="AN188" s="192">
        <f t="shared" si="117"/>
        <v>277772.70175633096</v>
      </c>
      <c r="AO188" s="192">
        <f t="shared" si="117"/>
        <v>289726.50138877687</v>
      </c>
      <c r="AP188" s="192">
        <f t="shared" si="117"/>
        <v>301268.6176400971</v>
      </c>
      <c r="AQ188" s="192">
        <f t="shared" si="117"/>
        <v>312512.46194691863</v>
      </c>
      <c r="AR188" s="192">
        <f t="shared" si="117"/>
        <v>323553.48944297602</v>
      </c>
      <c r="AS188" s="192">
        <f t="shared" si="117"/>
        <v>334472.26435733296</v>
      </c>
      <c r="AT188" s="192">
        <f t="shared" si="117"/>
        <v>345337.00858230749</v>
      </c>
      <c r="AU188" s="192">
        <f t="shared" si="117"/>
        <v>356205.72072434326</v>
      </c>
      <c r="AV188" s="192">
        <f t="shared" si="117"/>
        <v>367127.93820516748</v>
      </c>
      <c r="AW188" s="192">
        <f t="shared" si="118"/>
        <v>378146.20272516372</v>
      </c>
      <c r="AX188" s="192">
        <f t="shared" si="118"/>
        <v>389297.27921534894</v>
      </c>
      <c r="AY188" s="192">
        <f t="shared" si="118"/>
        <v>400613.16993908532</v>
      </c>
      <c r="AZ188" s="192">
        <f t="shared" si="118"/>
        <v>412121.95836913493</v>
      </c>
      <c r="BA188" s="192">
        <f t="shared" si="118"/>
        <v>423848.51161841961</v>
      </c>
      <c r="BB188" s="192">
        <f t="shared" si="118"/>
        <v>435815.06534317223</v>
      </c>
      <c r="BC188" s="192">
        <f t="shared" si="118"/>
        <v>448041.71099827997</v>
      </c>
      <c r="BD188" s="192">
        <f t="shared" si="118"/>
        <v>460546.80196789216</v>
      </c>
      <c r="BE188" s="192">
        <f t="shared" si="118"/>
        <v>473347.29230458732</v>
      </c>
      <c r="BF188" s="192">
        <f t="shared" si="118"/>
        <v>486459.01949181367</v>
      </c>
      <c r="BG188" s="192">
        <f t="shared" si="119"/>
        <v>499896.94071734929</v>
      </c>
      <c r="BH188" s="192">
        <f t="shared" si="119"/>
        <v>513675.33054403658</v>
      </c>
      <c r="BI188" s="192">
        <f t="shared" si="119"/>
        <v>527807.94653306343</v>
      </c>
      <c r="BJ188" s="192">
        <f t="shared" si="119"/>
        <v>542308.16826889093</v>
      </c>
      <c r="BK188" s="192">
        <f t="shared" si="119"/>
        <v>557189.11431561515</v>
      </c>
      <c r="BL188" s="192">
        <f t="shared" si="119"/>
        <v>572463.74087052711</v>
      </c>
      <c r="BM188" s="192">
        <f t="shared" si="119"/>
        <v>588144.92524567572</v>
      </c>
      <c r="BN188" s="192">
        <f t="shared" si="119"/>
        <v>604245.53678054851</v>
      </c>
      <c r="BO188" s="192">
        <f t="shared" si="119"/>
        <v>620778.4973504527</v>
      </c>
      <c r="BP188" s="192">
        <f t="shared" si="119"/>
        <v>637756.83327073406</v>
      </c>
      <c r="BQ188" s="192">
        <f t="shared" si="120"/>
        <v>655193.72009411221</v>
      </c>
      <c r="BR188" s="192">
        <f t="shared" si="120"/>
        <v>673102.52154674171</v>
      </c>
      <c r="BS188" s="192">
        <f t="shared" si="120"/>
        <v>691496.82363946293</v>
      </c>
      <c r="BT188" s="192">
        <f t="shared" si="120"/>
        <v>0</v>
      </c>
      <c r="BU188" s="192">
        <f t="shared" si="120"/>
        <v>0</v>
      </c>
      <c r="BV188" s="192">
        <f t="shared" si="120"/>
        <v>0</v>
      </c>
      <c r="BW188" s="192">
        <f t="shared" si="120"/>
        <v>0</v>
      </c>
      <c r="BX188" s="192">
        <f t="shared" si="120"/>
        <v>0</v>
      </c>
      <c r="BY188" s="192">
        <f t="shared" si="120"/>
        <v>0</v>
      </c>
      <c r="BZ188" s="192">
        <f t="shared" si="120"/>
        <v>0</v>
      </c>
      <c r="CA188" s="192">
        <f t="shared" si="120"/>
        <v>0</v>
      </c>
      <c r="CB188" s="192">
        <f t="shared" si="120"/>
        <v>0</v>
      </c>
    </row>
    <row r="189" spans="2:80">
      <c r="B189" s="1">
        <v>2026</v>
      </c>
      <c r="C189" s="12">
        <f t="shared" si="101"/>
        <v>2039</v>
      </c>
      <c r="E189" s="192">
        <f t="shared" si="121"/>
        <v>0</v>
      </c>
      <c r="F189" s="192">
        <f t="shared" si="121"/>
        <v>0</v>
      </c>
      <c r="G189" s="192">
        <f t="shared" si="121"/>
        <v>0</v>
      </c>
      <c r="H189" s="192">
        <f t="shared" si="121"/>
        <v>0</v>
      </c>
      <c r="I189" s="192">
        <f t="shared" si="121"/>
        <v>0</v>
      </c>
      <c r="J189" s="192">
        <f t="shared" si="121"/>
        <v>0</v>
      </c>
      <c r="K189" s="192">
        <f t="shared" si="121"/>
        <v>0</v>
      </c>
      <c r="L189" s="192">
        <f t="shared" si="121"/>
        <v>0</v>
      </c>
      <c r="M189" s="192">
        <f t="shared" si="121"/>
        <v>0</v>
      </c>
      <c r="N189" s="192">
        <f t="shared" si="121"/>
        <v>0</v>
      </c>
      <c r="O189" s="192">
        <f t="shared" si="121"/>
        <v>0</v>
      </c>
      <c r="P189" s="192">
        <f t="shared" si="121"/>
        <v>0</v>
      </c>
      <c r="Q189" s="192">
        <f t="shared" si="121"/>
        <v>0</v>
      </c>
      <c r="R189" s="192">
        <f t="shared" si="121"/>
        <v>0</v>
      </c>
      <c r="S189" s="192">
        <f t="shared" si="115"/>
        <v>0</v>
      </c>
      <c r="T189" s="192">
        <f t="shared" si="115"/>
        <v>0</v>
      </c>
      <c r="U189" s="192">
        <f t="shared" si="115"/>
        <v>0</v>
      </c>
      <c r="V189" s="192">
        <f t="shared" si="115"/>
        <v>0</v>
      </c>
      <c r="W189" s="192">
        <f t="shared" si="115"/>
        <v>0</v>
      </c>
      <c r="X189" s="192">
        <f t="shared" si="115"/>
        <v>0</v>
      </c>
      <c r="Y189" s="192">
        <f t="shared" si="115"/>
        <v>0</v>
      </c>
      <c r="Z189" s="192">
        <f t="shared" si="115"/>
        <v>0</v>
      </c>
      <c r="AA189" s="192">
        <f t="shared" si="115"/>
        <v>0</v>
      </c>
      <c r="AB189" s="192">
        <f t="shared" si="115"/>
        <v>0</v>
      </c>
      <c r="AC189" s="192">
        <f t="shared" si="116"/>
        <v>0</v>
      </c>
      <c r="AD189" s="192">
        <f t="shared" si="116"/>
        <v>0</v>
      </c>
      <c r="AE189" s="192">
        <f t="shared" si="116"/>
        <v>0</v>
      </c>
      <c r="AF189" s="192">
        <f t="shared" si="116"/>
        <v>120940.46545308601</v>
      </c>
      <c r="AG189" s="192">
        <f t="shared" si="116"/>
        <v>147970.35532425565</v>
      </c>
      <c r="AH189" s="192">
        <f t="shared" si="116"/>
        <v>171730.75283037079</v>
      </c>
      <c r="AI189" s="192">
        <f t="shared" si="116"/>
        <v>192809.22591720859</v>
      </c>
      <c r="AJ189" s="192">
        <f t="shared" si="116"/>
        <v>211695.07240992234</v>
      </c>
      <c r="AK189" s="192">
        <f t="shared" si="116"/>
        <v>228795.94348711081</v>
      </c>
      <c r="AL189" s="192">
        <f t="shared" si="116"/>
        <v>244451.66029155342</v>
      </c>
      <c r="AM189" s="192">
        <f t="shared" si="117"/>
        <v>258945.69775597026</v>
      </c>
      <c r="AN189" s="192">
        <f t="shared" si="117"/>
        <v>272514.72965433</v>
      </c>
      <c r="AO189" s="192">
        <f t="shared" si="117"/>
        <v>285356.56234428467</v>
      </c>
      <c r="AP189" s="192">
        <f t="shared" si="117"/>
        <v>297636.72936033452</v>
      </c>
      <c r="AQ189" s="192">
        <f t="shared" si="117"/>
        <v>309493.97305213579</v>
      </c>
      <c r="AR189" s="192">
        <f t="shared" si="117"/>
        <v>321044.80126038613</v>
      </c>
      <c r="AS189" s="192">
        <f t="shared" si="117"/>
        <v>332387.2752727801</v>
      </c>
      <c r="AT189" s="192">
        <f t="shared" si="117"/>
        <v>343604.15891494998</v>
      </c>
      <c r="AU189" s="192">
        <f t="shared" si="117"/>
        <v>354765.53670040402</v>
      </c>
      <c r="AV189" s="192">
        <f t="shared" si="117"/>
        <v>365930.99073656619</v>
      </c>
      <c r="AW189" s="192">
        <f t="shared" si="118"/>
        <v>377151.41093551985</v>
      </c>
      <c r="AX189" s="192">
        <f t="shared" si="118"/>
        <v>388470.50048804266</v>
      </c>
      <c r="AY189" s="192">
        <f t="shared" si="118"/>
        <v>399926.02809589508</v>
      </c>
      <c r="AZ189" s="192">
        <f t="shared" si="118"/>
        <v>411550.86976093973</v>
      </c>
      <c r="BA189" s="192">
        <f t="shared" si="118"/>
        <v>423373.87570206187</v>
      </c>
      <c r="BB189" s="192">
        <f t="shared" si="118"/>
        <v>435420.5919639733</v>
      </c>
      <c r="BC189" s="192">
        <f t="shared" si="118"/>
        <v>447713.86128962174</v>
      </c>
      <c r="BD189" s="192">
        <f t="shared" si="118"/>
        <v>460274.32367877266</v>
      </c>
      <c r="BE189" s="192">
        <f t="shared" si="118"/>
        <v>473120.83360695629</v>
      </c>
      <c r="BF189" s="192">
        <f t="shared" si="118"/>
        <v>486270.8080130259</v>
      </c>
      <c r="BG189" s="192">
        <f t="shared" si="119"/>
        <v>499740.51678169088</v>
      </c>
      <c r="BH189" s="192">
        <f t="shared" si="119"/>
        <v>513545.3254678084</v>
      </c>
      <c r="BI189" s="192">
        <f t="shared" si="119"/>
        <v>527699.89836400317</v>
      </c>
      <c r="BJ189" s="192">
        <f t="shared" si="119"/>
        <v>542218.3686458607</v>
      </c>
      <c r="BK189" s="192">
        <f t="shared" si="119"/>
        <v>557114.48119256925</v>
      </c>
      <c r="BL189" s="192">
        <f t="shared" si="119"/>
        <v>572401.71273647028</v>
      </c>
      <c r="BM189" s="192">
        <f t="shared" si="119"/>
        <v>588093.37321009731</v>
      </c>
      <c r="BN189" s="192">
        <f t="shared" si="119"/>
        <v>604202.69150698557</v>
      </c>
      <c r="BO189" s="192">
        <f t="shared" si="119"/>
        <v>620742.88833043841</v>
      </c>
      <c r="BP189" s="192">
        <f t="shared" si="119"/>
        <v>637727.23835393391</v>
      </c>
      <c r="BQ189" s="192">
        <f t="shared" si="120"/>
        <v>655169.12354245025</v>
      </c>
      <c r="BR189" s="192">
        <f t="shared" si="120"/>
        <v>673082.07917287946</v>
      </c>
      <c r="BS189" s="192">
        <f t="shared" si="120"/>
        <v>691479.83383313252</v>
      </c>
      <c r="BT189" s="192">
        <f t="shared" si="120"/>
        <v>710376.34446471266</v>
      </c>
      <c r="BU189" s="192">
        <f t="shared" si="120"/>
        <v>0</v>
      </c>
      <c r="BV189" s="192">
        <f t="shared" si="120"/>
        <v>0</v>
      </c>
      <c r="BW189" s="192">
        <f t="shared" si="120"/>
        <v>0</v>
      </c>
      <c r="BX189" s="192">
        <f t="shared" si="120"/>
        <v>0</v>
      </c>
      <c r="BY189" s="192">
        <f t="shared" si="120"/>
        <v>0</v>
      </c>
      <c r="BZ189" s="192">
        <f t="shared" si="120"/>
        <v>0</v>
      </c>
      <c r="CA189" s="192">
        <f t="shared" si="120"/>
        <v>0</v>
      </c>
      <c r="CB189" s="192">
        <f t="shared" si="120"/>
        <v>0</v>
      </c>
    </row>
    <row r="190" spans="2:80">
      <c r="B190" s="1">
        <v>2027</v>
      </c>
      <c r="C190" s="12">
        <f t="shared" si="101"/>
        <v>2040</v>
      </c>
      <c r="E190" s="192">
        <f t="shared" si="121"/>
        <v>0</v>
      </c>
      <c r="F190" s="192">
        <f t="shared" si="121"/>
        <v>0</v>
      </c>
      <c r="G190" s="192">
        <f t="shared" si="121"/>
        <v>0</v>
      </c>
      <c r="H190" s="192">
        <f t="shared" si="121"/>
        <v>0</v>
      </c>
      <c r="I190" s="192">
        <f t="shared" si="121"/>
        <v>0</v>
      </c>
      <c r="J190" s="192">
        <f t="shared" si="121"/>
        <v>0</v>
      </c>
      <c r="K190" s="192">
        <f t="shared" si="121"/>
        <v>0</v>
      </c>
      <c r="L190" s="192">
        <f t="shared" si="121"/>
        <v>0</v>
      </c>
      <c r="M190" s="192">
        <f t="shared" si="121"/>
        <v>0</v>
      </c>
      <c r="N190" s="192">
        <f t="shared" si="121"/>
        <v>0</v>
      </c>
      <c r="O190" s="192">
        <f t="shared" si="121"/>
        <v>0</v>
      </c>
      <c r="P190" s="192">
        <f t="shared" si="121"/>
        <v>0</v>
      </c>
      <c r="Q190" s="192">
        <f t="shared" si="121"/>
        <v>0</v>
      </c>
      <c r="R190" s="192">
        <f t="shared" si="121"/>
        <v>0</v>
      </c>
      <c r="S190" s="192">
        <f t="shared" si="115"/>
        <v>0</v>
      </c>
      <c r="T190" s="192">
        <f t="shared" si="115"/>
        <v>0</v>
      </c>
      <c r="U190" s="192">
        <f t="shared" si="115"/>
        <v>0</v>
      </c>
      <c r="V190" s="192">
        <f t="shared" si="115"/>
        <v>0</v>
      </c>
      <c r="W190" s="192">
        <f t="shared" si="115"/>
        <v>0</v>
      </c>
      <c r="X190" s="192">
        <f t="shared" si="115"/>
        <v>0</v>
      </c>
      <c r="Y190" s="192">
        <f t="shared" si="115"/>
        <v>0</v>
      </c>
      <c r="Z190" s="192">
        <f t="shared" si="115"/>
        <v>0</v>
      </c>
      <c r="AA190" s="192">
        <f t="shared" si="115"/>
        <v>0</v>
      </c>
      <c r="AB190" s="192">
        <f t="shared" si="115"/>
        <v>0</v>
      </c>
      <c r="AC190" s="192">
        <f t="shared" si="116"/>
        <v>0</v>
      </c>
      <c r="AD190" s="192">
        <f t="shared" si="116"/>
        <v>0</v>
      </c>
      <c r="AE190" s="192">
        <f t="shared" si="116"/>
        <v>0</v>
      </c>
      <c r="AF190" s="192">
        <f t="shared" si="116"/>
        <v>0</v>
      </c>
      <c r="AG190" s="192">
        <f t="shared" si="116"/>
        <v>124242.43005809972</v>
      </c>
      <c r="AH190" s="192">
        <f t="shared" si="116"/>
        <v>152010.30071425851</v>
      </c>
      <c r="AI190" s="192">
        <f t="shared" si="116"/>
        <v>176419.41402671958</v>
      </c>
      <c r="AJ190" s="192">
        <f t="shared" si="116"/>
        <v>198073.37995459881</v>
      </c>
      <c r="AK190" s="192">
        <f t="shared" si="116"/>
        <v>217474.85532653876</v>
      </c>
      <c r="AL190" s="192">
        <f t="shared" si="116"/>
        <v>235042.62117546663</v>
      </c>
      <c r="AM190" s="192">
        <f t="shared" si="117"/>
        <v>251125.77657592189</v>
      </c>
      <c r="AN190" s="192">
        <f t="shared" si="117"/>
        <v>266015.53600578645</v>
      </c>
      <c r="AO190" s="192">
        <f t="shared" si="117"/>
        <v>279955.03500037262</v>
      </c>
      <c r="AP190" s="192">
        <f t="shared" si="117"/>
        <v>293147.48050504475</v>
      </c>
      <c r="AQ190" s="192">
        <f t="shared" si="117"/>
        <v>305762.92551658384</v>
      </c>
      <c r="AR190" s="192">
        <f t="shared" si="117"/>
        <v>317943.90038336173</v>
      </c>
      <c r="AS190" s="192">
        <f t="shared" si="117"/>
        <v>329810.09388940013</v>
      </c>
      <c r="AT190" s="192">
        <f t="shared" si="117"/>
        <v>341462.2446306037</v>
      </c>
      <c r="AU190" s="192">
        <f t="shared" si="117"/>
        <v>352985.37608343182</v>
      </c>
      <c r="AV190" s="192">
        <f t="shared" si="117"/>
        <v>364451.48623660649</v>
      </c>
      <c r="AW190" s="192">
        <f t="shared" si="118"/>
        <v>375921.78393190465</v>
      </c>
      <c r="AX190" s="192">
        <f t="shared" si="118"/>
        <v>387448.54849799396</v>
      </c>
      <c r="AY190" s="192">
        <f t="shared" si="118"/>
        <v>399076.67632751854</v>
      </c>
      <c r="AZ190" s="192">
        <f t="shared" si="118"/>
        <v>410844.96729832957</v>
      </c>
      <c r="BA190" s="192">
        <f t="shared" si="118"/>
        <v>422787.19500594528</v>
      </c>
      <c r="BB190" s="192">
        <f t="shared" si="118"/>
        <v>434932.99734938156</v>
      </c>
      <c r="BC190" s="192">
        <f t="shared" si="118"/>
        <v>447308.61784160545</v>
      </c>
      <c r="BD190" s="192">
        <f t="shared" si="118"/>
        <v>459937.52288720192</v>
      </c>
      <c r="BE190" s="192">
        <f t="shared" si="118"/>
        <v>472840.91600740474</v>
      </c>
      <c r="BF190" s="192">
        <f t="shared" si="118"/>
        <v>486038.16645012086</v>
      </c>
      <c r="BG190" s="192">
        <f t="shared" si="119"/>
        <v>499547.16667838331</v>
      </c>
      <c r="BH190" s="192">
        <f t="shared" si="119"/>
        <v>513384.63078375335</v>
      </c>
      <c r="BI190" s="192">
        <f t="shared" si="119"/>
        <v>527566.34383756761</v>
      </c>
      <c r="BJ190" s="192">
        <f t="shared" si="119"/>
        <v>542107.3705027902</v>
      </c>
      <c r="BK190" s="192">
        <f t="shared" si="119"/>
        <v>557022.22982457781</v>
      </c>
      <c r="BL190" s="192">
        <f t="shared" si="119"/>
        <v>572325.04195026727</v>
      </c>
      <c r="BM190" s="192">
        <f t="shared" si="119"/>
        <v>588029.65155929734</v>
      </c>
      <c r="BN190" s="192">
        <f t="shared" si="119"/>
        <v>604149.73197726405</v>
      </c>
      <c r="BO190" s="192">
        <f t="shared" si="119"/>
        <v>620698.87327820575</v>
      </c>
      <c r="BP190" s="192">
        <f t="shared" si="119"/>
        <v>637690.65712231724</v>
      </c>
      <c r="BQ190" s="192">
        <f t="shared" si="120"/>
        <v>655138.72061348148</v>
      </c>
      <c r="BR190" s="192">
        <f t="shared" si="120"/>
        <v>673056.81107639836</v>
      </c>
      <c r="BS190" s="192">
        <f t="shared" si="120"/>
        <v>691458.83333346283</v>
      </c>
      <c r="BT190" s="192">
        <f t="shared" si="120"/>
        <v>710358.89079594437</v>
      </c>
      <c r="BU190" s="192">
        <f t="shared" si="120"/>
        <v>729771.32146330387</v>
      </c>
      <c r="BV190" s="192">
        <f t="shared" si="120"/>
        <v>0</v>
      </c>
      <c r="BW190" s="192">
        <f t="shared" si="120"/>
        <v>0</v>
      </c>
      <c r="BX190" s="192">
        <f t="shared" si="120"/>
        <v>0</v>
      </c>
      <c r="BY190" s="192">
        <f t="shared" si="120"/>
        <v>0</v>
      </c>
      <c r="BZ190" s="192">
        <f t="shared" si="120"/>
        <v>0</v>
      </c>
      <c r="CA190" s="192">
        <f t="shared" si="120"/>
        <v>0</v>
      </c>
      <c r="CB190" s="192">
        <f t="shared" si="120"/>
        <v>0</v>
      </c>
    </row>
    <row r="191" spans="2:80">
      <c r="B191" s="1">
        <v>2028</v>
      </c>
      <c r="C191" s="12">
        <f t="shared" si="101"/>
        <v>2041</v>
      </c>
      <c r="E191" s="192">
        <f t="shared" si="121"/>
        <v>0</v>
      </c>
      <c r="F191" s="192">
        <f t="shared" si="121"/>
        <v>0</v>
      </c>
      <c r="G191" s="192">
        <f t="shared" si="121"/>
        <v>0</v>
      </c>
      <c r="H191" s="192">
        <f t="shared" si="121"/>
        <v>0</v>
      </c>
      <c r="I191" s="192">
        <f t="shared" si="121"/>
        <v>0</v>
      </c>
      <c r="J191" s="192">
        <f t="shared" si="121"/>
        <v>0</v>
      </c>
      <c r="K191" s="192">
        <f t="shared" si="121"/>
        <v>0</v>
      </c>
      <c r="L191" s="192">
        <f t="shared" si="121"/>
        <v>0</v>
      </c>
      <c r="M191" s="192">
        <f t="shared" si="121"/>
        <v>0</v>
      </c>
      <c r="N191" s="192">
        <f t="shared" si="121"/>
        <v>0</v>
      </c>
      <c r="O191" s="192">
        <f t="shared" si="121"/>
        <v>0</v>
      </c>
      <c r="P191" s="192">
        <f t="shared" si="121"/>
        <v>0</v>
      </c>
      <c r="Q191" s="192">
        <f t="shared" si="121"/>
        <v>0</v>
      </c>
      <c r="R191" s="192">
        <f t="shared" si="121"/>
        <v>0</v>
      </c>
      <c r="S191" s="192">
        <f t="shared" si="115"/>
        <v>0</v>
      </c>
      <c r="T191" s="192">
        <f t="shared" si="115"/>
        <v>0</v>
      </c>
      <c r="U191" s="192">
        <f t="shared" si="115"/>
        <v>0</v>
      </c>
      <c r="V191" s="192">
        <f t="shared" si="115"/>
        <v>0</v>
      </c>
      <c r="W191" s="192">
        <f t="shared" si="115"/>
        <v>0</v>
      </c>
      <c r="X191" s="192">
        <f t="shared" si="115"/>
        <v>0</v>
      </c>
      <c r="Y191" s="192">
        <f t="shared" si="115"/>
        <v>0</v>
      </c>
      <c r="Z191" s="192">
        <f t="shared" si="115"/>
        <v>0</v>
      </c>
      <c r="AA191" s="192">
        <f t="shared" si="115"/>
        <v>0</v>
      </c>
      <c r="AB191" s="192">
        <f t="shared" si="115"/>
        <v>0</v>
      </c>
      <c r="AC191" s="192">
        <f t="shared" si="116"/>
        <v>0</v>
      </c>
      <c r="AD191" s="192">
        <f t="shared" si="116"/>
        <v>0</v>
      </c>
      <c r="AE191" s="192">
        <f t="shared" si="116"/>
        <v>0</v>
      </c>
      <c r="AF191" s="192">
        <f t="shared" si="116"/>
        <v>0</v>
      </c>
      <c r="AG191" s="192">
        <f t="shared" si="116"/>
        <v>0</v>
      </c>
      <c r="AH191" s="192">
        <f t="shared" si="116"/>
        <v>127634.54621174457</v>
      </c>
      <c r="AI191" s="192">
        <f t="shared" si="116"/>
        <v>156160.54629728614</v>
      </c>
      <c r="AJ191" s="192">
        <f t="shared" si="116"/>
        <v>181236.08691259878</v>
      </c>
      <c r="AK191" s="192">
        <f t="shared" si="116"/>
        <v>203481.25801555457</v>
      </c>
      <c r="AL191" s="192">
        <f t="shared" si="116"/>
        <v>223412.44017110232</v>
      </c>
      <c r="AM191" s="192">
        <f t="shared" si="117"/>
        <v>241459.84813819977</v>
      </c>
      <c r="AN191" s="192">
        <f t="shared" si="117"/>
        <v>257982.11223292281</v>
      </c>
      <c r="AO191" s="192">
        <f t="shared" si="117"/>
        <v>273278.39778644987</v>
      </c>
      <c r="AP191" s="192">
        <f t="shared" si="117"/>
        <v>287598.47851701092</v>
      </c>
      <c r="AQ191" s="192">
        <f t="shared" si="117"/>
        <v>301151.1094066723</v>
      </c>
      <c r="AR191" s="192">
        <f t="shared" si="117"/>
        <v>314110.98630664957</v>
      </c>
      <c r="AS191" s="192">
        <f t="shared" si="117"/>
        <v>326624.53098547494</v>
      </c>
      <c r="AT191" s="192">
        <f t="shared" si="117"/>
        <v>338814.70001787163</v>
      </c>
      <c r="AU191" s="192">
        <f t="shared" si="117"/>
        <v>350784.98240488616</v>
      </c>
      <c r="AV191" s="192">
        <f t="shared" si="117"/>
        <v>362622.72296768927</v>
      </c>
      <c r="AW191" s="192">
        <f t="shared" si="118"/>
        <v>374401.88541267661</v>
      </c>
      <c r="AX191" s="192">
        <f t="shared" si="118"/>
        <v>386185.34972972499</v>
      </c>
      <c r="AY191" s="192">
        <f t="shared" si="118"/>
        <v>398026.82259848999</v>
      </c>
      <c r="AZ191" s="192">
        <f t="shared" si="118"/>
        <v>409972.42619075306</v>
      </c>
      <c r="BA191" s="192">
        <f t="shared" si="118"/>
        <v>422062.01971403527</v>
      </c>
      <c r="BB191" s="192">
        <f t="shared" si="118"/>
        <v>434330.29886396875</v>
      </c>
      <c r="BC191" s="192">
        <f t="shared" si="118"/>
        <v>446807.71072525554</v>
      </c>
      <c r="BD191" s="192">
        <f t="shared" si="118"/>
        <v>459521.21532167337</v>
      </c>
      <c r="BE191" s="192">
        <f t="shared" si="118"/>
        <v>472494.9197469019</v>
      </c>
      <c r="BF191" s="192">
        <f t="shared" si="118"/>
        <v>485750.60642913013</v>
      </c>
      <c r="BG191" s="192">
        <f t="shared" si="119"/>
        <v>499308.17344316171</v>
      </c>
      <c r="BH191" s="192">
        <f t="shared" si="119"/>
        <v>513186.00175915915</v>
      </c>
      <c r="BI191" s="192">
        <f t="shared" si="119"/>
        <v>527401.26180344762</v>
      </c>
      <c r="BJ191" s="192">
        <f t="shared" si="119"/>
        <v>541970.16961764859</v>
      </c>
      <c r="BK191" s="192">
        <f t="shared" si="119"/>
        <v>556908.20116613538</v>
      </c>
      <c r="BL191" s="192">
        <f t="shared" si="119"/>
        <v>572230.27189880027</v>
      </c>
      <c r="BM191" s="192">
        <f t="shared" si="119"/>
        <v>587950.88747684867</v>
      </c>
      <c r="BN191" s="192">
        <f t="shared" si="119"/>
        <v>604084.2705726542</v>
      </c>
      <c r="BO191" s="192">
        <f t="shared" si="119"/>
        <v>620644.46782637713</v>
      </c>
      <c r="BP191" s="192">
        <f t="shared" si="119"/>
        <v>637645.44035365304</v>
      </c>
      <c r="BQ191" s="192">
        <f t="shared" si="120"/>
        <v>655101.14062655531</v>
      </c>
      <c r="BR191" s="192">
        <f t="shared" si="120"/>
        <v>673025.57807459193</v>
      </c>
      <c r="BS191" s="192">
        <f t="shared" si="120"/>
        <v>691432.87535737944</v>
      </c>
      <c r="BT191" s="192">
        <f t="shared" si="120"/>
        <v>710337.31693229463</v>
      </c>
      <c r="BU191" s="192">
        <f t="shared" si="120"/>
        <v>729753.39126754121</v>
      </c>
      <c r="BV191" s="192">
        <f t="shared" si="120"/>
        <v>749695.82782433357</v>
      </c>
      <c r="BW191" s="192">
        <f t="shared" si="120"/>
        <v>0</v>
      </c>
      <c r="BX191" s="192">
        <f t="shared" si="120"/>
        <v>0</v>
      </c>
      <c r="BY191" s="192">
        <f t="shared" si="120"/>
        <v>0</v>
      </c>
      <c r="BZ191" s="192">
        <f t="shared" si="120"/>
        <v>0</v>
      </c>
      <c r="CA191" s="192">
        <f t="shared" si="120"/>
        <v>0</v>
      </c>
      <c r="CB191" s="192">
        <f t="shared" si="120"/>
        <v>0</v>
      </c>
    </row>
    <row r="192" spans="2:80">
      <c r="B192" s="1">
        <v>2029</v>
      </c>
      <c r="C192" s="12">
        <f t="shared" si="101"/>
        <v>2042</v>
      </c>
      <c r="E192" s="192">
        <f t="shared" si="121"/>
        <v>0</v>
      </c>
      <c r="F192" s="192">
        <f t="shared" si="121"/>
        <v>0</v>
      </c>
      <c r="G192" s="192">
        <f t="shared" si="121"/>
        <v>0</v>
      </c>
      <c r="H192" s="192">
        <f t="shared" si="121"/>
        <v>0</v>
      </c>
      <c r="I192" s="192">
        <f t="shared" si="121"/>
        <v>0</v>
      </c>
      <c r="J192" s="192">
        <f t="shared" si="121"/>
        <v>0</v>
      </c>
      <c r="K192" s="192">
        <f t="shared" si="121"/>
        <v>0</v>
      </c>
      <c r="L192" s="192">
        <f t="shared" si="121"/>
        <v>0</v>
      </c>
      <c r="M192" s="192">
        <f t="shared" si="121"/>
        <v>0</v>
      </c>
      <c r="N192" s="192">
        <f t="shared" si="121"/>
        <v>0</v>
      </c>
      <c r="O192" s="192">
        <f t="shared" si="121"/>
        <v>0</v>
      </c>
      <c r="P192" s="192">
        <f t="shared" si="121"/>
        <v>0</v>
      </c>
      <c r="Q192" s="192">
        <f t="shared" si="121"/>
        <v>0</v>
      </c>
      <c r="R192" s="192">
        <f t="shared" si="121"/>
        <v>0</v>
      </c>
      <c r="S192" s="192">
        <f t="shared" si="115"/>
        <v>0</v>
      </c>
      <c r="T192" s="192">
        <f t="shared" si="115"/>
        <v>0</v>
      </c>
      <c r="U192" s="192">
        <f t="shared" si="115"/>
        <v>0</v>
      </c>
      <c r="V192" s="192">
        <f t="shared" si="115"/>
        <v>0</v>
      </c>
      <c r="W192" s="192">
        <f t="shared" si="115"/>
        <v>0</v>
      </c>
      <c r="X192" s="192">
        <f t="shared" si="115"/>
        <v>0</v>
      </c>
      <c r="Y192" s="192">
        <f t="shared" si="115"/>
        <v>0</v>
      </c>
      <c r="Z192" s="192">
        <f t="shared" si="115"/>
        <v>0</v>
      </c>
      <c r="AA192" s="192">
        <f t="shared" si="115"/>
        <v>0</v>
      </c>
      <c r="AB192" s="192">
        <f t="shared" si="115"/>
        <v>0</v>
      </c>
      <c r="AC192" s="192">
        <f t="shared" si="116"/>
        <v>0</v>
      </c>
      <c r="AD192" s="192">
        <f t="shared" si="116"/>
        <v>0</v>
      </c>
      <c r="AE192" s="192">
        <f t="shared" si="116"/>
        <v>0</v>
      </c>
      <c r="AF192" s="192">
        <f t="shared" si="116"/>
        <v>0</v>
      </c>
      <c r="AG192" s="192">
        <f t="shared" si="116"/>
        <v>0</v>
      </c>
      <c r="AH192" s="192">
        <f t="shared" si="116"/>
        <v>0</v>
      </c>
      <c r="AI192" s="192">
        <f t="shared" si="116"/>
        <v>131119.27526739429</v>
      </c>
      <c r="AJ192" s="192">
        <f t="shared" si="116"/>
        <v>160424.10353300115</v>
      </c>
      <c r="AK192" s="192">
        <f t="shared" si="116"/>
        <v>186184.26651398069</v>
      </c>
      <c r="AL192" s="192">
        <f t="shared" si="116"/>
        <v>209036.78411043022</v>
      </c>
      <c r="AM192" s="192">
        <f t="shared" si="117"/>
        <v>229512.13531450232</v>
      </c>
      <c r="AN192" s="192">
        <f t="shared" si="117"/>
        <v>248052.28077931277</v>
      </c>
      <c r="AO192" s="192">
        <f t="shared" si="117"/>
        <v>265025.64228821459</v>
      </c>
      <c r="AP192" s="192">
        <f t="shared" si="117"/>
        <v>280739.55310303619</v>
      </c>
      <c r="AQ192" s="192">
        <f t="shared" si="117"/>
        <v>295450.60636323079</v>
      </c>
      <c r="AR192" s="192">
        <f t="shared" si="117"/>
        <v>309373.25656226749</v>
      </c>
      <c r="AS192" s="192">
        <f t="shared" si="117"/>
        <v>322686.96916685149</v>
      </c>
      <c r="AT192" s="192">
        <f t="shared" si="117"/>
        <v>335542.16361077363</v>
      </c>
      <c r="AU192" s="192">
        <f t="shared" si="117"/>
        <v>348065.15347797784</v>
      </c>
      <c r="AV192" s="192">
        <f t="shared" si="117"/>
        <v>360362.25326730567</v>
      </c>
      <c r="AW192" s="192">
        <f t="shared" si="118"/>
        <v>372523.19252291427</v>
      </c>
      <c r="AX192" s="192">
        <f t="shared" si="118"/>
        <v>384623.95433767693</v>
      </c>
      <c r="AY192" s="192">
        <f t="shared" si="118"/>
        <v>396729.1354759197</v>
      </c>
      <c r="AZ192" s="192">
        <f t="shared" si="118"/>
        <v>408893.90893838927</v>
      </c>
      <c r="BA192" s="192">
        <f t="shared" si="118"/>
        <v>421165.65614271315</v>
      </c>
      <c r="BB192" s="192">
        <f t="shared" si="118"/>
        <v>433585.32454832131</v>
      </c>
      <c r="BC192" s="192">
        <f t="shared" si="118"/>
        <v>446188.5571265035</v>
      </c>
      <c r="BD192" s="192">
        <f t="shared" si="118"/>
        <v>459006.63224035676</v>
      </c>
      <c r="BE192" s="192">
        <f t="shared" si="118"/>
        <v>472067.2459869319</v>
      </c>
      <c r="BF192" s="192">
        <f t="shared" si="118"/>
        <v>485395.16364135157</v>
      </c>
      <c r="BG192" s="192">
        <f t="shared" si="119"/>
        <v>499012.76234430738</v>
      </c>
      <c r="BH192" s="192">
        <f t="shared" si="119"/>
        <v>512940.48343574163</v>
      </c>
      <c r="BI192" s="192">
        <f t="shared" si="119"/>
        <v>527197.20973036194</v>
      </c>
      <c r="BJ192" s="192">
        <f t="shared" si="119"/>
        <v>541800.58044829022</v>
      </c>
      <c r="BK192" s="192">
        <f t="shared" si="119"/>
        <v>556767.25436795456</v>
      </c>
      <c r="BL192" s="192">
        <f t="shared" si="119"/>
        <v>572113.12998465204</v>
      </c>
      <c r="BM192" s="192">
        <f t="shared" si="119"/>
        <v>587853.52997580974</v>
      </c>
      <c r="BN192" s="192">
        <f t="shared" si="119"/>
        <v>604003.35604195471</v>
      </c>
      <c r="BO192" s="192">
        <f t="shared" si="119"/>
        <v>620577.21916850854</v>
      </c>
      <c r="BP192" s="192">
        <f t="shared" si="119"/>
        <v>637589.54950257787</v>
      </c>
      <c r="BQ192" s="192">
        <f t="shared" si="120"/>
        <v>655054.68933172058</v>
      </c>
      <c r="BR192" s="192">
        <f t="shared" si="120"/>
        <v>672986.97206394211</v>
      </c>
      <c r="BS192" s="192">
        <f t="shared" si="120"/>
        <v>691400.7896197571</v>
      </c>
      <c r="BT192" s="192">
        <f t="shared" si="120"/>
        <v>710310.65024124214</v>
      </c>
      <c r="BU192" s="192">
        <f t="shared" si="120"/>
        <v>729731.22838570061</v>
      </c>
      <c r="BV192" s="192">
        <f t="shared" si="120"/>
        <v>749677.40809124743</v>
      </c>
      <c r="BW192" s="192">
        <f t="shared" si="120"/>
        <v>770164.32096869545</v>
      </c>
      <c r="BX192" s="192">
        <f t="shared" si="120"/>
        <v>0</v>
      </c>
      <c r="BY192" s="192">
        <f t="shared" si="120"/>
        <v>0</v>
      </c>
      <c r="BZ192" s="192">
        <f t="shared" si="120"/>
        <v>0</v>
      </c>
      <c r="CA192" s="192">
        <f t="shared" si="120"/>
        <v>0</v>
      </c>
      <c r="CB192" s="192">
        <f t="shared" si="120"/>
        <v>0</v>
      </c>
    </row>
    <row r="193" spans="2:80">
      <c r="B193" s="1">
        <v>2030</v>
      </c>
      <c r="C193" s="12">
        <f t="shared" si="101"/>
        <v>2043</v>
      </c>
      <c r="E193" s="192">
        <f t="shared" si="121"/>
        <v>0</v>
      </c>
      <c r="F193" s="192">
        <f t="shared" si="121"/>
        <v>0</v>
      </c>
      <c r="G193" s="192">
        <f t="shared" si="121"/>
        <v>0</v>
      </c>
      <c r="H193" s="192">
        <f t="shared" si="121"/>
        <v>0</v>
      </c>
      <c r="I193" s="192">
        <f t="shared" si="121"/>
        <v>0</v>
      </c>
      <c r="J193" s="192">
        <f t="shared" si="121"/>
        <v>0</v>
      </c>
      <c r="K193" s="192">
        <f t="shared" si="121"/>
        <v>0</v>
      </c>
      <c r="L193" s="192">
        <f t="shared" si="121"/>
        <v>0</v>
      </c>
      <c r="M193" s="192">
        <f t="shared" si="121"/>
        <v>0</v>
      </c>
      <c r="N193" s="192">
        <f t="shared" si="121"/>
        <v>0</v>
      </c>
      <c r="O193" s="192">
        <f t="shared" si="121"/>
        <v>0</v>
      </c>
      <c r="P193" s="192">
        <f t="shared" si="121"/>
        <v>0</v>
      </c>
      <c r="Q193" s="192">
        <f t="shared" si="121"/>
        <v>0</v>
      </c>
      <c r="R193" s="192">
        <f t="shared" si="121"/>
        <v>0</v>
      </c>
      <c r="S193" s="192">
        <f t="shared" si="115"/>
        <v>0</v>
      </c>
      <c r="T193" s="192">
        <f t="shared" si="115"/>
        <v>0</v>
      </c>
      <c r="U193" s="192">
        <f t="shared" si="115"/>
        <v>0</v>
      </c>
      <c r="V193" s="192">
        <f t="shared" si="115"/>
        <v>0</v>
      </c>
      <c r="W193" s="192">
        <f t="shared" si="115"/>
        <v>0</v>
      </c>
      <c r="X193" s="192">
        <f t="shared" si="115"/>
        <v>0</v>
      </c>
      <c r="Y193" s="192">
        <f t="shared" si="115"/>
        <v>0</v>
      </c>
      <c r="Z193" s="192">
        <f t="shared" si="115"/>
        <v>0</v>
      </c>
      <c r="AA193" s="192">
        <f t="shared" si="115"/>
        <v>0</v>
      </c>
      <c r="AB193" s="192">
        <f t="shared" si="115"/>
        <v>0</v>
      </c>
      <c r="AC193" s="192">
        <f t="shared" si="116"/>
        <v>0</v>
      </c>
      <c r="AD193" s="192">
        <f t="shared" si="116"/>
        <v>0</v>
      </c>
      <c r="AE193" s="192">
        <f t="shared" si="116"/>
        <v>0</v>
      </c>
      <c r="AF193" s="192">
        <f t="shared" si="116"/>
        <v>0</v>
      </c>
      <c r="AG193" s="192">
        <f t="shared" si="116"/>
        <v>0</v>
      </c>
      <c r="AH193" s="192">
        <f t="shared" si="116"/>
        <v>0</v>
      </c>
      <c r="AI193" s="192">
        <f t="shared" si="116"/>
        <v>0</v>
      </c>
      <c r="AJ193" s="192">
        <f t="shared" si="116"/>
        <v>134699.14577926966</v>
      </c>
      <c r="AK193" s="192">
        <f t="shared" si="116"/>
        <v>164804.06610113353</v>
      </c>
      <c r="AL193" s="192">
        <f t="shared" si="116"/>
        <v>191267.54327942428</v>
      </c>
      <c r="AM193" s="192">
        <f t="shared" si="117"/>
        <v>214743.98938446882</v>
      </c>
      <c r="AN193" s="192">
        <f t="shared" si="117"/>
        <v>235778.36675648054</v>
      </c>
      <c r="AO193" s="192">
        <f t="shared" si="117"/>
        <v>254824.70263379902</v>
      </c>
      <c r="AP193" s="192">
        <f t="shared" si="117"/>
        <v>272261.47759758151</v>
      </c>
      <c r="AQ193" s="192">
        <f t="shared" si="117"/>
        <v>288404.41584439209</v>
      </c>
      <c r="AR193" s="192">
        <f t="shared" si="117"/>
        <v>303517.11612145283</v>
      </c>
      <c r="AS193" s="192">
        <f t="shared" si="117"/>
        <v>317819.88804395875</v>
      </c>
      <c r="AT193" s="192">
        <f t="shared" si="117"/>
        <v>331497.09691604075</v>
      </c>
      <c r="AU193" s="192">
        <f t="shared" si="117"/>
        <v>344703.2689825921</v>
      </c>
      <c r="AV193" s="192">
        <f t="shared" si="117"/>
        <v>357568.16649117623</v>
      </c>
      <c r="AW193" s="192">
        <f t="shared" si="118"/>
        <v>370201.00658129231</v>
      </c>
      <c r="AX193" s="192">
        <f t="shared" si="118"/>
        <v>382693.96862873738</v>
      </c>
      <c r="AY193" s="192">
        <f t="shared" si="118"/>
        <v>395125.11024695425</v>
      </c>
      <c r="AZ193" s="192">
        <f t="shared" si="118"/>
        <v>407560.79184677545</v>
      </c>
      <c r="BA193" s="192">
        <f t="shared" si="118"/>
        <v>420057.69278411963</v>
      </c>
      <c r="BB193" s="192">
        <f t="shared" si="118"/>
        <v>432664.48810289003</v>
      </c>
      <c r="BC193" s="192">
        <f t="shared" si="118"/>
        <v>445423.24322631175</v>
      </c>
      <c r="BD193" s="192">
        <f t="shared" si="118"/>
        <v>458370.57426422799</v>
      </c>
      <c r="BE193" s="192">
        <f t="shared" si="118"/>
        <v>471538.61355402338</v>
      </c>
      <c r="BF193" s="192">
        <f t="shared" si="118"/>
        <v>484955.81336258678</v>
      </c>
      <c r="BG193" s="192">
        <f t="shared" si="119"/>
        <v>498647.61511641479</v>
      </c>
      <c r="BH193" s="192">
        <f t="shared" si="119"/>
        <v>512637.00690577884</v>
      </c>
      <c r="BI193" s="192">
        <f t="shared" si="119"/>
        <v>526944.9881681999</v>
      </c>
      <c r="BJ193" s="192">
        <f t="shared" si="119"/>
        <v>541590.95726448996</v>
      </c>
      <c r="BK193" s="192">
        <f t="shared" si="119"/>
        <v>556593.03500776202</v>
      </c>
      <c r="BL193" s="192">
        <f t="shared" si="119"/>
        <v>571968.33500102675</v>
      </c>
      <c r="BM193" s="192">
        <f t="shared" si="119"/>
        <v>587733.18980661244</v>
      </c>
      <c r="BN193" s="192">
        <f t="shared" si="119"/>
        <v>603903.34044776845</v>
      </c>
      <c r="BO193" s="192">
        <f t="shared" si="119"/>
        <v>620494.09547716612</v>
      </c>
      <c r="BP193" s="192">
        <f t="shared" si="119"/>
        <v>637520.46479515231</v>
      </c>
      <c r="BQ193" s="192">
        <f t="shared" si="120"/>
        <v>654997.27252643905</v>
      </c>
      <c r="BR193" s="192">
        <f t="shared" si="120"/>
        <v>672939.25253741327</v>
      </c>
      <c r="BS193" s="192">
        <f t="shared" si="120"/>
        <v>691361.12957247684</v>
      </c>
      <c r="BT193" s="192">
        <f t="shared" si="120"/>
        <v>710277.68848607223</v>
      </c>
      <c r="BU193" s="192">
        <f t="shared" si="120"/>
        <v>729703.83363006136</v>
      </c>
      <c r="BV193" s="192">
        <f t="shared" si="120"/>
        <v>749654.64010960748</v>
      </c>
      <c r="BW193" s="192">
        <f t="shared" si="120"/>
        <v>770145.39833274321</v>
      </c>
      <c r="BX193" s="192">
        <f t="shared" si="120"/>
        <v>791191.65303952759</v>
      </c>
      <c r="BY193" s="192">
        <f t="shared" si="120"/>
        <v>0</v>
      </c>
      <c r="BZ193" s="192">
        <f t="shared" si="120"/>
        <v>0</v>
      </c>
      <c r="CA193" s="192">
        <f t="shared" si="120"/>
        <v>0</v>
      </c>
      <c r="CB193" s="192">
        <f t="shared" si="120"/>
        <v>0</v>
      </c>
    </row>
    <row r="194" spans="2:80">
      <c r="B194" s="1">
        <v>2031</v>
      </c>
      <c r="C194" s="12">
        <f t="shared" si="101"/>
        <v>2044</v>
      </c>
      <c r="E194" s="192">
        <f t="shared" si="121"/>
        <v>0</v>
      </c>
      <c r="F194" s="192">
        <f t="shared" si="121"/>
        <v>0</v>
      </c>
      <c r="G194" s="192">
        <f t="shared" si="121"/>
        <v>0</v>
      </c>
      <c r="H194" s="192">
        <f t="shared" si="121"/>
        <v>0</v>
      </c>
      <c r="I194" s="192">
        <f t="shared" si="121"/>
        <v>0</v>
      </c>
      <c r="J194" s="192">
        <f t="shared" si="121"/>
        <v>0</v>
      </c>
      <c r="K194" s="192">
        <f t="shared" si="121"/>
        <v>0</v>
      </c>
      <c r="L194" s="192">
        <f t="shared" si="121"/>
        <v>0</v>
      </c>
      <c r="M194" s="192">
        <f t="shared" si="121"/>
        <v>0</v>
      </c>
      <c r="N194" s="192">
        <f t="shared" si="121"/>
        <v>0</v>
      </c>
      <c r="O194" s="192">
        <f t="shared" si="121"/>
        <v>0</v>
      </c>
      <c r="P194" s="192">
        <f t="shared" si="121"/>
        <v>0</v>
      </c>
      <c r="Q194" s="192">
        <f t="shared" si="121"/>
        <v>0</v>
      </c>
      <c r="R194" s="192">
        <f t="shared" si="121"/>
        <v>0</v>
      </c>
      <c r="S194" s="192">
        <f t="shared" si="115"/>
        <v>0</v>
      </c>
      <c r="T194" s="192">
        <f t="shared" si="115"/>
        <v>0</v>
      </c>
      <c r="U194" s="192">
        <f t="shared" si="115"/>
        <v>0</v>
      </c>
      <c r="V194" s="192">
        <f t="shared" si="115"/>
        <v>0</v>
      </c>
      <c r="W194" s="192">
        <f t="shared" si="115"/>
        <v>0</v>
      </c>
      <c r="X194" s="192">
        <f t="shared" si="115"/>
        <v>0</v>
      </c>
      <c r="Y194" s="192">
        <f t="shared" si="115"/>
        <v>0</v>
      </c>
      <c r="Z194" s="192">
        <f t="shared" si="115"/>
        <v>0</v>
      </c>
      <c r="AA194" s="192">
        <f t="shared" si="115"/>
        <v>0</v>
      </c>
      <c r="AB194" s="192">
        <f t="shared" si="115"/>
        <v>0</v>
      </c>
      <c r="AC194" s="192">
        <f t="shared" si="116"/>
        <v>0</v>
      </c>
      <c r="AD194" s="192">
        <f t="shared" si="116"/>
        <v>0</v>
      </c>
      <c r="AE194" s="192">
        <f t="shared" si="116"/>
        <v>0</v>
      </c>
      <c r="AF194" s="192">
        <f t="shared" si="116"/>
        <v>0</v>
      </c>
      <c r="AG194" s="192">
        <f t="shared" si="116"/>
        <v>0</v>
      </c>
      <c r="AH194" s="192">
        <f t="shared" si="116"/>
        <v>0</v>
      </c>
      <c r="AI194" s="192">
        <f t="shared" si="116"/>
        <v>0</v>
      </c>
      <c r="AJ194" s="192">
        <f t="shared" si="116"/>
        <v>0</v>
      </c>
      <c r="AK194" s="192">
        <f t="shared" si="116"/>
        <v>138376.75533718281</v>
      </c>
      <c r="AL194" s="192">
        <f t="shared" si="116"/>
        <v>169303.61214628562</v>
      </c>
      <c r="AM194" s="192">
        <f t="shared" si="117"/>
        <v>196489.60568534065</v>
      </c>
      <c r="AN194" s="192">
        <f t="shared" si="117"/>
        <v>220607.01504284135</v>
      </c>
      <c r="AO194" s="192">
        <f t="shared" si="117"/>
        <v>242215.68133718095</v>
      </c>
      <c r="AP194" s="192">
        <f t="shared" si="117"/>
        <v>261782.02783862344</v>
      </c>
      <c r="AQ194" s="192">
        <f t="shared" si="117"/>
        <v>279694.86855542171</v>
      </c>
      <c r="AR194" s="192">
        <f t="shared" si="117"/>
        <v>296278.54771150689</v>
      </c>
      <c r="AS194" s="192">
        <f t="shared" si="117"/>
        <v>311803.86093175487</v>
      </c>
      <c r="AT194" s="192">
        <f t="shared" si="117"/>
        <v>326497.13281194476</v>
      </c>
      <c r="AU194" s="192">
        <f t="shared" si="117"/>
        <v>340547.76227093948</v>
      </c>
      <c r="AV194" s="192">
        <f t="shared" si="117"/>
        <v>354114.49449052243</v>
      </c>
      <c r="AW194" s="192">
        <f t="shared" si="118"/>
        <v>367330.63453865959</v>
      </c>
      <c r="AX194" s="192">
        <f t="shared" si="118"/>
        <v>380308.38144455559</v>
      </c>
      <c r="AY194" s="192">
        <f t="shared" si="118"/>
        <v>393142.43130192353</v>
      </c>
      <c r="AZ194" s="192">
        <f t="shared" si="118"/>
        <v>405912.97288415971</v>
      </c>
      <c r="BA194" s="192">
        <f t="shared" si="118"/>
        <v>418688.1784003806</v>
      </c>
      <c r="BB194" s="192">
        <f t="shared" si="118"/>
        <v>431526.27468878357</v>
      </c>
      <c r="BC194" s="192">
        <f t="shared" si="118"/>
        <v>444477.26573864598</v>
      </c>
      <c r="BD194" s="192">
        <f t="shared" si="118"/>
        <v>457584.36546007916</v>
      </c>
      <c r="BE194" s="192">
        <f t="shared" si="118"/>
        <v>470885.18967049499</v>
      </c>
      <c r="BF194" s="192">
        <f t="shared" si="118"/>
        <v>484412.74799711106</v>
      </c>
      <c r="BG194" s="192">
        <f t="shared" si="119"/>
        <v>498196.26952190313</v>
      </c>
      <c r="BH194" s="192">
        <f t="shared" si="119"/>
        <v>512261.89028329519</v>
      </c>
      <c r="BI194" s="192">
        <f t="shared" si="119"/>
        <v>526633.22600152623</v>
      </c>
      <c r="BJ194" s="192">
        <f t="shared" si="119"/>
        <v>541331.84944909776</v>
      </c>
      <c r="BK194" s="192">
        <f t="shared" si="119"/>
        <v>556377.68860857049</v>
      </c>
      <c r="BL194" s="192">
        <f t="shared" si="119"/>
        <v>571789.3590346917</v>
      </c>
      <c r="BM194" s="192">
        <f t="shared" si="119"/>
        <v>587584.44157285604</v>
      </c>
      <c r="BN194" s="192">
        <f t="shared" si="119"/>
        <v>603779.7147034927</v>
      </c>
      <c r="BO194" s="192">
        <f t="shared" si="119"/>
        <v>620391.349217518</v>
      </c>
      <c r="BP194" s="192">
        <f t="shared" si="119"/>
        <v>637435.07162778627</v>
      </c>
      <c r="BQ194" s="192">
        <f t="shared" si="120"/>
        <v>654926.30164090241</v>
      </c>
      <c r="BR194" s="192">
        <f t="shared" si="120"/>
        <v>672880.26811571745</v>
      </c>
      <c r="BS194" s="192">
        <f t="shared" si="120"/>
        <v>691312.10718848847</v>
      </c>
      <c r="BT194" s="192">
        <f t="shared" si="120"/>
        <v>710236.94562443485</v>
      </c>
      <c r="BU194" s="192">
        <f t="shared" si="120"/>
        <v>729669.97193996492</v>
      </c>
      <c r="BV194" s="192">
        <f t="shared" si="120"/>
        <v>749626.49741147319</v>
      </c>
      <c r="BW194" s="192">
        <f t="shared" si="120"/>
        <v>770122.00873062888</v>
      </c>
      <c r="BX194" s="192">
        <f t="shared" si="120"/>
        <v>791172.2137702558</v>
      </c>
      <c r="BY194" s="192">
        <f t="shared" si="120"/>
        <v>812793.08167907794</v>
      </c>
      <c r="BZ194" s="192">
        <f t="shared" si="120"/>
        <v>0</v>
      </c>
      <c r="CA194" s="192">
        <f t="shared" si="120"/>
        <v>0</v>
      </c>
      <c r="CB194" s="192">
        <f t="shared" si="120"/>
        <v>0</v>
      </c>
    </row>
    <row r="195" spans="2:80">
      <c r="B195" s="1">
        <v>2032</v>
      </c>
      <c r="C195" s="12">
        <f t="shared" si="101"/>
        <v>2045</v>
      </c>
      <c r="E195" s="193">
        <f t="shared" si="121"/>
        <v>0</v>
      </c>
      <c r="F195" s="193">
        <f t="shared" si="121"/>
        <v>0</v>
      </c>
      <c r="G195" s="193">
        <f t="shared" si="121"/>
        <v>0</v>
      </c>
      <c r="H195" s="193">
        <f t="shared" si="121"/>
        <v>0</v>
      </c>
      <c r="I195" s="193">
        <f t="shared" si="121"/>
        <v>0</v>
      </c>
      <c r="J195" s="193">
        <f t="shared" si="121"/>
        <v>0</v>
      </c>
      <c r="K195" s="193">
        <f t="shared" si="121"/>
        <v>0</v>
      </c>
      <c r="L195" s="193">
        <f t="shared" si="121"/>
        <v>0</v>
      </c>
      <c r="M195" s="193">
        <f t="shared" si="121"/>
        <v>0</v>
      </c>
      <c r="N195" s="193">
        <f t="shared" si="121"/>
        <v>0</v>
      </c>
      <c r="O195" s="193">
        <f t="shared" si="121"/>
        <v>0</v>
      </c>
      <c r="P195" s="193">
        <f t="shared" si="121"/>
        <v>0</v>
      </c>
      <c r="Q195" s="193">
        <f t="shared" si="121"/>
        <v>0</v>
      </c>
      <c r="R195" s="193">
        <f t="shared" si="121"/>
        <v>0</v>
      </c>
      <c r="S195" s="192">
        <f t="shared" si="115"/>
        <v>0</v>
      </c>
      <c r="T195" s="192">
        <f t="shared" si="115"/>
        <v>0</v>
      </c>
      <c r="U195" s="192">
        <f t="shared" si="115"/>
        <v>0</v>
      </c>
      <c r="V195" s="192">
        <f t="shared" si="115"/>
        <v>0</v>
      </c>
      <c r="W195" s="192">
        <f t="shared" si="115"/>
        <v>0</v>
      </c>
      <c r="X195" s="192">
        <f t="shared" si="115"/>
        <v>0</v>
      </c>
      <c r="Y195" s="192">
        <f t="shared" si="115"/>
        <v>0</v>
      </c>
      <c r="Z195" s="192">
        <f t="shared" si="115"/>
        <v>0</v>
      </c>
      <c r="AA195" s="192">
        <f t="shared" si="115"/>
        <v>0</v>
      </c>
      <c r="AB195" s="192">
        <f t="shared" si="115"/>
        <v>0</v>
      </c>
      <c r="AC195" s="192">
        <f t="shared" si="116"/>
        <v>0</v>
      </c>
      <c r="AD195" s="192">
        <f t="shared" si="116"/>
        <v>0</v>
      </c>
      <c r="AE195" s="192">
        <f t="shared" si="116"/>
        <v>0</v>
      </c>
      <c r="AF195" s="192">
        <f t="shared" si="116"/>
        <v>0</v>
      </c>
      <c r="AG195" s="192">
        <f t="shared" si="116"/>
        <v>0</v>
      </c>
      <c r="AH195" s="192">
        <f t="shared" si="116"/>
        <v>0</v>
      </c>
      <c r="AI195" s="192">
        <f t="shared" si="116"/>
        <v>0</v>
      </c>
      <c r="AJ195" s="192">
        <f t="shared" si="116"/>
        <v>0</v>
      </c>
      <c r="AK195" s="192">
        <f t="shared" si="116"/>
        <v>0</v>
      </c>
      <c r="AL195" s="192">
        <f t="shared" si="116"/>
        <v>142154.77245137413</v>
      </c>
      <c r="AM195" s="192">
        <f t="shared" si="117"/>
        <v>173926.0065840254</v>
      </c>
      <c r="AN195" s="192">
        <f t="shared" si="117"/>
        <v>201854.24291238835</v>
      </c>
      <c r="AO195" s="192">
        <f t="shared" si="117"/>
        <v>226630.11535554653</v>
      </c>
      <c r="AP195" s="192">
        <f t="shared" si="117"/>
        <v>248828.75003638241</v>
      </c>
      <c r="AQ195" s="192">
        <f t="shared" si="117"/>
        <v>268929.30469846947</v>
      </c>
      <c r="AR195" s="192">
        <f t="shared" si="117"/>
        <v>287331.20890448563</v>
      </c>
      <c r="AS195" s="192">
        <f t="shared" si="117"/>
        <v>304367.66225313861</v>
      </c>
      <c r="AT195" s="192">
        <f t="shared" si="117"/>
        <v>320316.85373896925</v>
      </c>
      <c r="AU195" s="192">
        <f t="shared" si="117"/>
        <v>335411.28716172854</v>
      </c>
      <c r="AV195" s="192">
        <f t="shared" si="117"/>
        <v>349845.53248475981</v>
      </c>
      <c r="AW195" s="192">
        <f t="shared" si="118"/>
        <v>363782.66901382623</v>
      </c>
      <c r="AX195" s="192">
        <f t="shared" si="118"/>
        <v>377359.6413647859</v>
      </c>
      <c r="AY195" s="192">
        <f t="shared" si="118"/>
        <v>390691.71186928515</v>
      </c>
      <c r="AZ195" s="192">
        <f t="shared" si="118"/>
        <v>403876.16205138509</v>
      </c>
      <c r="BA195" s="192">
        <f t="shared" si="118"/>
        <v>416995.37003021099</v>
      </c>
      <c r="BB195" s="192">
        <f t="shared" si="118"/>
        <v>430119.36927959888</v>
      </c>
      <c r="BC195" s="192">
        <f t="shared" si="118"/>
        <v>443307.97637000057</v>
      </c>
      <c r="BD195" s="192">
        <f t="shared" si="118"/>
        <v>456612.56051946199</v>
      </c>
      <c r="BE195" s="192">
        <f t="shared" si="118"/>
        <v>470077.51548142545</v>
      </c>
      <c r="BF195" s="192">
        <f t="shared" si="118"/>
        <v>483741.48407528456</v>
      </c>
      <c r="BG195" s="192">
        <f t="shared" si="119"/>
        <v>497638.377170205</v>
      </c>
      <c r="BH195" s="192">
        <f t="shared" si="119"/>
        <v>511798.22187216365</v>
      </c>
      <c r="BI195" s="192">
        <f t="shared" si="119"/>
        <v>526247.86779608228</v>
      </c>
      <c r="BJ195" s="192">
        <f t="shared" si="119"/>
        <v>541011.57542797003</v>
      </c>
      <c r="BK195" s="192">
        <f t="shared" si="119"/>
        <v>556111.50652872853</v>
      </c>
      <c r="BL195" s="192">
        <f t="shared" si="119"/>
        <v>571568.13316261012</v>
      </c>
      <c r="BM195" s="192">
        <f t="shared" si="119"/>
        <v>587400.57913362887</v>
      </c>
      <c r="BN195" s="192">
        <f t="shared" si="119"/>
        <v>603626.9052864007</v>
      </c>
      <c r="BO195" s="192">
        <f t="shared" si="119"/>
        <v>620264.34819408867</v>
      </c>
      <c r="BP195" s="192">
        <f t="shared" si="119"/>
        <v>637329.52014896355</v>
      </c>
      <c r="BQ195" s="192">
        <f t="shared" si="120"/>
        <v>654838.57703537703</v>
      </c>
      <c r="BR195" s="192">
        <f t="shared" si="120"/>
        <v>672807.35955488635</v>
      </c>
      <c r="BS195" s="192">
        <f t="shared" si="120"/>
        <v>691251.51235069288</v>
      </c>
      <c r="BT195" s="192">
        <f t="shared" si="120"/>
        <v>710186.58481185522</v>
      </c>
      <c r="BU195" s="192">
        <f t="shared" si="120"/>
        <v>729628.11670054297</v>
      </c>
      <c r="BV195" s="192">
        <f t="shared" si="120"/>
        <v>749591.71121606953</v>
      </c>
      <c r="BW195" s="192">
        <f t="shared" si="120"/>
        <v>770093.09766937664</v>
      </c>
      <c r="BX195" s="192">
        <f t="shared" si="120"/>
        <v>791148.1855759382</v>
      </c>
      <c r="BY195" s="192">
        <f t="shared" si="120"/>
        <v>812773.11167115823</v>
      </c>
      <c r="BZ195" s="192">
        <f t="shared" si="120"/>
        <v>834984.28109979955</v>
      </c>
      <c r="CA195" s="192">
        <f t="shared" si="120"/>
        <v>0</v>
      </c>
      <c r="CB195" s="192">
        <f t="shared" si="120"/>
        <v>0</v>
      </c>
    </row>
    <row r="196" spans="2:80">
      <c r="B196" s="115" t="s">
        <v>400</v>
      </c>
      <c r="E196" s="192">
        <f t="shared" ref="E196:AJ196" si="122">SUM(E176:E195)</f>
        <v>0</v>
      </c>
      <c r="F196" s="192">
        <f t="shared" si="122"/>
        <v>0</v>
      </c>
      <c r="G196" s="192">
        <f t="shared" si="122"/>
        <v>0</v>
      </c>
      <c r="H196" s="192">
        <f t="shared" si="122"/>
        <v>0</v>
      </c>
      <c r="I196" s="192">
        <f t="shared" si="122"/>
        <v>0</v>
      </c>
      <c r="J196" s="192">
        <f t="shared" si="122"/>
        <v>0</v>
      </c>
      <c r="K196" s="192">
        <f t="shared" si="122"/>
        <v>0</v>
      </c>
      <c r="L196" s="192">
        <f t="shared" si="122"/>
        <v>0</v>
      </c>
      <c r="M196" s="192">
        <f t="shared" si="122"/>
        <v>0</v>
      </c>
      <c r="N196" s="192">
        <f t="shared" si="122"/>
        <v>0</v>
      </c>
      <c r="O196" s="192">
        <f t="shared" si="122"/>
        <v>0</v>
      </c>
      <c r="P196" s="192">
        <f t="shared" si="122"/>
        <v>0</v>
      </c>
      <c r="Q196" s="192">
        <f t="shared" si="122"/>
        <v>0</v>
      </c>
      <c r="R196" s="192">
        <f t="shared" si="122"/>
        <v>0</v>
      </c>
      <c r="S196" s="192">
        <f t="shared" si="122"/>
        <v>0</v>
      </c>
      <c r="T196" s="192">
        <f t="shared" si="122"/>
        <v>4376.8536218780464</v>
      </c>
      <c r="U196" s="192">
        <f t="shared" si="122"/>
        <v>27836.83048492239</v>
      </c>
      <c r="V196" s="192">
        <f t="shared" si="122"/>
        <v>89150.700832049915</v>
      </c>
      <c r="W196" s="192">
        <f t="shared" si="122"/>
        <v>196878.00340362388</v>
      </c>
      <c r="X196" s="192">
        <f t="shared" si="122"/>
        <v>330015.66070246033</v>
      </c>
      <c r="Y196" s="192">
        <f t="shared" si="122"/>
        <v>483466.49089458061</v>
      </c>
      <c r="Z196" s="192">
        <f t="shared" si="122"/>
        <v>656012.7565544016</v>
      </c>
      <c r="AA196" s="192">
        <f t="shared" si="122"/>
        <v>846731.32472787844</v>
      </c>
      <c r="AB196" s="192">
        <f t="shared" si="122"/>
        <v>1054947.1171824031</v>
      </c>
      <c r="AC196" s="192">
        <f t="shared" si="122"/>
        <v>1280194.5313795893</v>
      </c>
      <c r="AD196" s="192">
        <f t="shared" si="122"/>
        <v>1522185.4895252585</v>
      </c>
      <c r="AE196" s="192">
        <f t="shared" si="122"/>
        <v>1780782.9999267941</v>
      </c>
      <c r="AF196" s="192">
        <f t="shared" si="122"/>
        <v>2055979.3034497001</v>
      </c>
      <c r="AG196" s="192">
        <f t="shared" si="122"/>
        <v>2347877.8345838324</v>
      </c>
      <c r="AH196" s="192">
        <f t="shared" si="122"/>
        <v>2656678.3568834686</v>
      </c>
      <c r="AI196" s="192">
        <f t="shared" si="122"/>
        <v>2982664.7408040604</v>
      </c>
      <c r="AJ196" s="192">
        <f t="shared" si="122"/>
        <v>3326194.9419370205</v>
      </c>
      <c r="AK196" s="192">
        <f t="shared" ref="AK196:BP196" si="123">SUM(AK176:AK195)</f>
        <v>3687692.8124298137</v>
      </c>
      <c r="AL196" s="192">
        <f t="shared" si="123"/>
        <v>4067641.4405379253</v>
      </c>
      <c r="AM196" s="192">
        <f t="shared" si="123"/>
        <v>4320541.8264318556</v>
      </c>
      <c r="AN196" s="192">
        <f t="shared" si="123"/>
        <v>4556390.5801044805</v>
      </c>
      <c r="AO196" s="192">
        <f t="shared" si="123"/>
        <v>4778768.2151888199</v>
      </c>
      <c r="AP196" s="192">
        <f t="shared" si="123"/>
        <v>4990669.6512746233</v>
      </c>
      <c r="AQ196" s="192">
        <f t="shared" si="123"/>
        <v>5194603.6387171475</v>
      </c>
      <c r="AR196" s="192">
        <f t="shared" si="123"/>
        <v>5392675.4055812359</v>
      </c>
      <c r="AS196" s="192">
        <f t="shared" si="123"/>
        <v>5586655.3607687326</v>
      </c>
      <c r="AT196" s="192">
        <f t="shared" si="123"/>
        <v>5778036.2087378576</v>
      </c>
      <c r="AU196" s="192">
        <f t="shared" si="123"/>
        <v>5968080.4334228281</v>
      </c>
      <c r="AV196" s="192">
        <f t="shared" si="123"/>
        <v>6157859.7783474633</v>
      </c>
      <c r="AW196" s="192">
        <f t="shared" si="123"/>
        <v>6348288.0751507059</v>
      </c>
      <c r="AX196" s="192">
        <f t="shared" si="123"/>
        <v>6540148.5443740934</v>
      </c>
      <c r="AY196" s="192">
        <f t="shared" si="123"/>
        <v>6734116.502563322</v>
      </c>
      <c r="AZ196" s="192">
        <f t="shared" si="123"/>
        <v>6930778.2519939607</v>
      </c>
      <c r="BA196" s="192">
        <f t="shared" si="123"/>
        <v>7130646.7982310988</v>
      </c>
      <c r="BB196" s="192">
        <f t="shared" si="123"/>
        <v>7334174.9317747094</v>
      </c>
      <c r="BC196" s="192">
        <f t="shared" si="123"/>
        <v>7541766.1194870155</v>
      </c>
      <c r="BD196" s="192">
        <f t="shared" si="123"/>
        <v>7753783.576237224</v>
      </c>
      <c r="BE196" s="192">
        <f t="shared" si="123"/>
        <v>7970557.824649482</v>
      </c>
      <c r="BF196" s="192">
        <f t="shared" si="123"/>
        <v>8192392.9988549063</v>
      </c>
      <c r="BG196" s="192">
        <f t="shared" si="123"/>
        <v>8419572.1049438287</v>
      </c>
      <c r="BH196" s="192">
        <f t="shared" si="123"/>
        <v>8652361.4149070997</v>
      </c>
      <c r="BI196" s="192">
        <f t="shared" si="123"/>
        <v>8864603.0822361074</v>
      </c>
      <c r="BJ196" s="192">
        <f t="shared" si="123"/>
        <v>8972980.2125202231</v>
      </c>
      <c r="BK196" s="192">
        <f t="shared" si="123"/>
        <v>8885159.8080101628</v>
      </c>
      <c r="BL196" s="192">
        <f t="shared" si="123"/>
        <v>8585084.6299438793</v>
      </c>
      <c r="BM196" s="192">
        <f t="shared" si="123"/>
        <v>8232304.7057974618</v>
      </c>
      <c r="BN196" s="192">
        <f t="shared" si="123"/>
        <v>7853628.3344002366</v>
      </c>
      <c r="BO196" s="192">
        <f t="shared" si="123"/>
        <v>7447943.8466127915</v>
      </c>
      <c r="BP196" s="192">
        <f t="shared" si="123"/>
        <v>7014091.5148905739</v>
      </c>
      <c r="BQ196" s="192">
        <f t="shared" ref="BQ196:CB196" si="124">SUM(BQ176:BQ195)</f>
        <v>6550862.8824994909</v>
      </c>
      <c r="BR196" s="192">
        <f t="shared" si="124"/>
        <v>6056999.9019611795</v>
      </c>
      <c r="BS196" s="192">
        <f t="shared" si="124"/>
        <v>5531193.904894853</v>
      </c>
      <c r="BT196" s="192">
        <f t="shared" si="124"/>
        <v>4972084.421356556</v>
      </c>
      <c r="BU196" s="192">
        <f t="shared" si="124"/>
        <v>4378257.8633871144</v>
      </c>
      <c r="BV196" s="192">
        <f t="shared" si="124"/>
        <v>3748246.0846527312</v>
      </c>
      <c r="BW196" s="192">
        <f t="shared" si="124"/>
        <v>3080524.8257014439</v>
      </c>
      <c r="BX196" s="192">
        <f t="shared" si="124"/>
        <v>2373512.0523857218</v>
      </c>
      <c r="BY196" s="192">
        <f t="shared" si="124"/>
        <v>1625566.1933502362</v>
      </c>
      <c r="BZ196" s="192">
        <f t="shared" si="124"/>
        <v>834984.28109979955</v>
      </c>
      <c r="CA196" s="192">
        <f t="shared" si="124"/>
        <v>0</v>
      </c>
      <c r="CB196" s="192">
        <f t="shared" si="124"/>
        <v>0</v>
      </c>
    </row>
    <row r="197" spans="2:80">
      <c r="B197" s="115" t="s">
        <v>399</v>
      </c>
      <c r="Z197" s="192">
        <f t="shared" ref="Z197:BE197" si="125">Z196/(1+$G$172)^(Z175-$Y$175)</f>
        <v>596375.23323127418</v>
      </c>
      <c r="AA197" s="192">
        <f t="shared" si="125"/>
        <v>699777.95432056056</v>
      </c>
      <c r="AB197" s="192">
        <f t="shared" si="125"/>
        <v>792597.38330759038</v>
      </c>
      <c r="AC197" s="192">
        <f t="shared" si="125"/>
        <v>874390.09041704051</v>
      </c>
      <c r="AD197" s="192">
        <f t="shared" si="125"/>
        <v>945157.42809747101</v>
      </c>
      <c r="AE197" s="192">
        <f t="shared" si="125"/>
        <v>1005205.5785416326</v>
      </c>
      <c r="AF197" s="192">
        <f t="shared" si="125"/>
        <v>1055042.4704795268</v>
      </c>
      <c r="AG197" s="192">
        <f t="shared" si="125"/>
        <v>1095302.3376642049</v>
      </c>
      <c r="AH197" s="192">
        <f t="shared" si="125"/>
        <v>1126690.9639360048</v>
      </c>
      <c r="AI197" s="192">
        <f t="shared" si="125"/>
        <v>1149946.3754350783</v>
      </c>
      <c r="AJ197" s="192">
        <f t="shared" si="125"/>
        <v>1165811.0356347892</v>
      </c>
      <c r="AK197" s="192">
        <f t="shared" si="125"/>
        <v>1175012.5762891159</v>
      </c>
      <c r="AL197" s="192">
        <f t="shared" si="125"/>
        <v>1178250.8348646653</v>
      </c>
      <c r="AM197" s="192">
        <f t="shared" si="125"/>
        <v>1137733.6984361813</v>
      </c>
      <c r="AN197" s="192">
        <f t="shared" si="125"/>
        <v>1090763.6786975628</v>
      </c>
      <c r="AO197" s="192">
        <f t="shared" si="125"/>
        <v>1039999.1968129735</v>
      </c>
      <c r="AP197" s="192">
        <f t="shared" si="125"/>
        <v>987377.38474638015</v>
      </c>
      <c r="AQ197" s="192">
        <f t="shared" si="125"/>
        <v>934295.1245176642</v>
      </c>
      <c r="AR197" s="192">
        <f t="shared" si="125"/>
        <v>881745.52074638067</v>
      </c>
      <c r="AS197" s="192">
        <f t="shared" si="125"/>
        <v>830420.72134519462</v>
      </c>
      <c r="AT197" s="192">
        <f t="shared" si="125"/>
        <v>780789.33174696576</v>
      </c>
      <c r="AU197" s="192">
        <f t="shared" si="125"/>
        <v>733154.65120981133</v>
      </c>
      <c r="AV197" s="192">
        <f t="shared" si="125"/>
        <v>687698.43600113806</v>
      </c>
      <c r="AW197" s="192">
        <f t="shared" si="125"/>
        <v>644513.74307274586</v>
      </c>
      <c r="AX197" s="192">
        <f t="shared" si="125"/>
        <v>603629.53812927939</v>
      </c>
      <c r="AY197" s="192">
        <f t="shared" si="125"/>
        <v>565029.09494974662</v>
      </c>
      <c r="AZ197" s="192">
        <f t="shared" si="125"/>
        <v>528663.71645592537</v>
      </c>
      <c r="BA197" s="192">
        <f t="shared" si="125"/>
        <v>494462.93305095792</v>
      </c>
      <c r="BB197" s="192">
        <f t="shared" si="125"/>
        <v>462342.05049747101</v>
      </c>
      <c r="BC197" s="192">
        <f t="shared" si="125"/>
        <v>432207.70564356429</v>
      </c>
      <c r="BD197" s="192">
        <f t="shared" si="125"/>
        <v>403961.92669501062</v>
      </c>
      <c r="BE197" s="192">
        <f t="shared" si="125"/>
        <v>377505.07267269935</v>
      </c>
      <c r="BF197" s="192">
        <f t="shared" ref="BF197:CB197" si="126">BF196/(1+$G$172)^(BF175-$Y$175)</f>
        <v>352737.93451464432</v>
      </c>
      <c r="BG197" s="192">
        <f t="shared" si="126"/>
        <v>329563.21067495405</v>
      </c>
      <c r="BH197" s="192">
        <f t="shared" si="126"/>
        <v>307886.51751753938</v>
      </c>
      <c r="BI197" s="192">
        <f t="shared" si="126"/>
        <v>286762.67892103386</v>
      </c>
      <c r="BJ197" s="192">
        <f t="shared" si="126"/>
        <v>263880.53698484018</v>
      </c>
      <c r="BK197" s="192">
        <f t="shared" si="126"/>
        <v>237543.53077013191</v>
      </c>
      <c r="BL197" s="192">
        <f t="shared" si="126"/>
        <v>208655.51088689369</v>
      </c>
      <c r="BM197" s="192">
        <f t="shared" si="126"/>
        <v>181892.18100144769</v>
      </c>
      <c r="BN197" s="192">
        <f t="shared" si="126"/>
        <v>157750.32162045254</v>
      </c>
      <c r="BO197" s="192">
        <f t="shared" si="126"/>
        <v>136001.4745226283</v>
      </c>
      <c r="BP197" s="192">
        <f t="shared" si="126"/>
        <v>116435.64844051246</v>
      </c>
      <c r="BQ197" s="192">
        <f t="shared" si="126"/>
        <v>98859.944487131041</v>
      </c>
      <c r="BR197" s="192">
        <f t="shared" si="126"/>
        <v>83097.265867081311</v>
      </c>
      <c r="BS197" s="192">
        <f t="shared" si="126"/>
        <v>68985.110828488148</v>
      </c>
      <c r="BT197" s="192">
        <f t="shared" si="126"/>
        <v>56374.446581520831</v>
      </c>
      <c r="BU197" s="192">
        <f t="shared" si="126"/>
        <v>45128.661090209309</v>
      </c>
      <c r="BV197" s="192">
        <f t="shared" si="126"/>
        <v>35122.589128331849</v>
      </c>
      <c r="BW197" s="192">
        <f t="shared" si="126"/>
        <v>26241.608695512434</v>
      </c>
      <c r="BX197" s="192">
        <f t="shared" si="126"/>
        <v>18380.80375523683</v>
      </c>
      <c r="BY197" s="192">
        <f t="shared" si="126"/>
        <v>11444.189236592223</v>
      </c>
      <c r="BZ197" s="192">
        <f t="shared" si="126"/>
        <v>5343.9943021229101</v>
      </c>
      <c r="CA197" s="192">
        <f t="shared" si="126"/>
        <v>0</v>
      </c>
      <c r="CB197" s="192">
        <f t="shared" si="126"/>
        <v>0</v>
      </c>
    </row>
    <row r="198" spans="2:80">
      <c r="B198" s="115" t="s">
        <v>398</v>
      </c>
      <c r="E198" s="192">
        <f t="shared" ref="E198:X198" si="127">E196</f>
        <v>0</v>
      </c>
      <c r="F198" s="192">
        <f t="shared" si="127"/>
        <v>0</v>
      </c>
      <c r="G198" s="192">
        <f t="shared" si="127"/>
        <v>0</v>
      </c>
      <c r="H198" s="192">
        <f t="shared" si="127"/>
        <v>0</v>
      </c>
      <c r="I198" s="192">
        <f t="shared" si="127"/>
        <v>0</v>
      </c>
      <c r="J198" s="192">
        <f t="shared" si="127"/>
        <v>0</v>
      </c>
      <c r="K198" s="192">
        <f t="shared" si="127"/>
        <v>0</v>
      </c>
      <c r="L198" s="192">
        <f t="shared" si="127"/>
        <v>0</v>
      </c>
      <c r="M198" s="192">
        <f t="shared" si="127"/>
        <v>0</v>
      </c>
      <c r="N198" s="192">
        <f t="shared" si="127"/>
        <v>0</v>
      </c>
      <c r="O198" s="192">
        <f t="shared" si="127"/>
        <v>0</v>
      </c>
      <c r="P198" s="192">
        <f t="shared" si="127"/>
        <v>0</v>
      </c>
      <c r="Q198" s="192">
        <f t="shared" si="127"/>
        <v>0</v>
      </c>
      <c r="R198" s="192">
        <f t="shared" si="127"/>
        <v>0</v>
      </c>
      <c r="S198" s="192">
        <f t="shared" si="127"/>
        <v>0</v>
      </c>
      <c r="T198" s="192">
        <f t="shared" si="127"/>
        <v>4376.8536218780464</v>
      </c>
      <c r="U198" s="192">
        <f t="shared" si="127"/>
        <v>27836.83048492239</v>
      </c>
      <c r="V198" s="192">
        <f t="shared" si="127"/>
        <v>89150.700832049915</v>
      </c>
      <c r="W198" s="192">
        <f t="shared" si="127"/>
        <v>196878.00340362388</v>
      </c>
      <c r="X198" s="192">
        <f t="shared" si="127"/>
        <v>330015.66070246033</v>
      </c>
      <c r="Y198" s="192">
        <f>Y196+SUM(Z197:CB197)</f>
        <v>29987408.438368492</v>
      </c>
    </row>
    <row r="200" spans="2:80">
      <c r="B200" s="195" t="s">
        <v>14</v>
      </c>
      <c r="C200" s="12"/>
      <c r="D200" s="194" t="str">
        <f t="shared" ref="D200:AI200" si="128">D175</f>
        <v>Units</v>
      </c>
      <c r="E200" s="134">
        <f t="shared" si="128"/>
        <v>2012</v>
      </c>
      <c r="F200" s="134">
        <f t="shared" si="128"/>
        <v>2013</v>
      </c>
      <c r="G200" s="134">
        <f t="shared" si="128"/>
        <v>2014</v>
      </c>
      <c r="H200" s="134">
        <f t="shared" si="128"/>
        <v>2015</v>
      </c>
      <c r="I200" s="134">
        <f t="shared" si="128"/>
        <v>2016</v>
      </c>
      <c r="J200" s="134">
        <f t="shared" si="128"/>
        <v>2017</v>
      </c>
      <c r="K200" s="134">
        <f t="shared" si="128"/>
        <v>2018</v>
      </c>
      <c r="L200" s="134">
        <f t="shared" si="128"/>
        <v>2019</v>
      </c>
      <c r="M200" s="134">
        <f t="shared" si="128"/>
        <v>2020</v>
      </c>
      <c r="N200" s="134">
        <f t="shared" si="128"/>
        <v>2021</v>
      </c>
      <c r="O200" s="134">
        <f t="shared" si="128"/>
        <v>2022</v>
      </c>
      <c r="P200" s="134">
        <f t="shared" si="128"/>
        <v>2023</v>
      </c>
      <c r="Q200" s="134">
        <f t="shared" si="128"/>
        <v>2024</v>
      </c>
      <c r="R200" s="134">
        <f t="shared" si="128"/>
        <v>2025</v>
      </c>
      <c r="S200" s="134">
        <f t="shared" si="128"/>
        <v>2026</v>
      </c>
      <c r="T200" s="134">
        <f t="shared" si="128"/>
        <v>2027</v>
      </c>
      <c r="U200" s="134">
        <f t="shared" si="128"/>
        <v>2028</v>
      </c>
      <c r="V200" s="134">
        <f t="shared" si="128"/>
        <v>2029</v>
      </c>
      <c r="W200" s="134">
        <f t="shared" si="128"/>
        <v>2030</v>
      </c>
      <c r="X200" s="134">
        <f t="shared" si="128"/>
        <v>2031</v>
      </c>
      <c r="Y200" s="134">
        <f t="shared" si="128"/>
        <v>2032</v>
      </c>
      <c r="Z200" s="134">
        <f t="shared" si="128"/>
        <v>2033</v>
      </c>
      <c r="AA200" s="134">
        <f t="shared" si="128"/>
        <v>2034</v>
      </c>
      <c r="AB200" s="134">
        <f t="shared" si="128"/>
        <v>2035</v>
      </c>
      <c r="AC200" s="134">
        <f t="shared" si="128"/>
        <v>2036</v>
      </c>
      <c r="AD200" s="134">
        <f t="shared" si="128"/>
        <v>2037</v>
      </c>
      <c r="AE200" s="134">
        <f t="shared" si="128"/>
        <v>2038</v>
      </c>
      <c r="AF200" s="134">
        <f t="shared" si="128"/>
        <v>2039</v>
      </c>
      <c r="AG200" s="134">
        <f t="shared" si="128"/>
        <v>2040</v>
      </c>
      <c r="AH200" s="134">
        <f t="shared" si="128"/>
        <v>2041</v>
      </c>
      <c r="AI200" s="134">
        <f t="shared" si="128"/>
        <v>2042</v>
      </c>
      <c r="AJ200" s="134">
        <f t="shared" ref="AJ200:BO200" si="129">AJ175</f>
        <v>2043</v>
      </c>
      <c r="AK200" s="134">
        <f t="shared" si="129"/>
        <v>2044</v>
      </c>
      <c r="AL200" s="134">
        <f t="shared" si="129"/>
        <v>2045</v>
      </c>
      <c r="AM200" s="134">
        <f t="shared" si="129"/>
        <v>2046</v>
      </c>
      <c r="AN200" s="134">
        <f t="shared" si="129"/>
        <v>2047</v>
      </c>
      <c r="AO200" s="134">
        <f t="shared" si="129"/>
        <v>2048</v>
      </c>
      <c r="AP200" s="134">
        <f t="shared" si="129"/>
        <v>2049</v>
      </c>
      <c r="AQ200" s="134">
        <f t="shared" si="129"/>
        <v>2050</v>
      </c>
      <c r="AR200" s="134">
        <f t="shared" si="129"/>
        <v>2051</v>
      </c>
      <c r="AS200" s="134">
        <f t="shared" si="129"/>
        <v>2052</v>
      </c>
      <c r="AT200" s="134">
        <f t="shared" si="129"/>
        <v>2053</v>
      </c>
      <c r="AU200" s="134">
        <f t="shared" si="129"/>
        <v>2054</v>
      </c>
      <c r="AV200" s="134">
        <f t="shared" si="129"/>
        <v>2055</v>
      </c>
      <c r="AW200" s="134">
        <f t="shared" si="129"/>
        <v>2056</v>
      </c>
      <c r="AX200" s="134">
        <f t="shared" si="129"/>
        <v>2057</v>
      </c>
      <c r="AY200" s="134">
        <f t="shared" si="129"/>
        <v>2058</v>
      </c>
      <c r="AZ200" s="134">
        <f t="shared" si="129"/>
        <v>2059</v>
      </c>
      <c r="BA200" s="134">
        <f t="shared" si="129"/>
        <v>2060</v>
      </c>
      <c r="BB200" s="134">
        <f t="shared" si="129"/>
        <v>2061</v>
      </c>
      <c r="BC200" s="134">
        <f t="shared" si="129"/>
        <v>2062</v>
      </c>
      <c r="BD200" s="134">
        <f t="shared" si="129"/>
        <v>2063</v>
      </c>
      <c r="BE200" s="134">
        <f t="shared" si="129"/>
        <v>2064</v>
      </c>
      <c r="BF200" s="134">
        <f t="shared" si="129"/>
        <v>2065</v>
      </c>
      <c r="BG200" s="134">
        <f t="shared" si="129"/>
        <v>2066</v>
      </c>
      <c r="BH200" s="134">
        <f t="shared" si="129"/>
        <v>2067</v>
      </c>
      <c r="BI200" s="134">
        <f t="shared" si="129"/>
        <v>2068</v>
      </c>
      <c r="BJ200" s="134">
        <f t="shared" si="129"/>
        <v>2069</v>
      </c>
      <c r="BK200" s="134">
        <f t="shared" si="129"/>
        <v>2070</v>
      </c>
      <c r="BL200" s="134">
        <f t="shared" si="129"/>
        <v>2071</v>
      </c>
      <c r="BM200" s="134">
        <f t="shared" si="129"/>
        <v>2072</v>
      </c>
      <c r="BN200" s="134">
        <f t="shared" si="129"/>
        <v>2073</v>
      </c>
      <c r="BO200" s="134">
        <f t="shared" si="129"/>
        <v>2074</v>
      </c>
      <c r="BP200" s="134">
        <f t="shared" ref="BP200:CB200" si="130">BP175</f>
        <v>2075</v>
      </c>
      <c r="BQ200" s="134">
        <f t="shared" si="130"/>
        <v>2076</v>
      </c>
      <c r="BR200" s="134">
        <f t="shared" si="130"/>
        <v>2077</v>
      </c>
      <c r="BS200" s="134">
        <f t="shared" si="130"/>
        <v>2078</v>
      </c>
      <c r="BT200" s="134">
        <f t="shared" si="130"/>
        <v>2079</v>
      </c>
      <c r="BU200" s="134">
        <f t="shared" si="130"/>
        <v>2080</v>
      </c>
      <c r="BV200" s="134">
        <f t="shared" si="130"/>
        <v>2081</v>
      </c>
      <c r="BW200" s="134">
        <f t="shared" si="130"/>
        <v>2082</v>
      </c>
      <c r="BX200" s="134">
        <f t="shared" si="130"/>
        <v>2083</v>
      </c>
      <c r="BY200" s="134">
        <f t="shared" si="130"/>
        <v>2084</v>
      </c>
      <c r="BZ200" s="134">
        <f t="shared" si="130"/>
        <v>2085</v>
      </c>
      <c r="CA200" s="134">
        <f t="shared" si="130"/>
        <v>2086</v>
      </c>
      <c r="CB200" s="134">
        <f t="shared" si="130"/>
        <v>2087</v>
      </c>
    </row>
    <row r="201" spans="2:80">
      <c r="B201" s="1">
        <v>2013</v>
      </c>
      <c r="C201" s="12">
        <f t="shared" ref="C201:C220" si="131">$B201+$C$33-$C$32</f>
        <v>2026</v>
      </c>
      <c r="E201" s="192">
        <f t="shared" ref="E201:R210" si="132">IF(E$200&gt;=$C201,E$132*HLOOKUP(E$200-$C201+1,$E$47:$CB$49,3)*E$106*$C$30,0)</f>
        <v>0</v>
      </c>
      <c r="F201" s="192">
        <f t="shared" si="132"/>
        <v>0</v>
      </c>
      <c r="G201" s="192">
        <f t="shared" si="132"/>
        <v>0</v>
      </c>
      <c r="H201" s="192">
        <f t="shared" si="132"/>
        <v>0</v>
      </c>
      <c r="I201" s="192">
        <f t="shared" si="132"/>
        <v>0</v>
      </c>
      <c r="J201" s="192">
        <f t="shared" si="132"/>
        <v>0</v>
      </c>
      <c r="K201" s="192">
        <f t="shared" si="132"/>
        <v>0</v>
      </c>
      <c r="L201" s="192">
        <f t="shared" si="132"/>
        <v>0</v>
      </c>
      <c r="M201" s="192">
        <f t="shared" si="132"/>
        <v>0</v>
      </c>
      <c r="N201" s="192">
        <f t="shared" si="132"/>
        <v>0</v>
      </c>
      <c r="O201" s="192">
        <f t="shared" si="132"/>
        <v>0</v>
      </c>
      <c r="P201" s="192">
        <f t="shared" si="132"/>
        <v>0</v>
      </c>
      <c r="Q201" s="192">
        <f t="shared" si="132"/>
        <v>0</v>
      </c>
      <c r="R201" s="192">
        <f t="shared" si="132"/>
        <v>0</v>
      </c>
      <c r="S201" s="192">
        <f t="shared" ref="S201:AX201" si="133">IF(S$200&gt;=$C201,$E138*HLOOKUP(S$200-$C201+1,$E$47:$CB$49,3)*S$106*$C$30,0)</f>
        <v>0</v>
      </c>
      <c r="T201" s="192">
        <f t="shared" si="133"/>
        <v>0</v>
      </c>
      <c r="U201" s="192">
        <f t="shared" si="133"/>
        <v>0</v>
      </c>
      <c r="V201" s="192">
        <f t="shared" si="133"/>
        <v>0</v>
      </c>
      <c r="W201" s="192">
        <f t="shared" si="133"/>
        <v>0</v>
      </c>
      <c r="X201" s="192">
        <f t="shared" si="133"/>
        <v>0</v>
      </c>
      <c r="Y201" s="192">
        <f t="shared" si="133"/>
        <v>0</v>
      </c>
      <c r="Z201" s="192">
        <f t="shared" si="133"/>
        <v>0</v>
      </c>
      <c r="AA201" s="192">
        <f t="shared" si="133"/>
        <v>0</v>
      </c>
      <c r="AB201" s="192">
        <f t="shared" si="133"/>
        <v>0</v>
      </c>
      <c r="AC201" s="192">
        <f t="shared" si="133"/>
        <v>0</v>
      </c>
      <c r="AD201" s="192">
        <f t="shared" si="133"/>
        <v>0</v>
      </c>
      <c r="AE201" s="192">
        <f t="shared" si="133"/>
        <v>0</v>
      </c>
      <c r="AF201" s="192">
        <f t="shared" si="133"/>
        <v>0</v>
      </c>
      <c r="AG201" s="192">
        <f t="shared" si="133"/>
        <v>0</v>
      </c>
      <c r="AH201" s="192">
        <f t="shared" si="133"/>
        <v>0</v>
      </c>
      <c r="AI201" s="192">
        <f t="shared" si="133"/>
        <v>0</v>
      </c>
      <c r="AJ201" s="192">
        <f t="shared" si="133"/>
        <v>0</v>
      </c>
      <c r="AK201" s="192">
        <f t="shared" si="133"/>
        <v>0</v>
      </c>
      <c r="AL201" s="192">
        <f t="shared" si="133"/>
        <v>0</v>
      </c>
      <c r="AM201" s="192">
        <f t="shared" si="133"/>
        <v>0</v>
      </c>
      <c r="AN201" s="192">
        <f t="shared" si="133"/>
        <v>0</v>
      </c>
      <c r="AO201" s="192">
        <f t="shared" si="133"/>
        <v>0</v>
      </c>
      <c r="AP201" s="192">
        <f t="shared" si="133"/>
        <v>0</v>
      </c>
      <c r="AQ201" s="192">
        <f t="shared" si="133"/>
        <v>0</v>
      </c>
      <c r="AR201" s="192">
        <f t="shared" si="133"/>
        <v>0</v>
      </c>
      <c r="AS201" s="192">
        <f t="shared" si="133"/>
        <v>0</v>
      </c>
      <c r="AT201" s="192">
        <f t="shared" si="133"/>
        <v>0</v>
      </c>
      <c r="AU201" s="192">
        <f t="shared" si="133"/>
        <v>0</v>
      </c>
      <c r="AV201" s="192">
        <f t="shared" si="133"/>
        <v>0</v>
      </c>
      <c r="AW201" s="192">
        <f t="shared" si="133"/>
        <v>0</v>
      </c>
      <c r="AX201" s="192">
        <f t="shared" si="133"/>
        <v>0</v>
      </c>
      <c r="AY201" s="192">
        <f t="shared" ref="AY201:CB201" si="134">IF(AY$200&gt;=$C201,$E138*HLOOKUP(AY$200-$C201+1,$E$47:$CB$49,3)*AY$106*$C$30,0)</f>
        <v>0</v>
      </c>
      <c r="AZ201" s="192">
        <f t="shared" si="134"/>
        <v>0</v>
      </c>
      <c r="BA201" s="192">
        <f t="shared" si="134"/>
        <v>0</v>
      </c>
      <c r="BB201" s="192">
        <f t="shared" si="134"/>
        <v>0</v>
      </c>
      <c r="BC201" s="192">
        <f t="shared" si="134"/>
        <v>0</v>
      </c>
      <c r="BD201" s="192">
        <f t="shared" si="134"/>
        <v>0</v>
      </c>
      <c r="BE201" s="192">
        <f t="shared" si="134"/>
        <v>0</v>
      </c>
      <c r="BF201" s="192">
        <f t="shared" si="134"/>
        <v>0</v>
      </c>
      <c r="BG201" s="192">
        <f t="shared" si="134"/>
        <v>0</v>
      </c>
      <c r="BH201" s="192">
        <f t="shared" si="134"/>
        <v>0</v>
      </c>
      <c r="BI201" s="192">
        <f t="shared" si="134"/>
        <v>0</v>
      </c>
      <c r="BJ201" s="192">
        <f t="shared" si="134"/>
        <v>0</v>
      </c>
      <c r="BK201" s="192">
        <f t="shared" si="134"/>
        <v>0</v>
      </c>
      <c r="BL201" s="192">
        <f t="shared" si="134"/>
        <v>0</v>
      </c>
      <c r="BM201" s="192">
        <f t="shared" si="134"/>
        <v>0</v>
      </c>
      <c r="BN201" s="192">
        <f t="shared" si="134"/>
        <v>0</v>
      </c>
      <c r="BO201" s="192">
        <f t="shared" si="134"/>
        <v>0</v>
      </c>
      <c r="BP201" s="192">
        <f t="shared" si="134"/>
        <v>0</v>
      </c>
      <c r="BQ201" s="192">
        <f t="shared" si="134"/>
        <v>0</v>
      </c>
      <c r="BR201" s="192">
        <f t="shared" si="134"/>
        <v>0</v>
      </c>
      <c r="BS201" s="192">
        <f t="shared" si="134"/>
        <v>0</v>
      </c>
      <c r="BT201" s="192">
        <f t="shared" si="134"/>
        <v>0</v>
      </c>
      <c r="BU201" s="192">
        <f t="shared" si="134"/>
        <v>0</v>
      </c>
      <c r="BV201" s="192">
        <f t="shared" si="134"/>
        <v>0</v>
      </c>
      <c r="BW201" s="192">
        <f t="shared" si="134"/>
        <v>0</v>
      </c>
      <c r="BX201" s="192">
        <f t="shared" si="134"/>
        <v>0</v>
      </c>
      <c r="BY201" s="192">
        <f t="shared" si="134"/>
        <v>0</v>
      </c>
      <c r="BZ201" s="192">
        <f t="shared" si="134"/>
        <v>0</v>
      </c>
      <c r="CA201" s="192">
        <f t="shared" si="134"/>
        <v>0</v>
      </c>
      <c r="CB201" s="192">
        <f t="shared" si="134"/>
        <v>0</v>
      </c>
    </row>
    <row r="202" spans="2:80">
      <c r="B202" s="1">
        <v>2014</v>
      </c>
      <c r="C202" s="12">
        <f t="shared" si="131"/>
        <v>2027</v>
      </c>
      <c r="E202" s="192">
        <f t="shared" si="132"/>
        <v>0</v>
      </c>
      <c r="F202" s="192">
        <f t="shared" si="132"/>
        <v>0</v>
      </c>
      <c r="G202" s="192">
        <f t="shared" si="132"/>
        <v>0</v>
      </c>
      <c r="H202" s="192">
        <f t="shared" si="132"/>
        <v>0</v>
      </c>
      <c r="I202" s="192">
        <f t="shared" si="132"/>
        <v>0</v>
      </c>
      <c r="J202" s="192">
        <f t="shared" si="132"/>
        <v>0</v>
      </c>
      <c r="K202" s="192">
        <f t="shared" si="132"/>
        <v>0</v>
      </c>
      <c r="L202" s="192">
        <f t="shared" si="132"/>
        <v>0</v>
      </c>
      <c r="M202" s="192">
        <f t="shared" si="132"/>
        <v>0</v>
      </c>
      <c r="N202" s="192">
        <f t="shared" si="132"/>
        <v>0</v>
      </c>
      <c r="O202" s="192">
        <f t="shared" si="132"/>
        <v>0</v>
      </c>
      <c r="P202" s="192">
        <f t="shared" si="132"/>
        <v>0</v>
      </c>
      <c r="Q202" s="192">
        <f t="shared" si="132"/>
        <v>0</v>
      </c>
      <c r="R202" s="192">
        <f t="shared" si="132"/>
        <v>0</v>
      </c>
      <c r="S202" s="192">
        <f t="shared" ref="S202:AX202" si="135">IF(S$200&gt;=$C202,$E139*HLOOKUP(S$200-$C202+1,$E$47:$CB$49,3)*S$106*$C$30,0)</f>
        <v>0</v>
      </c>
      <c r="T202" s="192">
        <f t="shared" si="135"/>
        <v>5846.956337010135</v>
      </c>
      <c r="U202" s="192">
        <f t="shared" si="135"/>
        <v>7153.7363736077923</v>
      </c>
      <c r="V202" s="192">
        <f t="shared" si="135"/>
        <v>8302.4503813453484</v>
      </c>
      <c r="W202" s="192">
        <f t="shared" si="135"/>
        <v>9321.5047675498699</v>
      </c>
      <c r="X202" s="192">
        <f t="shared" si="135"/>
        <v>10234.554997815509</v>
      </c>
      <c r="Y202" s="192">
        <f t="shared" si="135"/>
        <v>11061.309270164053</v>
      </c>
      <c r="Z202" s="192">
        <f t="shared" si="135"/>
        <v>11818.196489319665</v>
      </c>
      <c r="AA202" s="192">
        <f t="shared" si="135"/>
        <v>12518.921460766949</v>
      </c>
      <c r="AB202" s="192">
        <f t="shared" si="135"/>
        <v>13174.926353322802</v>
      </c>
      <c r="AC202" s="192">
        <f t="shared" si="135"/>
        <v>13795.77426178799</v>
      </c>
      <c r="AD202" s="192">
        <f t="shared" si="135"/>
        <v>14389.468027435747</v>
      </c>
      <c r="AE202" s="192">
        <f t="shared" si="135"/>
        <v>14962.715251873993</v>
      </c>
      <c r="AF202" s="192">
        <f t="shared" si="135"/>
        <v>15521.148592914366</v>
      </c>
      <c r="AG202" s="192">
        <f t="shared" si="135"/>
        <v>16069.508896107227</v>
      </c>
      <c r="AH202" s="192">
        <f t="shared" si="135"/>
        <v>16611.797439874503</v>
      </c>
      <c r="AI202" s="192">
        <f t="shared" si="135"/>
        <v>17151.402511906737</v>
      </c>
      <c r="AJ202" s="192">
        <f t="shared" si="135"/>
        <v>17691.204653297194</v>
      </c>
      <c r="AK202" s="192">
        <f t="shared" si="135"/>
        <v>18233.664174520363</v>
      </c>
      <c r="AL202" s="192">
        <f t="shared" si="135"/>
        <v>18780.893938688758</v>
      </c>
      <c r="AM202" s="192">
        <f t="shared" si="135"/>
        <v>19334.719901649929</v>
      </c>
      <c r="AN202" s="192">
        <f t="shared" si="135"/>
        <v>19896.731478052687</v>
      </c>
      <c r="AO202" s="192">
        <f t="shared" si="135"/>
        <v>20468.323453087447</v>
      </c>
      <c r="AP202" s="192">
        <f t="shared" si="135"/>
        <v>21050.730869198051</v>
      </c>
      <c r="AQ202" s="192">
        <f t="shared" si="135"/>
        <v>21645.058075703262</v>
      </c>
      <c r="AR202" s="192">
        <f t="shared" si="135"/>
        <v>22252.302928671947</v>
      </c>
      <c r="AS202" s="192">
        <f t="shared" si="135"/>
        <v>22873.376961681963</v>
      </c>
      <c r="AT202" s="192">
        <f t="shared" si="135"/>
        <v>23509.12220953629</v>
      </c>
      <c r="AU202" s="192">
        <f t="shared" si="135"/>
        <v>24160.325251856131</v>
      </c>
      <c r="AV202" s="192">
        <f t="shared" si="135"/>
        <v>24827.728947766474</v>
      </c>
      <c r="AW202" s="192">
        <f t="shared" si="135"/>
        <v>25512.042253350548</v>
      </c>
      <c r="AX202" s="192">
        <f t="shared" si="135"/>
        <v>26213.94844744512</v>
      </c>
      <c r="AY202" s="192">
        <f t="shared" ref="AY202:CB202" si="136">IF(AY$200&gt;=$C202,$E139*HLOOKUP(AY$200-$C202+1,$E$47:$CB$49,3)*AY$106*$C$30,0)</f>
        <v>26934.11203641013</v>
      </c>
      <c r="AZ202" s="192">
        <f t="shared" si="136"/>
        <v>27673.184562847749</v>
      </c>
      <c r="BA202" s="192">
        <f t="shared" si="136"/>
        <v>28431.809505299909</v>
      </c>
      <c r="BB202" s="192">
        <f t="shared" si="136"/>
        <v>29210.626424418191</v>
      </c>
      <c r="BC202" s="192">
        <f t="shared" si="136"/>
        <v>30010.274484891372</v>
      </c>
      <c r="BD202" s="192">
        <f t="shared" si="136"/>
        <v>30831.39546063622</v>
      </c>
      <c r="BE202" s="192">
        <f t="shared" si="136"/>
        <v>31674.636312656592</v>
      </c>
      <c r="BF202" s="192">
        <f t="shared" si="136"/>
        <v>32540.651413934222</v>
      </c>
      <c r="BG202" s="192">
        <f t="shared" si="136"/>
        <v>33430.104483215269</v>
      </c>
      <c r="BH202" s="192">
        <f t="shared" si="136"/>
        <v>34343.670279169273</v>
      </c>
      <c r="BI202" s="192">
        <f t="shared" si="136"/>
        <v>0</v>
      </c>
      <c r="BJ202" s="192">
        <f t="shared" si="136"/>
        <v>0</v>
      </c>
      <c r="BK202" s="192">
        <f t="shared" si="136"/>
        <v>0</v>
      </c>
      <c r="BL202" s="192">
        <f t="shared" si="136"/>
        <v>0</v>
      </c>
      <c r="BM202" s="192">
        <f t="shared" si="136"/>
        <v>0</v>
      </c>
      <c r="BN202" s="192">
        <f t="shared" si="136"/>
        <v>0</v>
      </c>
      <c r="BO202" s="192">
        <f t="shared" si="136"/>
        <v>0</v>
      </c>
      <c r="BP202" s="192">
        <f t="shared" si="136"/>
        <v>0</v>
      </c>
      <c r="BQ202" s="192">
        <f t="shared" si="136"/>
        <v>0</v>
      </c>
      <c r="BR202" s="192">
        <f t="shared" si="136"/>
        <v>0</v>
      </c>
      <c r="BS202" s="192">
        <f t="shared" si="136"/>
        <v>0</v>
      </c>
      <c r="BT202" s="192">
        <f t="shared" si="136"/>
        <v>0</v>
      </c>
      <c r="BU202" s="192">
        <f t="shared" si="136"/>
        <v>0</v>
      </c>
      <c r="BV202" s="192">
        <f t="shared" si="136"/>
        <v>0</v>
      </c>
      <c r="BW202" s="192">
        <f t="shared" si="136"/>
        <v>0</v>
      </c>
      <c r="BX202" s="192">
        <f t="shared" si="136"/>
        <v>0</v>
      </c>
      <c r="BY202" s="192">
        <f t="shared" si="136"/>
        <v>0</v>
      </c>
      <c r="BZ202" s="192">
        <f t="shared" si="136"/>
        <v>0</v>
      </c>
      <c r="CA202" s="192">
        <f t="shared" si="136"/>
        <v>0</v>
      </c>
      <c r="CB202" s="192">
        <f t="shared" si="136"/>
        <v>0</v>
      </c>
    </row>
    <row r="203" spans="2:80">
      <c r="B203" s="1">
        <v>2015</v>
      </c>
      <c r="C203" s="12">
        <f t="shared" si="131"/>
        <v>2028</v>
      </c>
      <c r="E203" s="192">
        <f t="shared" si="132"/>
        <v>0</v>
      </c>
      <c r="F203" s="192">
        <f t="shared" si="132"/>
        <v>0</v>
      </c>
      <c r="G203" s="192">
        <f t="shared" si="132"/>
        <v>0</v>
      </c>
      <c r="H203" s="192">
        <f t="shared" si="132"/>
        <v>0</v>
      </c>
      <c r="I203" s="192">
        <f t="shared" si="132"/>
        <v>0</v>
      </c>
      <c r="J203" s="192">
        <f t="shared" si="132"/>
        <v>0</v>
      </c>
      <c r="K203" s="192">
        <f t="shared" si="132"/>
        <v>0</v>
      </c>
      <c r="L203" s="192">
        <f t="shared" si="132"/>
        <v>0</v>
      </c>
      <c r="M203" s="192">
        <f t="shared" si="132"/>
        <v>0</v>
      </c>
      <c r="N203" s="192">
        <f t="shared" si="132"/>
        <v>0</v>
      </c>
      <c r="O203" s="192">
        <f t="shared" si="132"/>
        <v>0</v>
      </c>
      <c r="P203" s="192">
        <f t="shared" si="132"/>
        <v>0</v>
      </c>
      <c r="Q203" s="192">
        <f t="shared" si="132"/>
        <v>0</v>
      </c>
      <c r="R203" s="192">
        <f t="shared" si="132"/>
        <v>0</v>
      </c>
      <c r="S203" s="192">
        <f t="shared" ref="S203:AX203" si="137">IF(S$200&gt;=$C203,$E140*HLOOKUP(S$200-$C203+1,$E$47:$CB$49,3)*S$106*$C$30,0)</f>
        <v>0</v>
      </c>
      <c r="T203" s="192">
        <f t="shared" si="137"/>
        <v>0</v>
      </c>
      <c r="U203" s="192">
        <f t="shared" si="137"/>
        <v>30748.521684022569</v>
      </c>
      <c r="V203" s="192">
        <f t="shared" si="137"/>
        <v>37620.738949821047</v>
      </c>
      <c r="W203" s="192">
        <f t="shared" si="137"/>
        <v>43661.703776611663</v>
      </c>
      <c r="X203" s="192">
        <f t="shared" si="137"/>
        <v>49020.802440144878</v>
      </c>
      <c r="Y203" s="192">
        <f t="shared" si="137"/>
        <v>53822.436518753544</v>
      </c>
      <c r="Z203" s="192">
        <f t="shared" si="137"/>
        <v>58170.249330310602</v>
      </c>
      <c r="AA203" s="192">
        <f t="shared" si="137"/>
        <v>62150.638737915935</v>
      </c>
      <c r="AB203" s="192">
        <f t="shared" si="137"/>
        <v>65835.676856415143</v>
      </c>
      <c r="AC203" s="192">
        <f t="shared" si="137"/>
        <v>69285.536834999017</v>
      </c>
      <c r="AD203" s="192">
        <f t="shared" si="137"/>
        <v>72550.509972404674</v>
      </c>
      <c r="AE203" s="192">
        <f t="shared" si="137"/>
        <v>75672.682359965896</v>
      </c>
      <c r="AF203" s="192">
        <f t="shared" si="137"/>
        <v>78687.328561336093</v>
      </c>
      <c r="AG203" s="192">
        <f t="shared" si="137"/>
        <v>81624.070125040249</v>
      </c>
      <c r="AH203" s="192">
        <f t="shared" si="137"/>
        <v>84507.838653745392</v>
      </c>
      <c r="AI203" s="192">
        <f t="shared" si="137"/>
        <v>87359.676445226432</v>
      </c>
      <c r="AJ203" s="192">
        <f t="shared" si="137"/>
        <v>90197.402144179781</v>
      </c>
      <c r="AK203" s="192">
        <f t="shared" si="137"/>
        <v>93036.164209934112</v>
      </c>
      <c r="AL203" s="192">
        <f t="shared" si="137"/>
        <v>95888.901153676095</v>
      </c>
      <c r="AM203" s="192">
        <f t="shared" si="137"/>
        <v>98766.724297858964</v>
      </c>
      <c r="AN203" s="192">
        <f t="shared" si="137"/>
        <v>101679.23615013564</v>
      </c>
      <c r="AO203" s="192">
        <f t="shared" si="137"/>
        <v>104634.79527314572</v>
      </c>
      <c r="AP203" s="192">
        <f t="shared" si="137"/>
        <v>107640.73669390155</v>
      </c>
      <c r="AQ203" s="192">
        <f t="shared" si="137"/>
        <v>110703.55536929636</v>
      </c>
      <c r="AR203" s="192">
        <f t="shared" si="137"/>
        <v>113829.05895497471</v>
      </c>
      <c r="AS203" s="192">
        <f t="shared" si="137"/>
        <v>117022.49506990328</v>
      </c>
      <c r="AT203" s="192">
        <f t="shared" si="137"/>
        <v>120288.65737224693</v>
      </c>
      <c r="AU203" s="192">
        <f t="shared" si="137"/>
        <v>123631.97403350308</v>
      </c>
      <c r="AV203" s="192">
        <f t="shared" si="137"/>
        <v>127056.5815922645</v>
      </c>
      <c r="AW203" s="192">
        <f t="shared" si="137"/>
        <v>130566.38666568325</v>
      </c>
      <c r="AX203" s="192">
        <f t="shared" si="137"/>
        <v>134165.11757841945</v>
      </c>
      <c r="AY203" s="192">
        <f t="shared" ref="AY203:CB203" si="138">IF(AY$200&gt;=$C203,$E140*HLOOKUP(AY$200-$C203+1,$E$47:$CB$49,3)*AY$106*$C$30,0)</f>
        <v>137856.36762122429</v>
      </c>
      <c r="AZ203" s="192">
        <f t="shared" si="138"/>
        <v>141643.63136238939</v>
      </c>
      <c r="BA203" s="192">
        <f t="shared" si="138"/>
        <v>145530.33519518271</v>
      </c>
      <c r="BB203" s="192">
        <f t="shared" si="138"/>
        <v>149519.86310483678</v>
      </c>
      <c r="BC203" s="192">
        <f t="shared" si="138"/>
        <v>153615.57847281537</v>
      </c>
      <c r="BD203" s="192">
        <f t="shared" si="138"/>
        <v>157820.84259825596</v>
      </c>
      <c r="BE203" s="192">
        <f t="shared" si="138"/>
        <v>162139.03050194858</v>
      </c>
      <c r="BF203" s="192">
        <f t="shared" si="138"/>
        <v>166573.54448302282</v>
      </c>
      <c r="BG203" s="192">
        <f t="shared" si="138"/>
        <v>171127.82581941175</v>
      </c>
      <c r="BH203" s="192">
        <f t="shared" si="138"/>
        <v>175805.36493742984</v>
      </c>
      <c r="BI203" s="192">
        <f t="shared" si="138"/>
        <v>180609.71032117482</v>
      </c>
      <c r="BJ203" s="192">
        <f t="shared" si="138"/>
        <v>0</v>
      </c>
      <c r="BK203" s="192">
        <f t="shared" si="138"/>
        <v>0</v>
      </c>
      <c r="BL203" s="192">
        <f t="shared" si="138"/>
        <v>0</v>
      </c>
      <c r="BM203" s="192">
        <f t="shared" si="138"/>
        <v>0</v>
      </c>
      <c r="BN203" s="192">
        <f t="shared" si="138"/>
        <v>0</v>
      </c>
      <c r="BO203" s="192">
        <f t="shared" si="138"/>
        <v>0</v>
      </c>
      <c r="BP203" s="192">
        <f t="shared" si="138"/>
        <v>0</v>
      </c>
      <c r="BQ203" s="192">
        <f t="shared" si="138"/>
        <v>0</v>
      </c>
      <c r="BR203" s="192">
        <f t="shared" si="138"/>
        <v>0</v>
      </c>
      <c r="BS203" s="192">
        <f t="shared" si="138"/>
        <v>0</v>
      </c>
      <c r="BT203" s="192">
        <f t="shared" si="138"/>
        <v>0</v>
      </c>
      <c r="BU203" s="192">
        <f t="shared" si="138"/>
        <v>0</v>
      </c>
      <c r="BV203" s="192">
        <f t="shared" si="138"/>
        <v>0</v>
      </c>
      <c r="BW203" s="192">
        <f t="shared" si="138"/>
        <v>0</v>
      </c>
      <c r="BX203" s="192">
        <f t="shared" si="138"/>
        <v>0</v>
      </c>
      <c r="BY203" s="192">
        <f t="shared" si="138"/>
        <v>0</v>
      </c>
      <c r="BZ203" s="192">
        <f t="shared" si="138"/>
        <v>0</v>
      </c>
      <c r="CA203" s="192">
        <f t="shared" si="138"/>
        <v>0</v>
      </c>
      <c r="CB203" s="192">
        <f t="shared" si="138"/>
        <v>0</v>
      </c>
    </row>
    <row r="204" spans="2:80">
      <c r="B204" s="1">
        <v>2016</v>
      </c>
      <c r="C204" s="12">
        <f t="shared" si="131"/>
        <v>2029</v>
      </c>
      <c r="E204" s="192">
        <f t="shared" si="132"/>
        <v>0</v>
      </c>
      <c r="F204" s="192">
        <f t="shared" si="132"/>
        <v>0</v>
      </c>
      <c r="G204" s="192">
        <f t="shared" si="132"/>
        <v>0</v>
      </c>
      <c r="H204" s="192">
        <f t="shared" si="132"/>
        <v>0</v>
      </c>
      <c r="I204" s="192">
        <f t="shared" si="132"/>
        <v>0</v>
      </c>
      <c r="J204" s="192">
        <f t="shared" si="132"/>
        <v>0</v>
      </c>
      <c r="K204" s="192">
        <f t="shared" si="132"/>
        <v>0</v>
      </c>
      <c r="L204" s="192">
        <f t="shared" si="132"/>
        <v>0</v>
      </c>
      <c r="M204" s="192">
        <f t="shared" si="132"/>
        <v>0</v>
      </c>
      <c r="N204" s="192">
        <f t="shared" si="132"/>
        <v>0</v>
      </c>
      <c r="O204" s="192">
        <f t="shared" si="132"/>
        <v>0</v>
      </c>
      <c r="P204" s="192">
        <f t="shared" si="132"/>
        <v>0</v>
      </c>
      <c r="Q204" s="192">
        <f t="shared" si="132"/>
        <v>0</v>
      </c>
      <c r="R204" s="192">
        <f t="shared" si="132"/>
        <v>0</v>
      </c>
      <c r="S204" s="192">
        <f t="shared" ref="S204:AX204" si="139">IF(S$200&gt;=$C204,$E141*HLOOKUP(S$200-$C204+1,$E$47:$CB$49,3)*S$106*$C$30,0)</f>
        <v>0</v>
      </c>
      <c r="T204" s="192">
        <f t="shared" si="139"/>
        <v>0</v>
      </c>
      <c r="U204" s="192">
        <f t="shared" si="139"/>
        <v>0</v>
      </c>
      <c r="V204" s="192">
        <f t="shared" si="139"/>
        <v>77617.538938799873</v>
      </c>
      <c r="W204" s="192">
        <f t="shared" si="139"/>
        <v>94964.863688437254</v>
      </c>
      <c r="X204" s="192">
        <f t="shared" si="139"/>
        <v>110213.88370603962</v>
      </c>
      <c r="Y204" s="192">
        <f t="shared" si="139"/>
        <v>123741.69013095142</v>
      </c>
      <c r="Z204" s="192">
        <f t="shared" si="139"/>
        <v>135862.30600628088</v>
      </c>
      <c r="AA204" s="192">
        <f t="shared" si="139"/>
        <v>146837.35494253584</v>
      </c>
      <c r="AB204" s="192">
        <f t="shared" si="139"/>
        <v>156884.92838399095</v>
      </c>
      <c r="AC204" s="192">
        <f t="shared" si="139"/>
        <v>166186.95573323409</v>
      </c>
      <c r="AD204" s="192">
        <f t="shared" si="139"/>
        <v>174895.33020316117</v>
      </c>
      <c r="AE204" s="192">
        <f t="shared" si="139"/>
        <v>183137.00055827291</v>
      </c>
      <c r="AF204" s="192">
        <f t="shared" si="139"/>
        <v>191018.20341268845</v>
      </c>
      <c r="AG204" s="192">
        <f t="shared" si="139"/>
        <v>198627.98125261441</v>
      </c>
      <c r="AH204" s="192">
        <f t="shared" si="139"/>
        <v>206041.10683362221</v>
      </c>
      <c r="AI204" s="192">
        <f t="shared" si="139"/>
        <v>213320.51422651688</v>
      </c>
      <c r="AJ204" s="192">
        <f t="shared" si="139"/>
        <v>220519.31985047765</v>
      </c>
      <c r="AK204" s="192">
        <f t="shared" si="139"/>
        <v>227682.50275727065</v>
      </c>
      <c r="AL204" s="192">
        <f t="shared" si="139"/>
        <v>234848.30173261341</v>
      </c>
      <c r="AM204" s="192">
        <f t="shared" si="139"/>
        <v>242049.37705871928</v>
      </c>
      <c r="AN204" s="192">
        <f t="shared" si="139"/>
        <v>249313.77670199258</v>
      </c>
      <c r="AO204" s="192">
        <f t="shared" si="139"/>
        <v>256665.73997446647</v>
      </c>
      <c r="AP204" s="192">
        <f t="shared" si="139"/>
        <v>264126.36613638565</v>
      </c>
      <c r="AQ204" s="192">
        <f t="shared" si="139"/>
        <v>271714.17076877883</v>
      </c>
      <c r="AR204" s="192">
        <f t="shared" si="139"/>
        <v>279445.54888974607</v>
      </c>
      <c r="AS204" s="192">
        <f t="shared" si="139"/>
        <v>287335.16058417771</v>
      </c>
      <c r="AT204" s="192">
        <f t="shared" si="139"/>
        <v>295396.25225375977</v>
      </c>
      <c r="AU204" s="192">
        <f t="shared" si="139"/>
        <v>303640.92438101617</v>
      </c>
      <c r="AV204" s="192">
        <f t="shared" si="139"/>
        <v>312080.35486181965</v>
      </c>
      <c r="AW204" s="192">
        <f t="shared" si="139"/>
        <v>320724.98543215351</v>
      </c>
      <c r="AX204" s="192">
        <f t="shared" si="139"/>
        <v>329584.67744444398</v>
      </c>
      <c r="AY204" s="192">
        <f t="shared" ref="AY204:CB204" si="140">IF(AY$200&gt;=$C204,$E141*HLOOKUP(AY$200-$C204+1,$E$47:$CB$49,3)*AY$106*$C$30,0)</f>
        <v>338668.84219291405</v>
      </c>
      <c r="AZ204" s="192">
        <f t="shared" si="140"/>
        <v>347986.55010988103</v>
      </c>
      <c r="BA204" s="192">
        <f t="shared" si="140"/>
        <v>357546.62242562219</v>
      </c>
      <c r="BB204" s="192">
        <f t="shared" si="140"/>
        <v>367357.7082783177</v>
      </c>
      <c r="BC204" s="192">
        <f t="shared" si="140"/>
        <v>377428.34975686105</v>
      </c>
      <c r="BD204" s="192">
        <f t="shared" si="140"/>
        <v>387767.03694069094</v>
      </c>
      <c r="BE204" s="192">
        <f t="shared" si="140"/>
        <v>398382.25465289486</v>
      </c>
      <c r="BF204" s="192">
        <f t="shared" si="140"/>
        <v>409282.52235370199</v>
      </c>
      <c r="BG204" s="192">
        <f t="shared" si="140"/>
        <v>420476.42836120696</v>
      </c>
      <c r="BH204" s="192">
        <f t="shared" si="140"/>
        <v>431972.65938648902</v>
      </c>
      <c r="BI204" s="192">
        <f t="shared" si="140"/>
        <v>443780.02620436047</v>
      </c>
      <c r="BJ204" s="192">
        <f t="shared" si="140"/>
        <v>455907.48614309414</v>
      </c>
      <c r="BK204" s="192">
        <f t="shared" si="140"/>
        <v>0</v>
      </c>
      <c r="BL204" s="192">
        <f t="shared" si="140"/>
        <v>0</v>
      </c>
      <c r="BM204" s="192">
        <f t="shared" si="140"/>
        <v>0</v>
      </c>
      <c r="BN204" s="192">
        <f t="shared" si="140"/>
        <v>0</v>
      </c>
      <c r="BO204" s="192">
        <f t="shared" si="140"/>
        <v>0</v>
      </c>
      <c r="BP204" s="192">
        <f t="shared" si="140"/>
        <v>0</v>
      </c>
      <c r="BQ204" s="192">
        <f t="shared" si="140"/>
        <v>0</v>
      </c>
      <c r="BR204" s="192">
        <f t="shared" si="140"/>
        <v>0</v>
      </c>
      <c r="BS204" s="192">
        <f t="shared" si="140"/>
        <v>0</v>
      </c>
      <c r="BT204" s="192">
        <f t="shared" si="140"/>
        <v>0</v>
      </c>
      <c r="BU204" s="192">
        <f t="shared" si="140"/>
        <v>0</v>
      </c>
      <c r="BV204" s="192">
        <f t="shared" si="140"/>
        <v>0</v>
      </c>
      <c r="BW204" s="192">
        <f t="shared" si="140"/>
        <v>0</v>
      </c>
      <c r="BX204" s="192">
        <f t="shared" si="140"/>
        <v>0</v>
      </c>
      <c r="BY204" s="192">
        <f t="shared" si="140"/>
        <v>0</v>
      </c>
      <c r="BZ204" s="192">
        <f t="shared" si="140"/>
        <v>0</v>
      </c>
      <c r="CA204" s="192">
        <f t="shared" si="140"/>
        <v>0</v>
      </c>
      <c r="CB204" s="192">
        <f t="shared" si="140"/>
        <v>0</v>
      </c>
    </row>
    <row r="205" spans="2:80">
      <c r="B205" s="1">
        <v>2017</v>
      </c>
      <c r="C205" s="12">
        <f t="shared" si="131"/>
        <v>2030</v>
      </c>
      <c r="E205" s="192">
        <f t="shared" si="132"/>
        <v>0</v>
      </c>
      <c r="F205" s="192">
        <f t="shared" si="132"/>
        <v>0</v>
      </c>
      <c r="G205" s="192">
        <f t="shared" si="132"/>
        <v>0</v>
      </c>
      <c r="H205" s="192">
        <f t="shared" si="132"/>
        <v>0</v>
      </c>
      <c r="I205" s="192">
        <f t="shared" si="132"/>
        <v>0</v>
      </c>
      <c r="J205" s="192">
        <f t="shared" si="132"/>
        <v>0</v>
      </c>
      <c r="K205" s="192">
        <f t="shared" si="132"/>
        <v>0</v>
      </c>
      <c r="L205" s="192">
        <f t="shared" si="132"/>
        <v>0</v>
      </c>
      <c r="M205" s="192">
        <f t="shared" si="132"/>
        <v>0</v>
      </c>
      <c r="N205" s="192">
        <f t="shared" si="132"/>
        <v>0</v>
      </c>
      <c r="O205" s="192">
        <f t="shared" si="132"/>
        <v>0</v>
      </c>
      <c r="P205" s="192">
        <f t="shared" si="132"/>
        <v>0</v>
      </c>
      <c r="Q205" s="192">
        <f t="shared" si="132"/>
        <v>0</v>
      </c>
      <c r="R205" s="192">
        <f t="shared" si="132"/>
        <v>0</v>
      </c>
      <c r="S205" s="192">
        <f t="shared" ref="S205:AX205" si="141">IF(S$200&gt;=$C205,$E142*HLOOKUP(S$200-$C205+1,$E$47:$CB$49,3)*S$106*$C$30,0)</f>
        <v>0</v>
      </c>
      <c r="T205" s="192">
        <f t="shared" si="141"/>
        <v>0</v>
      </c>
      <c r="U205" s="192">
        <f t="shared" si="141"/>
        <v>0</v>
      </c>
      <c r="V205" s="192">
        <f t="shared" si="141"/>
        <v>0</v>
      </c>
      <c r="W205" s="192">
        <f t="shared" si="141"/>
        <v>129257.75505981951</v>
      </c>
      <c r="X205" s="192">
        <f t="shared" si="141"/>
        <v>158146.53824063859</v>
      </c>
      <c r="Y205" s="192">
        <f t="shared" si="141"/>
        <v>183540.98028667766</v>
      </c>
      <c r="Z205" s="192">
        <f t="shared" si="141"/>
        <v>206069.05723004247</v>
      </c>
      <c r="AA205" s="192">
        <f t="shared" si="141"/>
        <v>226253.71677229879</v>
      </c>
      <c r="AB205" s="192">
        <f t="shared" si="141"/>
        <v>244530.64498423968</v>
      </c>
      <c r="AC205" s="192">
        <f t="shared" si="141"/>
        <v>261263.03310936666</v>
      </c>
      <c r="AD205" s="192">
        <f t="shared" si="141"/>
        <v>276753.85115264746</v>
      </c>
      <c r="AE205" s="192">
        <f t="shared" si="141"/>
        <v>291256.04936187644</v>
      </c>
      <c r="AF205" s="192">
        <f t="shared" si="141"/>
        <v>304981.03758760181</v>
      </c>
      <c r="AG205" s="192">
        <f t="shared" si="141"/>
        <v>318105.73339811992</v>
      </c>
      <c r="AH205" s="192">
        <f t="shared" si="141"/>
        <v>330778.42069974082</v>
      </c>
      <c r="AI205" s="192">
        <f t="shared" si="141"/>
        <v>343123.61978332826</v>
      </c>
      <c r="AJ205" s="192">
        <f t="shared" si="141"/>
        <v>355246.13578468357</v>
      </c>
      <c r="AK205" s="192">
        <f t="shared" si="141"/>
        <v>367234.42434403684</v>
      </c>
      <c r="AL205" s="192">
        <f t="shared" si="141"/>
        <v>379163.38981078513</v>
      </c>
      <c r="AM205" s="192">
        <f t="shared" si="141"/>
        <v>391096.71185920882</v>
      </c>
      <c r="AN205" s="192">
        <f t="shared" si="141"/>
        <v>403088.78019060771</v>
      </c>
      <c r="AO205" s="192">
        <f t="shared" si="141"/>
        <v>415186.30354144762</v>
      </c>
      <c r="AP205" s="192">
        <f t="shared" si="141"/>
        <v>427429.64803387626</v>
      </c>
      <c r="AQ205" s="192">
        <f t="shared" si="141"/>
        <v>439853.95061052206</v>
      </c>
      <c r="AR205" s="192">
        <f t="shared" si="141"/>
        <v>452490.0455708243</v>
      </c>
      <c r="AS205" s="192">
        <f t="shared" si="141"/>
        <v>465365.23580614984</v>
      </c>
      <c r="AT205" s="192">
        <f t="shared" si="141"/>
        <v>478503.93499525986</v>
      </c>
      <c r="AU205" s="192">
        <f t="shared" si="141"/>
        <v>491928.20258719119</v>
      </c>
      <c r="AV205" s="192">
        <f t="shared" si="141"/>
        <v>505658.1897130867</v>
      </c>
      <c r="AW205" s="192">
        <f t="shared" si="141"/>
        <v>519712.51110547455</v>
      </c>
      <c r="AX205" s="192">
        <f t="shared" si="141"/>
        <v>534108.55555779708</v>
      </c>
      <c r="AY205" s="192">
        <f t="shared" ref="AY205:CB205" si="142">IF(AY$200&gt;=$C205,$E142*HLOOKUP(AY$200-$C205+1,$E$47:$CB$49,3)*AY$106*$C$30,0)</f>
        <v>548862.74534128211</v>
      </c>
      <c r="AZ205" s="192">
        <f t="shared" si="142"/>
        <v>563990.75323788158</v>
      </c>
      <c r="BA205" s="192">
        <f t="shared" si="142"/>
        <v>579507.6843866508</v>
      </c>
      <c r="BB205" s="192">
        <f t="shared" si="142"/>
        <v>595428.2289264173</v>
      </c>
      <c r="BC205" s="192">
        <f t="shared" si="142"/>
        <v>611766.79040823027</v>
      </c>
      <c r="BD205" s="192">
        <f t="shared" si="142"/>
        <v>628537.59411221242</v>
      </c>
      <c r="BE205" s="192">
        <f t="shared" si="142"/>
        <v>645754.7787062932</v>
      </c>
      <c r="BF205" s="192">
        <f t="shared" si="142"/>
        <v>663432.47410491435</v>
      </c>
      <c r="BG205" s="192">
        <f t="shared" si="142"/>
        <v>681584.86790431454</v>
      </c>
      <c r="BH205" s="192">
        <f t="shared" si="142"/>
        <v>700226.26237086137</v>
      </c>
      <c r="BI205" s="192">
        <f t="shared" si="142"/>
        <v>719371.12362636544</v>
      </c>
      <c r="BJ205" s="192">
        <f t="shared" si="142"/>
        <v>739034.12439799833</v>
      </c>
      <c r="BK205" s="192">
        <f t="shared" si="142"/>
        <v>759230.18147080275</v>
      </c>
      <c r="BL205" s="192">
        <f t="shared" si="142"/>
        <v>0</v>
      </c>
      <c r="BM205" s="192">
        <f t="shared" si="142"/>
        <v>0</v>
      </c>
      <c r="BN205" s="192">
        <f t="shared" si="142"/>
        <v>0</v>
      </c>
      <c r="BO205" s="192">
        <f t="shared" si="142"/>
        <v>0</v>
      </c>
      <c r="BP205" s="192">
        <f t="shared" si="142"/>
        <v>0</v>
      </c>
      <c r="BQ205" s="192">
        <f t="shared" si="142"/>
        <v>0</v>
      </c>
      <c r="BR205" s="192">
        <f t="shared" si="142"/>
        <v>0</v>
      </c>
      <c r="BS205" s="192">
        <f t="shared" si="142"/>
        <v>0</v>
      </c>
      <c r="BT205" s="192">
        <f t="shared" si="142"/>
        <v>0</v>
      </c>
      <c r="BU205" s="192">
        <f t="shared" si="142"/>
        <v>0</v>
      </c>
      <c r="BV205" s="192">
        <f t="shared" si="142"/>
        <v>0</v>
      </c>
      <c r="BW205" s="192">
        <f t="shared" si="142"/>
        <v>0</v>
      </c>
      <c r="BX205" s="192">
        <f t="shared" si="142"/>
        <v>0</v>
      </c>
      <c r="BY205" s="192">
        <f t="shared" si="142"/>
        <v>0</v>
      </c>
      <c r="BZ205" s="192">
        <f t="shared" si="142"/>
        <v>0</v>
      </c>
      <c r="CA205" s="192">
        <f t="shared" si="142"/>
        <v>0</v>
      </c>
      <c r="CB205" s="192">
        <f t="shared" si="142"/>
        <v>0</v>
      </c>
    </row>
    <row r="206" spans="2:80">
      <c r="B206" s="1">
        <v>2018</v>
      </c>
      <c r="C206" s="12">
        <f t="shared" si="131"/>
        <v>2031</v>
      </c>
      <c r="E206" s="192">
        <f t="shared" si="132"/>
        <v>0</v>
      </c>
      <c r="F206" s="192">
        <f t="shared" si="132"/>
        <v>0</v>
      </c>
      <c r="G206" s="192">
        <f t="shared" si="132"/>
        <v>0</v>
      </c>
      <c r="H206" s="192">
        <f t="shared" si="132"/>
        <v>0</v>
      </c>
      <c r="I206" s="192">
        <f t="shared" si="132"/>
        <v>0</v>
      </c>
      <c r="J206" s="192">
        <f t="shared" si="132"/>
        <v>0</v>
      </c>
      <c r="K206" s="192">
        <f t="shared" si="132"/>
        <v>0</v>
      </c>
      <c r="L206" s="192">
        <f t="shared" si="132"/>
        <v>0</v>
      </c>
      <c r="M206" s="192">
        <f t="shared" si="132"/>
        <v>0</v>
      </c>
      <c r="N206" s="192">
        <f t="shared" si="132"/>
        <v>0</v>
      </c>
      <c r="O206" s="192">
        <f t="shared" si="132"/>
        <v>0</v>
      </c>
      <c r="P206" s="192">
        <f t="shared" si="132"/>
        <v>0</v>
      </c>
      <c r="Q206" s="192">
        <f t="shared" si="132"/>
        <v>0</v>
      </c>
      <c r="R206" s="192">
        <f t="shared" si="132"/>
        <v>0</v>
      </c>
      <c r="S206" s="192">
        <f t="shared" ref="S206:AX206" si="143">IF(S$200&gt;=$C206,$E143*HLOOKUP(S$200-$C206+1,$E$47:$CB$49,3)*S$106*$C$30,0)</f>
        <v>0</v>
      </c>
      <c r="T206" s="192">
        <f t="shared" si="143"/>
        <v>0</v>
      </c>
      <c r="U206" s="192">
        <f t="shared" si="143"/>
        <v>0</v>
      </c>
      <c r="V206" s="192">
        <f t="shared" si="143"/>
        <v>0</v>
      </c>
      <c r="W206" s="192">
        <f t="shared" si="143"/>
        <v>0</v>
      </c>
      <c r="X206" s="192">
        <f t="shared" si="143"/>
        <v>143105.85056931138</v>
      </c>
      <c r="Y206" s="192">
        <f t="shared" si="143"/>
        <v>175089.64826942061</v>
      </c>
      <c r="Z206" s="192">
        <f t="shared" si="143"/>
        <v>203204.7368151691</v>
      </c>
      <c r="AA206" s="192">
        <f t="shared" si="143"/>
        <v>228146.37077112886</v>
      </c>
      <c r="AB206" s="192">
        <f t="shared" si="143"/>
        <v>250493.52410757472</v>
      </c>
      <c r="AC206" s="192">
        <f t="shared" si="143"/>
        <v>270728.56034469331</v>
      </c>
      <c r="AD206" s="192">
        <f t="shared" si="143"/>
        <v>289253.58140508534</v>
      </c>
      <c r="AE206" s="192">
        <f t="shared" si="143"/>
        <v>306404.01613971463</v>
      </c>
      <c r="AF206" s="192">
        <f t="shared" si="143"/>
        <v>322459.91475017706</v>
      </c>
      <c r="AG206" s="192">
        <f t="shared" si="143"/>
        <v>337655.33658917795</v>
      </c>
      <c r="AH206" s="192">
        <f t="shared" si="143"/>
        <v>352186.15337892069</v>
      </c>
      <c r="AI206" s="192">
        <f t="shared" si="143"/>
        <v>366216.53549764212</v>
      </c>
      <c r="AJ206" s="192">
        <f t="shared" si="143"/>
        <v>379884.34378107288</v>
      </c>
      <c r="AK206" s="192">
        <f t="shared" si="143"/>
        <v>393305.61171668873</v>
      </c>
      <c r="AL206" s="192">
        <f t="shared" si="143"/>
        <v>406578.27168484789</v>
      </c>
      <c r="AM206" s="192">
        <f t="shared" si="143"/>
        <v>419785.25295062119</v>
      </c>
      <c r="AN206" s="192">
        <f t="shared" si="143"/>
        <v>432997.05754266965</v>
      </c>
      <c r="AO206" s="192">
        <f t="shared" si="143"/>
        <v>446273.90223068028</v>
      </c>
      <c r="AP206" s="192">
        <f t="shared" si="143"/>
        <v>459667.49991542153</v>
      </c>
      <c r="AQ206" s="192">
        <f t="shared" si="143"/>
        <v>473222.54136412399</v>
      </c>
      <c r="AR206" s="192">
        <f t="shared" si="143"/>
        <v>486977.92793368449</v>
      </c>
      <c r="AS206" s="192">
        <f t="shared" si="143"/>
        <v>500967.79737193818</v>
      </c>
      <c r="AT206" s="192">
        <f t="shared" si="143"/>
        <v>515222.37767944275</v>
      </c>
      <c r="AU206" s="192">
        <f t="shared" si="143"/>
        <v>529768.69810688449</v>
      </c>
      <c r="AV206" s="192">
        <f t="shared" si="143"/>
        <v>544631.18145362288</v>
      </c>
      <c r="AW206" s="192">
        <f t="shared" si="143"/>
        <v>559832.13775251328</v>
      </c>
      <c r="AX206" s="192">
        <f t="shared" si="143"/>
        <v>575392.17603494623</v>
      </c>
      <c r="AY206" s="192">
        <f t="shared" ref="AY206:CB206" si="144">IF(AY$200&gt;=$C206,$E143*HLOOKUP(AY$200-$C206+1,$E$47:$CB$49,3)*AY$106*$C$30,0)</f>
        <v>591330.54805161792</v>
      </c>
      <c r="AZ206" s="192">
        <f t="shared" si="144"/>
        <v>607665.43548215937</v>
      </c>
      <c r="BA206" s="192">
        <f t="shared" si="144"/>
        <v>624414.19022001047</v>
      </c>
      <c r="BB206" s="192">
        <f t="shared" si="144"/>
        <v>641593.53570100211</v>
      </c>
      <c r="BC206" s="192">
        <f t="shared" si="144"/>
        <v>659219.73589947773</v>
      </c>
      <c r="BD206" s="192">
        <f t="shared" si="144"/>
        <v>677308.73749827349</v>
      </c>
      <c r="BE206" s="192">
        <f t="shared" si="144"/>
        <v>695876.28981015319</v>
      </c>
      <c r="BF206" s="192">
        <f t="shared" si="144"/>
        <v>714938.04625644546</v>
      </c>
      <c r="BG206" s="192">
        <f t="shared" si="144"/>
        <v>734509.65056718176</v>
      </c>
      <c r="BH206" s="192">
        <f t="shared" si="144"/>
        <v>754606.81033395999</v>
      </c>
      <c r="BI206" s="192">
        <f t="shared" si="144"/>
        <v>775245.36010374862</v>
      </c>
      <c r="BJ206" s="192">
        <f t="shared" si="144"/>
        <v>796441.31583369628</v>
      </c>
      <c r="BK206" s="192">
        <f t="shared" si="144"/>
        <v>818210.92222108343</v>
      </c>
      <c r="BL206" s="192">
        <f t="shared" si="144"/>
        <v>840570.69416832528</v>
      </c>
      <c r="BM206" s="192">
        <f t="shared" si="144"/>
        <v>0</v>
      </c>
      <c r="BN206" s="192">
        <f t="shared" si="144"/>
        <v>0</v>
      </c>
      <c r="BO206" s="192">
        <f t="shared" si="144"/>
        <v>0</v>
      </c>
      <c r="BP206" s="192">
        <f t="shared" si="144"/>
        <v>0</v>
      </c>
      <c r="BQ206" s="192">
        <f t="shared" si="144"/>
        <v>0</v>
      </c>
      <c r="BR206" s="192">
        <f t="shared" si="144"/>
        <v>0</v>
      </c>
      <c r="BS206" s="192">
        <f t="shared" si="144"/>
        <v>0</v>
      </c>
      <c r="BT206" s="192">
        <f t="shared" si="144"/>
        <v>0</v>
      </c>
      <c r="BU206" s="192">
        <f t="shared" si="144"/>
        <v>0</v>
      </c>
      <c r="BV206" s="192">
        <f t="shared" si="144"/>
        <v>0</v>
      </c>
      <c r="BW206" s="192">
        <f t="shared" si="144"/>
        <v>0</v>
      </c>
      <c r="BX206" s="192">
        <f t="shared" si="144"/>
        <v>0</v>
      </c>
      <c r="BY206" s="192">
        <f t="shared" si="144"/>
        <v>0</v>
      </c>
      <c r="BZ206" s="192">
        <f t="shared" si="144"/>
        <v>0</v>
      </c>
      <c r="CA206" s="192">
        <f t="shared" si="144"/>
        <v>0</v>
      </c>
      <c r="CB206" s="192">
        <f t="shared" si="144"/>
        <v>0</v>
      </c>
    </row>
    <row r="207" spans="2:80">
      <c r="B207" s="1">
        <v>2019</v>
      </c>
      <c r="C207" s="12">
        <f t="shared" si="131"/>
        <v>2032</v>
      </c>
      <c r="E207" s="192">
        <f t="shared" si="132"/>
        <v>0</v>
      </c>
      <c r="F207" s="192">
        <f t="shared" si="132"/>
        <v>0</v>
      </c>
      <c r="G207" s="192">
        <f t="shared" si="132"/>
        <v>0</v>
      </c>
      <c r="H207" s="192">
        <f t="shared" si="132"/>
        <v>0</v>
      </c>
      <c r="I207" s="192">
        <f t="shared" si="132"/>
        <v>0</v>
      </c>
      <c r="J207" s="192">
        <f t="shared" si="132"/>
        <v>0</v>
      </c>
      <c r="K207" s="192">
        <f t="shared" si="132"/>
        <v>0</v>
      </c>
      <c r="L207" s="192">
        <f t="shared" si="132"/>
        <v>0</v>
      </c>
      <c r="M207" s="192">
        <f t="shared" si="132"/>
        <v>0</v>
      </c>
      <c r="N207" s="192">
        <f t="shared" si="132"/>
        <v>0</v>
      </c>
      <c r="O207" s="192">
        <f t="shared" si="132"/>
        <v>0</v>
      </c>
      <c r="P207" s="192">
        <f t="shared" si="132"/>
        <v>0</v>
      </c>
      <c r="Q207" s="192">
        <f t="shared" si="132"/>
        <v>0</v>
      </c>
      <c r="R207" s="192">
        <f t="shared" si="132"/>
        <v>0</v>
      </c>
      <c r="S207" s="192">
        <f t="shared" ref="S207:AX207" si="145">IF(S$200&gt;=$C207,$L$132*HLOOKUP(S$200-$C207+1,$E$47:$CB$49,3)*S$106*$C$30,0)</f>
        <v>0</v>
      </c>
      <c r="T207" s="192">
        <f t="shared" si="145"/>
        <v>0</v>
      </c>
      <c r="U207" s="192">
        <f t="shared" si="145"/>
        <v>0</v>
      </c>
      <c r="V207" s="192">
        <f t="shared" si="145"/>
        <v>0</v>
      </c>
      <c r="W207" s="192">
        <f t="shared" si="145"/>
        <v>0</v>
      </c>
      <c r="X207" s="192">
        <f t="shared" si="145"/>
        <v>0</v>
      </c>
      <c r="Y207" s="192">
        <f t="shared" si="145"/>
        <v>150515.69041102409</v>
      </c>
      <c r="Z207" s="192">
        <f t="shared" si="145"/>
        <v>184155.5686804791</v>
      </c>
      <c r="AA207" s="192">
        <f t="shared" si="145"/>
        <v>213726.42093142061</v>
      </c>
      <c r="AB207" s="192">
        <f t="shared" si="145"/>
        <v>239959.50112992767</v>
      </c>
      <c r="AC207" s="192">
        <f t="shared" si="145"/>
        <v>263463.76178576343</v>
      </c>
      <c r="AD207" s="192">
        <f t="shared" si="145"/>
        <v>284746.54259175755</v>
      </c>
      <c r="AE207" s="192">
        <f t="shared" si="145"/>
        <v>304230.76579920202</v>
      </c>
      <c r="AF207" s="192">
        <f t="shared" si="145"/>
        <v>322269.22834047786</v>
      </c>
      <c r="AG207" s="192">
        <f t="shared" si="145"/>
        <v>339156.48106221523</v>
      </c>
      <c r="AH207" s="192">
        <f t="shared" si="145"/>
        <v>355138.70261420013</v>
      </c>
      <c r="AI207" s="192">
        <f t="shared" si="145"/>
        <v>370421.90670853533</v>
      </c>
      <c r="AJ207" s="192">
        <f t="shared" si="145"/>
        <v>385178.76425788499</v>
      </c>
      <c r="AK207" s="192">
        <f t="shared" si="145"/>
        <v>399554.27435759059</v>
      </c>
      <c r="AL207" s="192">
        <f t="shared" si="145"/>
        <v>413670.47856226872</v>
      </c>
      <c r="AM207" s="192">
        <f t="shared" si="145"/>
        <v>427630.380066999</v>
      </c>
      <c r="AN207" s="192">
        <f t="shared" si="145"/>
        <v>441521.20210925047</v>
      </c>
      <c r="AO207" s="192">
        <f t="shared" si="145"/>
        <v>455417.09722350765</v>
      </c>
      <c r="AP207" s="192">
        <f t="shared" si="145"/>
        <v>469381.40012758749</v>
      </c>
      <c r="AQ207" s="192">
        <f t="shared" si="145"/>
        <v>483468.50135081762</v>
      </c>
      <c r="AR207" s="192">
        <f t="shared" si="145"/>
        <v>497725.40569179942</v>
      </c>
      <c r="AS207" s="192">
        <f t="shared" si="145"/>
        <v>512193.02877045993</v>
      </c>
      <c r="AT207" s="192">
        <f t="shared" si="145"/>
        <v>526907.27594401606</v>
      </c>
      <c r="AU207" s="192">
        <f t="shared" si="145"/>
        <v>541899.94038064068</v>
      </c>
      <c r="AV207" s="192">
        <f t="shared" si="145"/>
        <v>557199.45087141509</v>
      </c>
      <c r="AW207" s="192">
        <f t="shared" si="145"/>
        <v>572831.49479734269</v>
      </c>
      <c r="AX207" s="192">
        <f t="shared" si="145"/>
        <v>588819.53737654607</v>
      </c>
      <c r="AY207" s="192">
        <f t="shared" ref="AY207:CB207" si="146">IF(AY$200&gt;=$C207,$L$132*HLOOKUP(AY$200-$C207+1,$E$47:$CB$49,3)*AY$106*$C$30,0)</f>
        <v>605185.25474998099</v>
      </c>
      <c r="AZ207" s="192">
        <f t="shared" si="146"/>
        <v>621948.89549963141</v>
      </c>
      <c r="BA207" s="192">
        <f t="shared" si="146"/>
        <v>639129.58272949059</v>
      </c>
      <c r="BB207" s="192">
        <f t="shared" si="146"/>
        <v>656745.56679208193</v>
      </c>
      <c r="BC207" s="192">
        <f t="shared" si="146"/>
        <v>674814.43704158021</v>
      </c>
      <c r="BD207" s="192">
        <f t="shared" si="146"/>
        <v>693353.29958033806</v>
      </c>
      <c r="BE207" s="192">
        <f t="shared" si="146"/>
        <v>712378.92679024849</v>
      </c>
      <c r="BF207" s="192">
        <f t="shared" si="146"/>
        <v>731907.88346355932</v>
      </c>
      <c r="BG207" s="192">
        <f t="shared" si="146"/>
        <v>751956.63353594614</v>
      </c>
      <c r="BH207" s="192">
        <f t="shared" si="146"/>
        <v>772541.6307499843</v>
      </c>
      <c r="BI207" s="192">
        <f t="shared" si="146"/>
        <v>793679.3960164868</v>
      </c>
      <c r="BJ207" s="192">
        <f t="shared" si="146"/>
        <v>815386.58377522533</v>
      </c>
      <c r="BK207" s="192">
        <f t="shared" si="146"/>
        <v>837680.03926934162</v>
      </c>
      <c r="BL207" s="192">
        <f t="shared" si="146"/>
        <v>860576.84832598304</v>
      </c>
      <c r="BM207" s="192">
        <f t="shared" si="146"/>
        <v>884094.38096831285</v>
      </c>
      <c r="BN207" s="192">
        <f t="shared" si="146"/>
        <v>0</v>
      </c>
      <c r="BO207" s="192">
        <f t="shared" si="146"/>
        <v>0</v>
      </c>
      <c r="BP207" s="192">
        <f t="shared" si="146"/>
        <v>0</v>
      </c>
      <c r="BQ207" s="192">
        <f t="shared" si="146"/>
        <v>0</v>
      </c>
      <c r="BR207" s="192">
        <f t="shared" si="146"/>
        <v>0</v>
      </c>
      <c r="BS207" s="192">
        <f t="shared" si="146"/>
        <v>0</v>
      </c>
      <c r="BT207" s="192">
        <f t="shared" si="146"/>
        <v>0</v>
      </c>
      <c r="BU207" s="192">
        <f t="shared" si="146"/>
        <v>0</v>
      </c>
      <c r="BV207" s="192">
        <f t="shared" si="146"/>
        <v>0</v>
      </c>
      <c r="BW207" s="192">
        <f t="shared" si="146"/>
        <v>0</v>
      </c>
      <c r="BX207" s="192">
        <f t="shared" si="146"/>
        <v>0</v>
      </c>
      <c r="BY207" s="192">
        <f t="shared" si="146"/>
        <v>0</v>
      </c>
      <c r="BZ207" s="192">
        <f t="shared" si="146"/>
        <v>0</v>
      </c>
      <c r="CA207" s="192">
        <f t="shared" si="146"/>
        <v>0</v>
      </c>
      <c r="CB207" s="192">
        <f t="shared" si="146"/>
        <v>0</v>
      </c>
    </row>
    <row r="208" spans="2:80">
      <c r="B208" s="1">
        <v>2020</v>
      </c>
      <c r="C208" s="12">
        <f t="shared" si="131"/>
        <v>2033</v>
      </c>
      <c r="E208" s="192">
        <f t="shared" si="132"/>
        <v>0</v>
      </c>
      <c r="F208" s="192">
        <f t="shared" si="132"/>
        <v>0</v>
      </c>
      <c r="G208" s="192">
        <f t="shared" si="132"/>
        <v>0</v>
      </c>
      <c r="H208" s="192">
        <f t="shared" si="132"/>
        <v>0</v>
      </c>
      <c r="I208" s="192">
        <f t="shared" si="132"/>
        <v>0</v>
      </c>
      <c r="J208" s="192">
        <f t="shared" si="132"/>
        <v>0</v>
      </c>
      <c r="K208" s="192">
        <f t="shared" si="132"/>
        <v>0</v>
      </c>
      <c r="L208" s="192">
        <f t="shared" si="132"/>
        <v>0</v>
      </c>
      <c r="M208" s="192">
        <f t="shared" si="132"/>
        <v>0</v>
      </c>
      <c r="N208" s="192">
        <f t="shared" si="132"/>
        <v>0</v>
      </c>
      <c r="O208" s="192">
        <f t="shared" si="132"/>
        <v>0</v>
      </c>
      <c r="P208" s="192">
        <f t="shared" si="132"/>
        <v>0</v>
      </c>
      <c r="Q208" s="192">
        <f t="shared" si="132"/>
        <v>0</v>
      </c>
      <c r="R208" s="192">
        <f t="shared" si="132"/>
        <v>0</v>
      </c>
      <c r="S208" s="192">
        <f t="shared" ref="S208:AX208" si="147">IF(S$200&gt;=$C208,$M$132*HLOOKUP(S$200-$C208+1,$E$47:$CB$49,3)*S$106*$C$30,0)</f>
        <v>0</v>
      </c>
      <c r="T208" s="192">
        <f t="shared" si="147"/>
        <v>0</v>
      </c>
      <c r="U208" s="192">
        <f t="shared" si="147"/>
        <v>0</v>
      </c>
      <c r="V208" s="192">
        <f t="shared" si="147"/>
        <v>0</v>
      </c>
      <c r="W208" s="192">
        <f t="shared" si="147"/>
        <v>0</v>
      </c>
      <c r="X208" s="192">
        <f t="shared" si="147"/>
        <v>0</v>
      </c>
      <c r="Y208" s="192">
        <f t="shared" si="147"/>
        <v>0</v>
      </c>
      <c r="Z208" s="192">
        <f t="shared" si="147"/>
        <v>158309.20238257214</v>
      </c>
      <c r="AA208" s="192">
        <f t="shared" si="147"/>
        <v>193690.91097748021</v>
      </c>
      <c r="AB208" s="192">
        <f t="shared" si="147"/>
        <v>224792.90453599734</v>
      </c>
      <c r="AC208" s="192">
        <f t="shared" si="147"/>
        <v>252384.30042916289</v>
      </c>
      <c r="AD208" s="192">
        <f t="shared" si="147"/>
        <v>277105.58195706469</v>
      </c>
      <c r="AE208" s="192">
        <f t="shared" si="147"/>
        <v>299490.35821978754</v>
      </c>
      <c r="AF208" s="192">
        <f t="shared" si="147"/>
        <v>319983.44984758651</v>
      </c>
      <c r="AG208" s="192">
        <f t="shared" si="147"/>
        <v>338955.92115153582</v>
      </c>
      <c r="AH208" s="192">
        <f t="shared" si="147"/>
        <v>356717.57444834965</v>
      </c>
      <c r="AI208" s="192">
        <f t="shared" si="147"/>
        <v>373527.33520676004</v>
      </c>
      <c r="AJ208" s="192">
        <f t="shared" si="147"/>
        <v>389601.88426817179</v>
      </c>
      <c r="AK208" s="192">
        <f t="shared" si="147"/>
        <v>405122.83322659141</v>
      </c>
      <c r="AL208" s="192">
        <f t="shared" si="147"/>
        <v>420242.68904702028</v>
      </c>
      <c r="AM208" s="192">
        <f t="shared" si="147"/>
        <v>435089.81244132941</v>
      </c>
      <c r="AN208" s="192">
        <f t="shared" si="147"/>
        <v>449772.53997968888</v>
      </c>
      <c r="AO208" s="192">
        <f t="shared" si="147"/>
        <v>464382.61120842252</v>
      </c>
      <c r="AP208" s="192">
        <f t="shared" si="147"/>
        <v>478998.01818641025</v>
      </c>
      <c r="AQ208" s="192">
        <f t="shared" si="147"/>
        <v>493685.37502300763</v>
      </c>
      <c r="AR208" s="192">
        <f t="shared" si="147"/>
        <v>508501.88852031913</v>
      </c>
      <c r="AS208" s="192">
        <f t="shared" si="147"/>
        <v>523496.99732593342</v>
      </c>
      <c r="AT208" s="192">
        <f t="shared" si="147"/>
        <v>538713.73561879841</v>
      </c>
      <c r="AU208" s="192">
        <f t="shared" si="147"/>
        <v>554189.8678900894</v>
      </c>
      <c r="AV208" s="192">
        <f t="shared" si="147"/>
        <v>569958.83351799299</v>
      </c>
      <c r="AW208" s="192">
        <f t="shared" si="147"/>
        <v>586050.53330041573</v>
      </c>
      <c r="AX208" s="192">
        <f t="shared" si="147"/>
        <v>602491.98467844201</v>
      </c>
      <c r="AY208" s="192">
        <f t="shared" ref="AY208:CB208" si="148">IF(AY$200&gt;=$C208,$M$132*HLOOKUP(AY$200-$C208+1,$E$47:$CB$49,3)*AY$106*$C$30,0)</f>
        <v>619307.8678694939</v>
      </c>
      <c r="AZ208" s="192">
        <f t="shared" si="148"/>
        <v>636520.98137767415</v>
      </c>
      <c r="BA208" s="192">
        <f t="shared" si="148"/>
        <v>654152.62223091745</v>
      </c>
      <c r="BB208" s="192">
        <f t="shared" si="148"/>
        <v>672222.90370334173</v>
      </c>
      <c r="BC208" s="192">
        <f t="shared" si="148"/>
        <v>690751.0211276277</v>
      </c>
      <c r="BD208" s="192">
        <f t="shared" si="148"/>
        <v>709755.47461245023</v>
      </c>
      <c r="BE208" s="192">
        <f t="shared" si="148"/>
        <v>729254.25599249406</v>
      </c>
      <c r="BF208" s="192">
        <f t="shared" si="148"/>
        <v>749265.00610236067</v>
      </c>
      <c r="BG208" s="192">
        <f t="shared" si="148"/>
        <v>769805.14743827831</v>
      </c>
      <c r="BH208" s="192">
        <f t="shared" si="148"/>
        <v>790891.99641767622</v>
      </c>
      <c r="BI208" s="192">
        <f t="shared" si="148"/>
        <v>812542.85873709864</v>
      </c>
      <c r="BJ208" s="192">
        <f t="shared" si="148"/>
        <v>834775.11073921248</v>
      </c>
      <c r="BK208" s="192">
        <f t="shared" si="148"/>
        <v>857606.26920960494</v>
      </c>
      <c r="BL208" s="192">
        <f t="shared" si="148"/>
        <v>881054.05161678977</v>
      </c>
      <c r="BM208" s="192">
        <f t="shared" si="148"/>
        <v>905136.4284704224</v>
      </c>
      <c r="BN208" s="192">
        <f t="shared" si="148"/>
        <v>929871.66919148329</v>
      </c>
      <c r="BO208" s="192">
        <f t="shared" si="148"/>
        <v>0</v>
      </c>
      <c r="BP208" s="192">
        <f t="shared" si="148"/>
        <v>0</v>
      </c>
      <c r="BQ208" s="192">
        <f t="shared" si="148"/>
        <v>0</v>
      </c>
      <c r="BR208" s="192">
        <f t="shared" si="148"/>
        <v>0</v>
      </c>
      <c r="BS208" s="192">
        <f t="shared" si="148"/>
        <v>0</v>
      </c>
      <c r="BT208" s="192">
        <f t="shared" si="148"/>
        <v>0</v>
      </c>
      <c r="BU208" s="192">
        <f t="shared" si="148"/>
        <v>0</v>
      </c>
      <c r="BV208" s="192">
        <f t="shared" si="148"/>
        <v>0</v>
      </c>
      <c r="BW208" s="192">
        <f t="shared" si="148"/>
        <v>0</v>
      </c>
      <c r="BX208" s="192">
        <f t="shared" si="148"/>
        <v>0</v>
      </c>
      <c r="BY208" s="192">
        <f t="shared" si="148"/>
        <v>0</v>
      </c>
      <c r="BZ208" s="192">
        <f t="shared" si="148"/>
        <v>0</v>
      </c>
      <c r="CA208" s="192">
        <f t="shared" si="148"/>
        <v>0</v>
      </c>
      <c r="CB208" s="192">
        <f t="shared" si="148"/>
        <v>0</v>
      </c>
    </row>
    <row r="209" spans="2:80">
      <c r="B209" s="1">
        <v>2021</v>
      </c>
      <c r="C209" s="12">
        <f t="shared" si="131"/>
        <v>2034</v>
      </c>
      <c r="E209" s="192">
        <f t="shared" si="132"/>
        <v>0</v>
      </c>
      <c r="F209" s="192">
        <f t="shared" si="132"/>
        <v>0</v>
      </c>
      <c r="G209" s="192">
        <f t="shared" si="132"/>
        <v>0</v>
      </c>
      <c r="H209" s="192">
        <f t="shared" si="132"/>
        <v>0</v>
      </c>
      <c r="I209" s="192">
        <f t="shared" si="132"/>
        <v>0</v>
      </c>
      <c r="J209" s="192">
        <f t="shared" si="132"/>
        <v>0</v>
      </c>
      <c r="K209" s="192">
        <f t="shared" si="132"/>
        <v>0</v>
      </c>
      <c r="L209" s="192">
        <f t="shared" si="132"/>
        <v>0</v>
      </c>
      <c r="M209" s="192">
        <f t="shared" si="132"/>
        <v>0</v>
      </c>
      <c r="N209" s="192">
        <f t="shared" si="132"/>
        <v>0</v>
      </c>
      <c r="O209" s="192">
        <f t="shared" si="132"/>
        <v>0</v>
      </c>
      <c r="P209" s="192">
        <f t="shared" si="132"/>
        <v>0</v>
      </c>
      <c r="Q209" s="192">
        <f t="shared" si="132"/>
        <v>0</v>
      </c>
      <c r="R209" s="192">
        <f t="shared" si="132"/>
        <v>0</v>
      </c>
      <c r="S209" s="192">
        <f t="shared" ref="S209:AX209" si="149">IF(S$200&gt;=$C209,$N$132*HLOOKUP(S$200-$C209+1,$E$47:$CB$49,3)*S$106*$C$30,0)</f>
        <v>0</v>
      </c>
      <c r="T209" s="192">
        <f t="shared" si="149"/>
        <v>0</v>
      </c>
      <c r="U209" s="192">
        <f t="shared" si="149"/>
        <v>0</v>
      </c>
      <c r="V209" s="192">
        <f t="shared" si="149"/>
        <v>0</v>
      </c>
      <c r="W209" s="192">
        <f t="shared" si="149"/>
        <v>0</v>
      </c>
      <c r="X209" s="192">
        <f t="shared" si="149"/>
        <v>0</v>
      </c>
      <c r="Y209" s="192">
        <f t="shared" si="149"/>
        <v>0</v>
      </c>
      <c r="Z209" s="192">
        <f t="shared" si="149"/>
        <v>0</v>
      </c>
      <c r="AA209" s="192">
        <f t="shared" si="149"/>
        <v>166506.25254130058</v>
      </c>
      <c r="AB209" s="192">
        <f t="shared" si="149"/>
        <v>203719.9812316235</v>
      </c>
      <c r="AC209" s="192">
        <f t="shared" si="149"/>
        <v>236432.39665695996</v>
      </c>
      <c r="AD209" s="192">
        <f t="shared" si="149"/>
        <v>265452.44011250191</v>
      </c>
      <c r="AE209" s="192">
        <f t="shared" si="149"/>
        <v>291453.75831308268</v>
      </c>
      <c r="AF209" s="192">
        <f t="shared" si="149"/>
        <v>314997.58996270614</v>
      </c>
      <c r="AG209" s="192">
        <f t="shared" si="149"/>
        <v>336551.7879409403</v>
      </c>
      <c r="AH209" s="192">
        <f t="shared" si="149"/>
        <v>356506.62979930436</v>
      </c>
      <c r="AI209" s="192">
        <f t="shared" si="149"/>
        <v>375187.95902641612</v>
      </c>
      <c r="AJ209" s="192">
        <f t="shared" si="149"/>
        <v>392868.1079241081</v>
      </c>
      <c r="AK209" s="192">
        <f t="shared" si="149"/>
        <v>409774.97679354285</v>
      </c>
      <c r="AL209" s="192">
        <f t="shared" si="149"/>
        <v>426099.58084723452</v>
      </c>
      <c r="AM209" s="192">
        <f t="shared" si="149"/>
        <v>442002.32366783469</v>
      </c>
      <c r="AN209" s="192">
        <f t="shared" si="149"/>
        <v>457618.21232243418</v>
      </c>
      <c r="AO209" s="192">
        <f t="shared" si="149"/>
        <v>473061.19291170611</v>
      </c>
      <c r="AP209" s="192">
        <f t="shared" si="149"/>
        <v>488427.75513958646</v>
      </c>
      <c r="AQ209" s="192">
        <f t="shared" si="149"/>
        <v>503799.92939506512</v>
      </c>
      <c r="AR209" s="192">
        <f t="shared" si="149"/>
        <v>519247.77898177918</v>
      </c>
      <c r="AS209" s="192">
        <f t="shared" si="149"/>
        <v>534831.47279765143</v>
      </c>
      <c r="AT209" s="192">
        <f t="shared" si="149"/>
        <v>550603.00936087745</v>
      </c>
      <c r="AU209" s="192">
        <f t="shared" si="149"/>
        <v>566607.65110573149</v>
      </c>
      <c r="AV209" s="192">
        <f t="shared" si="149"/>
        <v>582885.11792095075</v>
      </c>
      <c r="AW209" s="192">
        <f t="shared" si="149"/>
        <v>599470.58063340664</v>
      </c>
      <c r="AX209" s="192">
        <f t="shared" si="149"/>
        <v>616395.48826648225</v>
      </c>
      <c r="AY209" s="192">
        <f t="shared" ref="AY209:CB209" si="150">IF(AY$200&gt;=$C209,$N$132*HLOOKUP(AY$200-$C209+1,$E$47:$CB$49,3)*AY$106*$C$30,0)</f>
        <v>633688.25719017012</v>
      </c>
      <c r="AZ209" s="192">
        <f t="shared" si="150"/>
        <v>651374.84553231776</v>
      </c>
      <c r="BA209" s="192">
        <f t="shared" si="150"/>
        <v>669479.23227471882</v>
      </c>
      <c r="BB209" s="192">
        <f t="shared" si="150"/>
        <v>688023.81717846321</v>
      </c>
      <c r="BC209" s="192">
        <f t="shared" si="150"/>
        <v>707029.75495754892</v>
      </c>
      <c r="BD209" s="192">
        <f t="shared" si="150"/>
        <v>726517.23485469131</v>
      </c>
      <c r="BE209" s="192">
        <f t="shared" si="150"/>
        <v>746505.71489078074</v>
      </c>
      <c r="BF209" s="192">
        <f t="shared" si="150"/>
        <v>767014.11849493277</v>
      </c>
      <c r="BG209" s="192">
        <f t="shared" si="150"/>
        <v>788060.99992184038</v>
      </c>
      <c r="BH209" s="192">
        <f t="shared" si="150"/>
        <v>809664.68378253793</v>
      </c>
      <c r="BI209" s="192">
        <f t="shared" si="150"/>
        <v>831843.38311663573</v>
      </c>
      <c r="BJ209" s="192">
        <f t="shared" si="150"/>
        <v>854615.29968774423</v>
      </c>
      <c r="BK209" s="192">
        <f t="shared" si="150"/>
        <v>877998.70956356416</v>
      </c>
      <c r="BL209" s="192">
        <f t="shared" si="150"/>
        <v>902012.03652667266</v>
      </c>
      <c r="BM209" s="192">
        <f t="shared" si="150"/>
        <v>926673.9154336818</v>
      </c>
      <c r="BN209" s="192">
        <f t="shared" si="150"/>
        <v>952003.24728449492</v>
      </c>
      <c r="BO209" s="192">
        <f t="shared" si="150"/>
        <v>978019.24746759119</v>
      </c>
      <c r="BP209" s="192">
        <f t="shared" si="150"/>
        <v>0</v>
      </c>
      <c r="BQ209" s="192">
        <f t="shared" si="150"/>
        <v>0</v>
      </c>
      <c r="BR209" s="192">
        <f t="shared" si="150"/>
        <v>0</v>
      </c>
      <c r="BS209" s="192">
        <f t="shared" si="150"/>
        <v>0</v>
      </c>
      <c r="BT209" s="192">
        <f t="shared" si="150"/>
        <v>0</v>
      </c>
      <c r="BU209" s="192">
        <f t="shared" si="150"/>
        <v>0</v>
      </c>
      <c r="BV209" s="192">
        <f t="shared" si="150"/>
        <v>0</v>
      </c>
      <c r="BW209" s="192">
        <f t="shared" si="150"/>
        <v>0</v>
      </c>
      <c r="BX209" s="192">
        <f t="shared" si="150"/>
        <v>0</v>
      </c>
      <c r="BY209" s="192">
        <f t="shared" si="150"/>
        <v>0</v>
      </c>
      <c r="BZ209" s="192">
        <f t="shared" si="150"/>
        <v>0</v>
      </c>
      <c r="CA209" s="192">
        <f t="shared" si="150"/>
        <v>0</v>
      </c>
      <c r="CB209" s="192">
        <f t="shared" si="150"/>
        <v>0</v>
      </c>
    </row>
    <row r="210" spans="2:80">
      <c r="B210" s="1">
        <v>2022</v>
      </c>
      <c r="C210" s="12">
        <f t="shared" si="131"/>
        <v>2035</v>
      </c>
      <c r="E210" s="192">
        <f t="shared" si="132"/>
        <v>0</v>
      </c>
      <c r="F210" s="192">
        <f t="shared" si="132"/>
        <v>0</v>
      </c>
      <c r="G210" s="192">
        <f t="shared" si="132"/>
        <v>0</v>
      </c>
      <c r="H210" s="192">
        <f t="shared" si="132"/>
        <v>0</v>
      </c>
      <c r="I210" s="192">
        <f t="shared" si="132"/>
        <v>0</v>
      </c>
      <c r="J210" s="192">
        <f t="shared" si="132"/>
        <v>0</v>
      </c>
      <c r="K210" s="192">
        <f t="shared" si="132"/>
        <v>0</v>
      </c>
      <c r="L210" s="192">
        <f t="shared" si="132"/>
        <v>0</v>
      </c>
      <c r="M210" s="192">
        <f t="shared" si="132"/>
        <v>0</v>
      </c>
      <c r="N210" s="192">
        <f t="shared" si="132"/>
        <v>0</v>
      </c>
      <c r="O210" s="192">
        <f t="shared" si="132"/>
        <v>0</v>
      </c>
      <c r="P210" s="192">
        <f t="shared" si="132"/>
        <v>0</v>
      </c>
      <c r="Q210" s="192">
        <f t="shared" si="132"/>
        <v>0</v>
      </c>
      <c r="R210" s="192">
        <f t="shared" si="132"/>
        <v>0</v>
      </c>
      <c r="S210" s="192">
        <f t="shared" ref="S210:AX210" si="151">IF(S$200&gt;=$C210,$O$132*HLOOKUP(S$200-$C210+1,$E$47:$CB$49,3)*S$106*$C$30,0)</f>
        <v>0</v>
      </c>
      <c r="T210" s="192">
        <f t="shared" si="151"/>
        <v>0</v>
      </c>
      <c r="U210" s="192">
        <f t="shared" si="151"/>
        <v>0</v>
      </c>
      <c r="V210" s="192">
        <f t="shared" si="151"/>
        <v>0</v>
      </c>
      <c r="W210" s="192">
        <f t="shared" si="151"/>
        <v>0</v>
      </c>
      <c r="X210" s="192">
        <f t="shared" si="151"/>
        <v>0</v>
      </c>
      <c r="Y210" s="192">
        <f t="shared" si="151"/>
        <v>0</v>
      </c>
      <c r="Z210" s="192">
        <f t="shared" si="151"/>
        <v>0</v>
      </c>
      <c r="AA210" s="192">
        <f t="shared" si="151"/>
        <v>0</v>
      </c>
      <c r="AB210" s="192">
        <f t="shared" si="151"/>
        <v>175127.73558386308</v>
      </c>
      <c r="AC210" s="192">
        <f t="shared" si="151"/>
        <v>214268.34405171603</v>
      </c>
      <c r="AD210" s="192">
        <f t="shared" si="151"/>
        <v>248674.56695014334</v>
      </c>
      <c r="AE210" s="192">
        <f t="shared" si="151"/>
        <v>279197.23153088486</v>
      </c>
      <c r="AF210" s="192">
        <f t="shared" si="151"/>
        <v>306544.86508316681</v>
      </c>
      <c r="AG210" s="192">
        <f t="shared" si="151"/>
        <v>331307.76654083736</v>
      </c>
      <c r="AH210" s="192">
        <f t="shared" si="151"/>
        <v>353978.01361349993</v>
      </c>
      <c r="AI210" s="192">
        <f t="shared" si="151"/>
        <v>374966.09193039412</v>
      </c>
      <c r="AJ210" s="192">
        <f t="shared" si="151"/>
        <v>394614.71674362291</v>
      </c>
      <c r="AK210" s="192">
        <f t="shared" si="151"/>
        <v>413210.32137697033</v>
      </c>
      <c r="AL210" s="192">
        <f t="shared" si="151"/>
        <v>430992.60652078496</v>
      </c>
      <c r="AM210" s="192">
        <f t="shared" si="151"/>
        <v>448162.47791355476</v>
      </c>
      <c r="AN210" s="192">
        <f t="shared" si="151"/>
        <v>464888.6446324499</v>
      </c>
      <c r="AO210" s="192">
        <f t="shared" si="151"/>
        <v>481313.10423964326</v>
      </c>
      <c r="AP210" s="192">
        <f t="shared" si="151"/>
        <v>497555.70282070211</v>
      </c>
      <c r="AQ210" s="192">
        <f t="shared" si="151"/>
        <v>513717.92619432404</v>
      </c>
      <c r="AR210" s="192">
        <f t="shared" si="151"/>
        <v>529886.05217923119</v>
      </c>
      <c r="AS210" s="192">
        <f t="shared" si="151"/>
        <v>546133.77186825813</v>
      </c>
      <c r="AT210" s="192">
        <f t="shared" si="151"/>
        <v>562524.36962871766</v>
      </c>
      <c r="AU210" s="192">
        <f t="shared" si="151"/>
        <v>579112.53639627364</v>
      </c>
      <c r="AV210" s="192">
        <f t="shared" si="151"/>
        <v>595945.87823676714</v>
      </c>
      <c r="AW210" s="192">
        <f t="shared" si="151"/>
        <v>613066.17168450868</v>
      </c>
      <c r="AX210" s="192">
        <f t="shared" si="151"/>
        <v>630510.40866727626</v>
      </c>
      <c r="AY210" s="192">
        <f t="shared" ref="AY210:CB210" si="152">IF(AY$200&gt;=$C210,$O$132*HLOOKUP(AY$200-$C210+1,$E$47:$CB$49,3)*AY$106*$C$30,0)</f>
        <v>648311.66659908497</v>
      </c>
      <c r="AZ210" s="192">
        <f t="shared" si="152"/>
        <v>666499.83321360452</v>
      </c>
      <c r="BA210" s="192">
        <f t="shared" si="152"/>
        <v>685102.21071769239</v>
      </c>
      <c r="BB210" s="192">
        <f t="shared" si="152"/>
        <v>704144.01969447418</v>
      </c>
      <c r="BC210" s="192">
        <f t="shared" si="152"/>
        <v>723648.81973632157</v>
      </c>
      <c r="BD210" s="192">
        <f t="shared" si="152"/>
        <v>743638.86092155264</v>
      </c>
      <c r="BE210" s="192">
        <f t="shared" si="152"/>
        <v>764135.37786632078</v>
      </c>
      <c r="BF210" s="192">
        <f t="shared" si="152"/>
        <v>785158.83610321372</v>
      </c>
      <c r="BG210" s="192">
        <f t="shared" si="152"/>
        <v>806729.1388925591</v>
      </c>
      <c r="BH210" s="192">
        <f t="shared" si="152"/>
        <v>828865.80120487767</v>
      </c>
      <c r="BI210" s="192">
        <f t="shared" si="152"/>
        <v>851588.09647637303</v>
      </c>
      <c r="BJ210" s="192">
        <f t="shared" si="152"/>
        <v>874915.18079479807</v>
      </c>
      <c r="BK210" s="192">
        <f t="shared" si="152"/>
        <v>898866.19838804845</v>
      </c>
      <c r="BL210" s="192">
        <f t="shared" si="152"/>
        <v>923460.37163548206</v>
      </c>
      <c r="BM210" s="192">
        <f t="shared" si="152"/>
        <v>948717.07827982283</v>
      </c>
      <c r="BN210" s="192">
        <f t="shared" si="152"/>
        <v>974655.91806697508</v>
      </c>
      <c r="BO210" s="192">
        <f t="shared" si="152"/>
        <v>1001296.7706666988</v>
      </c>
      <c r="BP210" s="192">
        <f t="shared" si="152"/>
        <v>1028659.8464159707</v>
      </c>
      <c r="BQ210" s="192">
        <f t="shared" si="152"/>
        <v>0</v>
      </c>
      <c r="BR210" s="192">
        <f t="shared" si="152"/>
        <v>0</v>
      </c>
      <c r="BS210" s="192">
        <f t="shared" si="152"/>
        <v>0</v>
      </c>
      <c r="BT210" s="192">
        <f t="shared" si="152"/>
        <v>0</v>
      </c>
      <c r="BU210" s="192">
        <f t="shared" si="152"/>
        <v>0</v>
      </c>
      <c r="BV210" s="192">
        <f t="shared" si="152"/>
        <v>0</v>
      </c>
      <c r="BW210" s="192">
        <f t="shared" si="152"/>
        <v>0</v>
      </c>
      <c r="BX210" s="192">
        <f t="shared" si="152"/>
        <v>0</v>
      </c>
      <c r="BY210" s="192">
        <f t="shared" si="152"/>
        <v>0</v>
      </c>
      <c r="BZ210" s="192">
        <f t="shared" si="152"/>
        <v>0</v>
      </c>
      <c r="CA210" s="192">
        <f t="shared" si="152"/>
        <v>0</v>
      </c>
      <c r="CB210" s="192">
        <f t="shared" si="152"/>
        <v>0</v>
      </c>
    </row>
    <row r="211" spans="2:80">
      <c r="B211" s="1">
        <v>2023</v>
      </c>
      <c r="C211" s="12">
        <f t="shared" si="131"/>
        <v>2036</v>
      </c>
      <c r="E211" s="192">
        <f t="shared" ref="E211:R220" si="153">IF(E$200&gt;=$C211,E$132*HLOOKUP(E$200-$C211+1,$E$47:$CB$49,3)*E$106*$C$30,0)</f>
        <v>0</v>
      </c>
      <c r="F211" s="192">
        <f t="shared" si="153"/>
        <v>0</v>
      </c>
      <c r="G211" s="192">
        <f t="shared" si="153"/>
        <v>0</v>
      </c>
      <c r="H211" s="192">
        <f t="shared" si="153"/>
        <v>0</v>
      </c>
      <c r="I211" s="192">
        <f t="shared" si="153"/>
        <v>0</v>
      </c>
      <c r="J211" s="192">
        <f t="shared" si="153"/>
        <v>0</v>
      </c>
      <c r="K211" s="192">
        <f t="shared" si="153"/>
        <v>0</v>
      </c>
      <c r="L211" s="192">
        <f t="shared" si="153"/>
        <v>0</v>
      </c>
      <c r="M211" s="192">
        <f t="shared" si="153"/>
        <v>0</v>
      </c>
      <c r="N211" s="192">
        <f t="shared" si="153"/>
        <v>0</v>
      </c>
      <c r="O211" s="192">
        <f t="shared" si="153"/>
        <v>0</v>
      </c>
      <c r="P211" s="192">
        <f t="shared" si="153"/>
        <v>0</v>
      </c>
      <c r="Q211" s="192">
        <f t="shared" si="153"/>
        <v>0</v>
      </c>
      <c r="R211" s="192">
        <f t="shared" si="153"/>
        <v>0</v>
      </c>
      <c r="S211" s="192">
        <f t="shared" ref="S211:AX211" si="154">IF(S$200&gt;=$C211,$P$132*HLOOKUP(S$200-$C211+1,$E$47:$CB$49,3)*S$106*$C$30,0)</f>
        <v>0</v>
      </c>
      <c r="T211" s="192">
        <f t="shared" si="154"/>
        <v>0</v>
      </c>
      <c r="U211" s="192">
        <f t="shared" si="154"/>
        <v>0</v>
      </c>
      <c r="V211" s="192">
        <f t="shared" si="154"/>
        <v>0</v>
      </c>
      <c r="W211" s="192">
        <f t="shared" si="154"/>
        <v>0</v>
      </c>
      <c r="X211" s="192">
        <f t="shared" si="154"/>
        <v>0</v>
      </c>
      <c r="Y211" s="192">
        <f t="shared" si="154"/>
        <v>0</v>
      </c>
      <c r="Z211" s="192">
        <f t="shared" si="154"/>
        <v>0</v>
      </c>
      <c r="AA211" s="192">
        <f t="shared" si="154"/>
        <v>0</v>
      </c>
      <c r="AB211" s="192">
        <f t="shared" si="154"/>
        <v>0</v>
      </c>
      <c r="AC211" s="192">
        <f t="shared" si="154"/>
        <v>184195.62810786391</v>
      </c>
      <c r="AD211" s="192">
        <f t="shared" si="154"/>
        <v>225362.88774965686</v>
      </c>
      <c r="AE211" s="192">
        <f t="shared" si="154"/>
        <v>261550.62132861451</v>
      </c>
      <c r="AF211" s="192">
        <f t="shared" si="154"/>
        <v>293653.71085484821</v>
      </c>
      <c r="AG211" s="192">
        <f t="shared" si="154"/>
        <v>322417.37026397733</v>
      </c>
      <c r="AH211" s="192">
        <f t="shared" si="154"/>
        <v>348462.46342162025</v>
      </c>
      <c r="AI211" s="192">
        <f t="shared" si="154"/>
        <v>372306.54719845811</v>
      </c>
      <c r="AJ211" s="192">
        <f t="shared" si="154"/>
        <v>394381.36165014218</v>
      </c>
      <c r="AK211" s="192">
        <f t="shared" si="154"/>
        <v>415047.36739082233</v>
      </c>
      <c r="AL211" s="192">
        <f t="shared" si="154"/>
        <v>434605.8288993063</v>
      </c>
      <c r="AM211" s="192">
        <f t="shared" si="154"/>
        <v>453308.85826434696</v>
      </c>
      <c r="AN211" s="192">
        <f t="shared" si="154"/>
        <v>471367.76386932464</v>
      </c>
      <c r="AO211" s="192">
        <f t="shared" si="154"/>
        <v>488959.99033392366</v>
      </c>
      <c r="AP211" s="192">
        <f t="shared" si="154"/>
        <v>506234.88767438801</v>
      </c>
      <c r="AQ211" s="192">
        <f t="shared" si="154"/>
        <v>523318.50745493011</v>
      </c>
      <c r="AR211" s="192">
        <f t="shared" si="154"/>
        <v>540317.59030150936</v>
      </c>
      <c r="AS211" s="192">
        <f t="shared" si="154"/>
        <v>557322.88138911617</v>
      </c>
      <c r="AT211" s="192">
        <f t="shared" si="154"/>
        <v>574411.88744211616</v>
      </c>
      <c r="AU211" s="192">
        <f t="shared" si="154"/>
        <v>591651.16961227497</v>
      </c>
      <c r="AV211" s="192">
        <f t="shared" si="154"/>
        <v>609098.25066269375</v>
      </c>
      <c r="AW211" s="192">
        <f t="shared" si="154"/>
        <v>626803.20164105739</v>
      </c>
      <c r="AX211" s="192">
        <f t="shared" si="154"/>
        <v>644809.9622177541</v>
      </c>
      <c r="AY211" s="192">
        <f t="shared" ref="AY211:CB211" si="155">IF(AY$200&gt;=$C211,$P$132*HLOOKUP(AY$200-$C211+1,$E$47:$CB$49,3)*AY$106*$C$30,0)</f>
        <v>663157.43971576949</v>
      </c>
      <c r="AZ211" s="192">
        <f t="shared" si="155"/>
        <v>681880.42425575631</v>
      </c>
      <c r="BA211" s="192">
        <f t="shared" si="155"/>
        <v>701010.3511204113</v>
      </c>
      <c r="BB211" s="192">
        <f t="shared" si="155"/>
        <v>720575.93619031145</v>
      </c>
      <c r="BC211" s="192">
        <f t="shared" si="155"/>
        <v>740603.70593846007</v>
      </c>
      <c r="BD211" s="192">
        <f t="shared" si="155"/>
        <v>761118.4398431076</v>
      </c>
      <c r="BE211" s="192">
        <f t="shared" si="155"/>
        <v>782143.54006346909</v>
      </c>
      <c r="BF211" s="192">
        <f t="shared" si="155"/>
        <v>803701.34071725036</v>
      </c>
      <c r="BG211" s="192">
        <f t="shared" si="155"/>
        <v>825813.36701641732</v>
      </c>
      <c r="BH211" s="192">
        <f t="shared" si="155"/>
        <v>848500.55278692977</v>
      </c>
      <c r="BI211" s="192">
        <f t="shared" si="155"/>
        <v>871783.42345978564</v>
      </c>
      <c r="BJ211" s="192">
        <f t="shared" si="155"/>
        <v>895682.25042532489</v>
      </c>
      <c r="BK211" s="192">
        <f t="shared" si="155"/>
        <v>920217.18164928188</v>
      </c>
      <c r="BL211" s="192">
        <f t="shared" si="155"/>
        <v>945408.35262344556</v>
      </c>
      <c r="BM211" s="192">
        <f t="shared" si="155"/>
        <v>971275.98103765142</v>
      </c>
      <c r="BN211" s="192">
        <f t="shared" si="155"/>
        <v>997840.44798961852</v>
      </c>
      <c r="BO211" s="192">
        <f t="shared" si="155"/>
        <v>1025122.3680752915</v>
      </c>
      <c r="BP211" s="192">
        <f t="shared" si="155"/>
        <v>1053142.6503085718</v>
      </c>
      <c r="BQ211" s="192">
        <f t="shared" si="155"/>
        <v>1081922.5514921087</v>
      </c>
      <c r="BR211" s="192">
        <f t="shared" si="155"/>
        <v>0</v>
      </c>
      <c r="BS211" s="192">
        <f t="shared" si="155"/>
        <v>0</v>
      </c>
      <c r="BT211" s="192">
        <f t="shared" si="155"/>
        <v>0</v>
      </c>
      <c r="BU211" s="192">
        <f t="shared" si="155"/>
        <v>0</v>
      </c>
      <c r="BV211" s="192">
        <f t="shared" si="155"/>
        <v>0</v>
      </c>
      <c r="BW211" s="192">
        <f t="shared" si="155"/>
        <v>0</v>
      </c>
      <c r="BX211" s="192">
        <f t="shared" si="155"/>
        <v>0</v>
      </c>
      <c r="BY211" s="192">
        <f t="shared" si="155"/>
        <v>0</v>
      </c>
      <c r="BZ211" s="192">
        <f t="shared" si="155"/>
        <v>0</v>
      </c>
      <c r="CA211" s="192">
        <f t="shared" si="155"/>
        <v>0</v>
      </c>
      <c r="CB211" s="192">
        <f t="shared" si="155"/>
        <v>0</v>
      </c>
    </row>
    <row r="212" spans="2:80">
      <c r="B212" s="1">
        <v>2024</v>
      </c>
      <c r="C212" s="12">
        <f t="shared" si="131"/>
        <v>2037</v>
      </c>
      <c r="E212" s="192">
        <f t="shared" si="153"/>
        <v>0</v>
      </c>
      <c r="F212" s="192">
        <f t="shared" si="153"/>
        <v>0</v>
      </c>
      <c r="G212" s="192">
        <f t="shared" si="153"/>
        <v>0</v>
      </c>
      <c r="H212" s="192">
        <f t="shared" si="153"/>
        <v>0</v>
      </c>
      <c r="I212" s="192">
        <f t="shared" si="153"/>
        <v>0</v>
      </c>
      <c r="J212" s="192">
        <f t="shared" si="153"/>
        <v>0</v>
      </c>
      <c r="K212" s="192">
        <f t="shared" si="153"/>
        <v>0</v>
      </c>
      <c r="L212" s="192">
        <f t="shared" si="153"/>
        <v>0</v>
      </c>
      <c r="M212" s="192">
        <f t="shared" si="153"/>
        <v>0</v>
      </c>
      <c r="N212" s="192">
        <f t="shared" si="153"/>
        <v>0</v>
      </c>
      <c r="O212" s="192">
        <f t="shared" si="153"/>
        <v>0</v>
      </c>
      <c r="P212" s="192">
        <f t="shared" si="153"/>
        <v>0</v>
      </c>
      <c r="Q212" s="192">
        <f t="shared" si="153"/>
        <v>0</v>
      </c>
      <c r="R212" s="192">
        <f t="shared" si="153"/>
        <v>0</v>
      </c>
      <c r="S212" s="192">
        <f t="shared" ref="S212:AX212" si="156">IF(S$200&gt;=$C212,$Q$132*HLOOKUP(S$200-$C212+1,$E$47:$CB$49,3)*S$106*$C$30,0)</f>
        <v>0</v>
      </c>
      <c r="T212" s="192">
        <f t="shared" si="156"/>
        <v>0</v>
      </c>
      <c r="U212" s="192">
        <f t="shared" si="156"/>
        <v>0</v>
      </c>
      <c r="V212" s="192">
        <f t="shared" si="156"/>
        <v>0</v>
      </c>
      <c r="W212" s="192">
        <f t="shared" si="156"/>
        <v>0</v>
      </c>
      <c r="X212" s="192">
        <f t="shared" si="156"/>
        <v>0</v>
      </c>
      <c r="Y212" s="192">
        <f t="shared" si="156"/>
        <v>0</v>
      </c>
      <c r="Z212" s="192">
        <f t="shared" si="156"/>
        <v>0</v>
      </c>
      <c r="AA212" s="192">
        <f t="shared" si="156"/>
        <v>0</v>
      </c>
      <c r="AB212" s="192">
        <f t="shared" si="156"/>
        <v>0</v>
      </c>
      <c r="AC212" s="192">
        <f t="shared" si="156"/>
        <v>0</v>
      </c>
      <c r="AD212" s="192">
        <f t="shared" si="156"/>
        <v>193733.0446313197</v>
      </c>
      <c r="AE212" s="192">
        <f t="shared" si="156"/>
        <v>237031.89288010777</v>
      </c>
      <c r="AF212" s="192">
        <f t="shared" si="156"/>
        <v>275093.38150812802</v>
      </c>
      <c r="AG212" s="192">
        <f t="shared" si="156"/>
        <v>308858.72838350019</v>
      </c>
      <c r="AH212" s="192">
        <f t="shared" si="156"/>
        <v>339111.73367636028</v>
      </c>
      <c r="AI212" s="192">
        <f t="shared" si="156"/>
        <v>366505.40879758366</v>
      </c>
      <c r="AJ212" s="192">
        <f t="shared" si="156"/>
        <v>391584.10905764619</v>
      </c>
      <c r="AK212" s="192">
        <f t="shared" si="156"/>
        <v>414801.92946591263</v>
      </c>
      <c r="AL212" s="192">
        <f t="shared" si="156"/>
        <v>436537.99483096972</v>
      </c>
      <c r="AM212" s="192">
        <f t="shared" si="156"/>
        <v>457109.16872508719</v>
      </c>
      <c r="AN212" s="192">
        <f t="shared" si="156"/>
        <v>476780.61728192522</v>
      </c>
      <c r="AO212" s="192">
        <f t="shared" si="156"/>
        <v>495774.5901655443</v>
      </c>
      <c r="AP212" s="192">
        <f t="shared" si="156"/>
        <v>514277.71985347924</v>
      </c>
      <c r="AQ212" s="192">
        <f t="shared" si="156"/>
        <v>532447.08951681259</v>
      </c>
      <c r="AR212" s="192">
        <f t="shared" si="156"/>
        <v>550415.27751023299</v>
      </c>
      <c r="AS212" s="192">
        <f t="shared" si="156"/>
        <v>568294.55135423166</v>
      </c>
      <c r="AT212" s="192">
        <f t="shared" si="156"/>
        <v>586180.35489412176</v>
      </c>
      <c r="AU212" s="192">
        <f t="shared" si="156"/>
        <v>604154.20805437164</v>
      </c>
      <c r="AV212" s="192">
        <f t="shared" si="156"/>
        <v>622286.11843895202</v>
      </c>
      <c r="AW212" s="192">
        <f t="shared" si="156"/>
        <v>640636.58726684249</v>
      </c>
      <c r="AX212" s="192">
        <f t="shared" si="156"/>
        <v>659258.27820121148</v>
      </c>
      <c r="AY212" s="192">
        <f t="shared" ref="AY212:CB212" si="157">IF(AY$200&gt;=$C212,$Q$132*HLOOKUP(AY$200-$C212+1,$E$47:$CB$49,3)*AY$106*$C$30,0)</f>
        <v>678197.40605297498</v>
      </c>
      <c r="AZ212" s="192">
        <f t="shared" si="157"/>
        <v>697494.89271706459</v>
      </c>
      <c r="BA212" s="192">
        <f t="shared" si="157"/>
        <v>717187.32970255415</v>
      </c>
      <c r="BB212" s="192">
        <f t="shared" si="157"/>
        <v>737307.77997129667</v>
      </c>
      <c r="BC212" s="192">
        <f t="shared" si="157"/>
        <v>757886.44627582585</v>
      </c>
      <c r="BD212" s="192">
        <f t="shared" si="157"/>
        <v>778951.22859634738</v>
      </c>
      <c r="BE212" s="192">
        <f t="shared" si="157"/>
        <v>800528.18946113682</v>
      </c>
      <c r="BF212" s="192">
        <f t="shared" si="157"/>
        <v>822641.94276359852</v>
      </c>
      <c r="BG212" s="192">
        <f t="shared" si="157"/>
        <v>845315.97905378859</v>
      </c>
      <c r="BH212" s="192">
        <f t="shared" si="157"/>
        <v>868572.93809190881</v>
      </c>
      <c r="BI212" s="192">
        <f t="shared" si="157"/>
        <v>892434.83763093548</v>
      </c>
      <c r="BJ212" s="192">
        <f t="shared" si="157"/>
        <v>916923.26588270813</v>
      </c>
      <c r="BK212" s="192">
        <f t="shared" si="157"/>
        <v>942059.54386450525</v>
      </c>
      <c r="BL212" s="192">
        <f t="shared" si="157"/>
        <v>967864.86277822964</v>
      </c>
      <c r="BM212" s="192">
        <f t="shared" si="157"/>
        <v>994360.40070595394</v>
      </c>
      <c r="BN212" s="192">
        <f t="shared" si="157"/>
        <v>1021567.4221839068</v>
      </c>
      <c r="BO212" s="192">
        <f t="shared" si="157"/>
        <v>1049507.3636172561</v>
      </c>
      <c r="BP212" s="192">
        <f t="shared" si="157"/>
        <v>1078201.9069996357</v>
      </c>
      <c r="BQ212" s="192">
        <f t="shared" si="157"/>
        <v>1107673.0439872267</v>
      </c>
      <c r="BR212" s="192">
        <f t="shared" si="157"/>
        <v>1137943.1320330198</v>
      </c>
      <c r="BS212" s="192">
        <f t="shared" si="157"/>
        <v>0</v>
      </c>
      <c r="BT212" s="192">
        <f t="shared" si="157"/>
        <v>0</v>
      </c>
      <c r="BU212" s="192">
        <f t="shared" si="157"/>
        <v>0</v>
      </c>
      <c r="BV212" s="192">
        <f t="shared" si="157"/>
        <v>0</v>
      </c>
      <c r="BW212" s="192">
        <f t="shared" si="157"/>
        <v>0</v>
      </c>
      <c r="BX212" s="192">
        <f t="shared" si="157"/>
        <v>0</v>
      </c>
      <c r="BY212" s="192">
        <f t="shared" si="157"/>
        <v>0</v>
      </c>
      <c r="BZ212" s="192">
        <f t="shared" si="157"/>
        <v>0</v>
      </c>
      <c r="CA212" s="192">
        <f t="shared" si="157"/>
        <v>0</v>
      </c>
      <c r="CB212" s="192">
        <f t="shared" si="157"/>
        <v>0</v>
      </c>
    </row>
    <row r="213" spans="2:80">
      <c r="B213" s="1">
        <v>2025</v>
      </c>
      <c r="C213" s="12">
        <f t="shared" si="131"/>
        <v>2038</v>
      </c>
      <c r="E213" s="192">
        <f t="shared" si="153"/>
        <v>0</v>
      </c>
      <c r="F213" s="192">
        <f t="shared" si="153"/>
        <v>0</v>
      </c>
      <c r="G213" s="192">
        <f t="shared" si="153"/>
        <v>0</v>
      </c>
      <c r="H213" s="192">
        <f t="shared" si="153"/>
        <v>0</v>
      </c>
      <c r="I213" s="192">
        <f t="shared" si="153"/>
        <v>0</v>
      </c>
      <c r="J213" s="192">
        <f t="shared" si="153"/>
        <v>0</v>
      </c>
      <c r="K213" s="192">
        <f t="shared" si="153"/>
        <v>0</v>
      </c>
      <c r="L213" s="192">
        <f t="shared" si="153"/>
        <v>0</v>
      </c>
      <c r="M213" s="192">
        <f t="shared" si="153"/>
        <v>0</v>
      </c>
      <c r="N213" s="192">
        <f t="shared" si="153"/>
        <v>0</v>
      </c>
      <c r="O213" s="192">
        <f t="shared" si="153"/>
        <v>0</v>
      </c>
      <c r="P213" s="192">
        <f t="shared" si="153"/>
        <v>0</v>
      </c>
      <c r="Q213" s="192">
        <f t="shared" si="153"/>
        <v>0</v>
      </c>
      <c r="R213" s="192">
        <f t="shared" si="153"/>
        <v>0</v>
      </c>
      <c r="S213" s="192">
        <f t="shared" ref="S213:AX213" si="158">IF(S$200&gt;=$C213,$R$132*HLOOKUP(S$200-$C213+1,$E$47:$CB$49,3)*S$106*$C$30,0)</f>
        <v>0</v>
      </c>
      <c r="T213" s="192">
        <f t="shared" si="158"/>
        <v>0</v>
      </c>
      <c r="U213" s="192">
        <f t="shared" si="158"/>
        <v>0</v>
      </c>
      <c r="V213" s="192">
        <f t="shared" si="158"/>
        <v>0</v>
      </c>
      <c r="W213" s="192">
        <f t="shared" si="158"/>
        <v>0</v>
      </c>
      <c r="X213" s="192">
        <f t="shared" si="158"/>
        <v>0</v>
      </c>
      <c r="Y213" s="192">
        <f t="shared" si="158"/>
        <v>0</v>
      </c>
      <c r="Z213" s="192">
        <f t="shared" si="158"/>
        <v>0</v>
      </c>
      <c r="AA213" s="192">
        <f t="shared" si="158"/>
        <v>0</v>
      </c>
      <c r="AB213" s="192">
        <f t="shared" si="158"/>
        <v>0</v>
      </c>
      <c r="AC213" s="192">
        <f t="shared" si="158"/>
        <v>0</v>
      </c>
      <c r="AD213" s="192">
        <f t="shared" si="158"/>
        <v>0</v>
      </c>
      <c r="AE213" s="192">
        <f t="shared" si="158"/>
        <v>203764.2965127386</v>
      </c>
      <c r="AF213" s="192">
        <f t="shared" si="158"/>
        <v>249305.10432906193</v>
      </c>
      <c r="AG213" s="192">
        <f t="shared" si="158"/>
        <v>289337.36867134413</v>
      </c>
      <c r="AH213" s="192">
        <f t="shared" si="158"/>
        <v>324851.0424778029</v>
      </c>
      <c r="AI213" s="192">
        <f t="shared" si="158"/>
        <v>356670.51009948296</v>
      </c>
      <c r="AJ213" s="192">
        <f t="shared" si="158"/>
        <v>385482.59505172778</v>
      </c>
      <c r="AK213" s="192">
        <f t="shared" si="158"/>
        <v>411859.83867410634</v>
      </c>
      <c r="AL213" s="192">
        <f t="shared" si="158"/>
        <v>436279.84844091034</v>
      </c>
      <c r="AM213" s="192">
        <f t="shared" si="158"/>
        <v>459141.37976353214</v>
      </c>
      <c r="AN213" s="192">
        <f t="shared" si="158"/>
        <v>480777.70300902147</v>
      </c>
      <c r="AO213" s="192">
        <f t="shared" si="158"/>
        <v>501467.71427787142</v>
      </c>
      <c r="AP213" s="192">
        <f t="shared" si="158"/>
        <v>521445.1710404901</v>
      </c>
      <c r="AQ213" s="192">
        <f t="shared" si="158"/>
        <v>540906.36936791532</v>
      </c>
      <c r="AR213" s="192">
        <f t="shared" si="158"/>
        <v>560016.52599903918</v>
      </c>
      <c r="AS213" s="192">
        <f t="shared" si="158"/>
        <v>578915.08402797778</v>
      </c>
      <c r="AT213" s="192">
        <f t="shared" si="158"/>
        <v>597720.12404535851</v>
      </c>
      <c r="AU213" s="192">
        <f t="shared" si="158"/>
        <v>616532.03185802081</v>
      </c>
      <c r="AV213" s="192">
        <f t="shared" si="158"/>
        <v>635436.54838895798</v>
      </c>
      <c r="AW213" s="192">
        <f t="shared" si="158"/>
        <v>654507.30614727992</v>
      </c>
      <c r="AX213" s="192">
        <f t="shared" si="158"/>
        <v>673807.93902852002</v>
      </c>
      <c r="AY213" s="192">
        <f t="shared" ref="AY213:CB213" si="159">IF(AY$200&gt;=$C213,$R$132*HLOOKUP(AY$200-$C213+1,$E$47:$CB$49,3)*AY$106*$C$30,0)</f>
        <v>693393.83755368029</v>
      </c>
      <c r="AZ213" s="192">
        <f t="shared" si="159"/>
        <v>713313.60947810009</v>
      </c>
      <c r="BA213" s="192">
        <f t="shared" si="159"/>
        <v>733610.29558064498</v>
      </c>
      <c r="BB213" s="192">
        <f t="shared" si="159"/>
        <v>754322.38203242142</v>
      </c>
      <c r="BC213" s="192">
        <f t="shared" si="159"/>
        <v>775484.64375360555</v>
      </c>
      <c r="BD213" s="192">
        <f t="shared" si="159"/>
        <v>797128.8473570362</v>
      </c>
      <c r="BE213" s="192">
        <f t="shared" si="159"/>
        <v>819284.33744858624</v>
      </c>
      <c r="BF213" s="192">
        <f t="shared" si="159"/>
        <v>841978.52604126348</v>
      </c>
      <c r="BG213" s="192">
        <f t="shared" si="159"/>
        <v>865237.30150472338</v>
      </c>
      <c r="BH213" s="192">
        <f t="shared" si="159"/>
        <v>889085.37069997727</v>
      </c>
      <c r="BI213" s="192">
        <f t="shared" si="159"/>
        <v>913546.54564535886</v>
      </c>
      <c r="BJ213" s="192">
        <f t="shared" si="159"/>
        <v>938643.98414523026</v>
      </c>
      <c r="BK213" s="192">
        <f t="shared" si="159"/>
        <v>964400.39222172031</v>
      </c>
      <c r="BL213" s="192">
        <f t="shared" si="159"/>
        <v>990838.19486740022</v>
      </c>
      <c r="BM213" s="192">
        <f t="shared" si="159"/>
        <v>1017979.6805377899</v>
      </c>
      <c r="BN213" s="192">
        <f t="shared" si="159"/>
        <v>1045847.1238892504</v>
      </c>
      <c r="BO213" s="192">
        <f t="shared" si="159"/>
        <v>1074462.890508787</v>
      </c>
      <c r="BP213" s="192">
        <f t="shared" si="159"/>
        <v>1103849.5267514982</v>
      </c>
      <c r="BQ213" s="192">
        <f t="shared" si="159"/>
        <v>1134029.8372772101</v>
      </c>
      <c r="BR213" s="192">
        <f t="shared" si="159"/>
        <v>1165026.9524422307</v>
      </c>
      <c r="BS213" s="192">
        <f t="shared" si="159"/>
        <v>1196864.3873401722</v>
      </c>
      <c r="BT213" s="192">
        <f t="shared" si="159"/>
        <v>0</v>
      </c>
      <c r="BU213" s="192">
        <f t="shared" si="159"/>
        <v>0</v>
      </c>
      <c r="BV213" s="192">
        <f t="shared" si="159"/>
        <v>0</v>
      </c>
      <c r="BW213" s="192">
        <f t="shared" si="159"/>
        <v>0</v>
      </c>
      <c r="BX213" s="192">
        <f t="shared" si="159"/>
        <v>0</v>
      </c>
      <c r="BY213" s="192">
        <f t="shared" si="159"/>
        <v>0</v>
      </c>
      <c r="BZ213" s="192">
        <f t="shared" si="159"/>
        <v>0</v>
      </c>
      <c r="CA213" s="192">
        <f t="shared" si="159"/>
        <v>0</v>
      </c>
      <c r="CB213" s="192">
        <f t="shared" si="159"/>
        <v>0</v>
      </c>
    </row>
    <row r="214" spans="2:80">
      <c r="B214" s="1">
        <v>2026</v>
      </c>
      <c r="C214" s="12">
        <f t="shared" si="131"/>
        <v>2039</v>
      </c>
      <c r="E214" s="192">
        <f t="shared" si="153"/>
        <v>0</v>
      </c>
      <c r="F214" s="192">
        <f t="shared" si="153"/>
        <v>0</v>
      </c>
      <c r="G214" s="192">
        <f t="shared" si="153"/>
        <v>0</v>
      </c>
      <c r="H214" s="192">
        <f t="shared" si="153"/>
        <v>0</v>
      </c>
      <c r="I214" s="192">
        <f t="shared" si="153"/>
        <v>0</v>
      </c>
      <c r="J214" s="192">
        <f t="shared" si="153"/>
        <v>0</v>
      </c>
      <c r="K214" s="192">
        <f t="shared" si="153"/>
        <v>0</v>
      </c>
      <c r="L214" s="192">
        <f t="shared" si="153"/>
        <v>0</v>
      </c>
      <c r="M214" s="192">
        <f t="shared" si="153"/>
        <v>0</v>
      </c>
      <c r="N214" s="192">
        <f t="shared" si="153"/>
        <v>0</v>
      </c>
      <c r="O214" s="192">
        <f t="shared" si="153"/>
        <v>0</v>
      </c>
      <c r="P214" s="192">
        <f t="shared" si="153"/>
        <v>0</v>
      </c>
      <c r="Q214" s="192">
        <f t="shared" si="153"/>
        <v>0</v>
      </c>
      <c r="R214" s="192">
        <f t="shared" si="153"/>
        <v>0</v>
      </c>
      <c r="S214" s="192">
        <f t="shared" ref="S214:AX214" si="160">IF(S$200&gt;=$C214,$S$132*HLOOKUP(S$200-$C214+1,$E$47:$CB$49,3)*S$106*$C$30,0)</f>
        <v>0</v>
      </c>
      <c r="T214" s="192">
        <f t="shared" si="160"/>
        <v>0</v>
      </c>
      <c r="U214" s="192">
        <f t="shared" si="160"/>
        <v>0</v>
      </c>
      <c r="V214" s="192">
        <f t="shared" si="160"/>
        <v>0</v>
      </c>
      <c r="W214" s="192">
        <f t="shared" si="160"/>
        <v>0</v>
      </c>
      <c r="X214" s="192">
        <f t="shared" si="160"/>
        <v>0</v>
      </c>
      <c r="Y214" s="192">
        <f t="shared" si="160"/>
        <v>0</v>
      </c>
      <c r="Z214" s="192">
        <f t="shared" si="160"/>
        <v>0</v>
      </c>
      <c r="AA214" s="192">
        <f t="shared" si="160"/>
        <v>0</v>
      </c>
      <c r="AB214" s="192">
        <f t="shared" si="160"/>
        <v>0</v>
      </c>
      <c r="AC214" s="192">
        <f t="shared" si="160"/>
        <v>0</v>
      </c>
      <c r="AD214" s="192">
        <f t="shared" si="160"/>
        <v>0</v>
      </c>
      <c r="AE214" s="192">
        <f t="shared" si="160"/>
        <v>0</v>
      </c>
      <c r="AF214" s="192">
        <f t="shared" si="160"/>
        <v>214314.95392200621</v>
      </c>
      <c r="AG214" s="192">
        <f t="shared" si="160"/>
        <v>262213.80713506707</v>
      </c>
      <c r="AH214" s="192">
        <f t="shared" si="160"/>
        <v>304318.89146407478</v>
      </c>
      <c r="AI214" s="192">
        <f t="shared" si="160"/>
        <v>341671.41835760023</v>
      </c>
      <c r="AJ214" s="192">
        <f t="shared" si="160"/>
        <v>375138.45774512523</v>
      </c>
      <c r="AK214" s="192">
        <f t="shared" si="160"/>
        <v>405442.39599444083</v>
      </c>
      <c r="AL214" s="192">
        <f t="shared" si="160"/>
        <v>433185.41991112684</v>
      </c>
      <c r="AM214" s="192">
        <f t="shared" si="160"/>
        <v>458869.86688008031</v>
      </c>
      <c r="AN214" s="192">
        <f t="shared" si="160"/>
        <v>482915.13936326961</v>
      </c>
      <c r="AO214" s="192">
        <f t="shared" si="160"/>
        <v>505671.76404559618</v>
      </c>
      <c r="AP214" s="192">
        <f t="shared" si="160"/>
        <v>527433.07791469281</v>
      </c>
      <c r="AQ214" s="192">
        <f t="shared" si="160"/>
        <v>548444.94210696465</v>
      </c>
      <c r="AR214" s="192">
        <f t="shared" si="160"/>
        <v>568913.81665559497</v>
      </c>
      <c r="AS214" s="192">
        <f t="shared" si="160"/>
        <v>589013.47301313351</v>
      </c>
      <c r="AT214" s="192">
        <f t="shared" si="160"/>
        <v>608890.57446064404</v>
      </c>
      <c r="AU214" s="192">
        <f t="shared" si="160"/>
        <v>628669.31565230573</v>
      </c>
      <c r="AV214" s="192">
        <f t="shared" si="160"/>
        <v>648455.28024499712</v>
      </c>
      <c r="AW214" s="192">
        <f t="shared" si="160"/>
        <v>668338.64871819946</v>
      </c>
      <c r="AX214" s="192">
        <f t="shared" si="160"/>
        <v>688396.86617916171</v>
      </c>
      <c r="AY214" s="192">
        <f t="shared" ref="AY214:CB214" si="161">IF(AY$200&gt;=$C214,$S$132*HLOOKUP(AY$200-$C214+1,$E$47:$CB$49,3)*AY$106*$C$30,0)</f>
        <v>708696.8614059994</v>
      </c>
      <c r="AZ214" s="192">
        <f t="shared" si="161"/>
        <v>729296.89297079481</v>
      </c>
      <c r="BA214" s="192">
        <f t="shared" si="161"/>
        <v>750248.08547694667</v>
      </c>
      <c r="BB214" s="192">
        <f t="shared" si="161"/>
        <v>771595.70830038073</v>
      </c>
      <c r="BC214" s="192">
        <f t="shared" si="161"/>
        <v>793380.2403774393</v>
      </c>
      <c r="BD214" s="192">
        <f t="shared" si="161"/>
        <v>815638.25722965819</v>
      </c>
      <c r="BE214" s="192">
        <f t="shared" si="161"/>
        <v>838403.17030488746</v>
      </c>
      <c r="BF214" s="192">
        <f t="shared" si="161"/>
        <v>861705.84363555675</v>
      </c>
      <c r="BG214" s="192">
        <f t="shared" si="161"/>
        <v>885575.10859401757</v>
      </c>
      <c r="BH214" s="192">
        <f t="shared" si="161"/>
        <v>910038.1940169445</v>
      </c>
      <c r="BI214" s="192">
        <f t="shared" si="161"/>
        <v>935121.08605534479</v>
      </c>
      <c r="BJ214" s="192">
        <f t="shared" si="161"/>
        <v>960848.82968372805</v>
      </c>
      <c r="BK214" s="192">
        <f t="shared" si="161"/>
        <v>987245.78178825974</v>
      </c>
      <c r="BL214" s="192">
        <f t="shared" si="161"/>
        <v>1014335.8240801599</v>
      </c>
      <c r="BM214" s="192">
        <f t="shared" si="161"/>
        <v>1042142.5426897362</v>
      </c>
      <c r="BN214" s="192">
        <f t="shared" si="161"/>
        <v>1070689.3801405292</v>
      </c>
      <c r="BO214" s="192">
        <f t="shared" si="161"/>
        <v>1099999.764442418</v>
      </c>
      <c r="BP214" s="192">
        <f t="shared" si="161"/>
        <v>1130097.2192441991</v>
      </c>
      <c r="BQ214" s="192">
        <f t="shared" si="161"/>
        <v>1161005.4583227057</v>
      </c>
      <c r="BR214" s="192">
        <f t="shared" si="161"/>
        <v>1192748.46713419</v>
      </c>
      <c r="BS214" s="192">
        <f t="shared" si="161"/>
        <v>1225350.5736955381</v>
      </c>
      <c r="BT214" s="192">
        <f t="shared" si="161"/>
        <v>1258836.5106821519</v>
      </c>
      <c r="BU214" s="192">
        <f t="shared" si="161"/>
        <v>0</v>
      </c>
      <c r="BV214" s="192">
        <f t="shared" si="161"/>
        <v>0</v>
      </c>
      <c r="BW214" s="192">
        <f t="shared" si="161"/>
        <v>0</v>
      </c>
      <c r="BX214" s="192">
        <f t="shared" si="161"/>
        <v>0</v>
      </c>
      <c r="BY214" s="192">
        <f t="shared" si="161"/>
        <v>0</v>
      </c>
      <c r="BZ214" s="192">
        <f t="shared" si="161"/>
        <v>0</v>
      </c>
      <c r="CA214" s="192">
        <f t="shared" si="161"/>
        <v>0</v>
      </c>
      <c r="CB214" s="192">
        <f t="shared" si="161"/>
        <v>0</v>
      </c>
    </row>
    <row r="215" spans="2:80">
      <c r="B215" s="1">
        <v>2027</v>
      </c>
      <c r="C215" s="12">
        <f t="shared" si="131"/>
        <v>2040</v>
      </c>
      <c r="E215" s="192">
        <f t="shared" si="153"/>
        <v>0</v>
      </c>
      <c r="F215" s="192">
        <f t="shared" si="153"/>
        <v>0</v>
      </c>
      <c r="G215" s="192">
        <f t="shared" si="153"/>
        <v>0</v>
      </c>
      <c r="H215" s="192">
        <f t="shared" si="153"/>
        <v>0</v>
      </c>
      <c r="I215" s="192">
        <f t="shared" si="153"/>
        <v>0</v>
      </c>
      <c r="J215" s="192">
        <f t="shared" si="153"/>
        <v>0</v>
      </c>
      <c r="K215" s="192">
        <f t="shared" si="153"/>
        <v>0</v>
      </c>
      <c r="L215" s="192">
        <f t="shared" si="153"/>
        <v>0</v>
      </c>
      <c r="M215" s="192">
        <f t="shared" si="153"/>
        <v>0</v>
      </c>
      <c r="N215" s="192">
        <f t="shared" si="153"/>
        <v>0</v>
      </c>
      <c r="O215" s="192">
        <f t="shared" si="153"/>
        <v>0</v>
      </c>
      <c r="P215" s="192">
        <f t="shared" si="153"/>
        <v>0</v>
      </c>
      <c r="Q215" s="192">
        <f t="shared" si="153"/>
        <v>0</v>
      </c>
      <c r="R215" s="192">
        <f t="shared" si="153"/>
        <v>0</v>
      </c>
      <c r="S215" s="192">
        <f t="shared" ref="S215:AX215" si="162">IF(S$200&gt;=$C215,$T$132*HLOOKUP(S$200-$C215+1,$E$47:$CB$49,3)*S$106*$C$30,0)</f>
        <v>0</v>
      </c>
      <c r="T215" s="192">
        <f t="shared" si="162"/>
        <v>0</v>
      </c>
      <c r="U215" s="192">
        <f t="shared" si="162"/>
        <v>0</v>
      </c>
      <c r="V215" s="192">
        <f t="shared" si="162"/>
        <v>0</v>
      </c>
      <c r="W215" s="192">
        <f t="shared" si="162"/>
        <v>0</v>
      </c>
      <c r="X215" s="192">
        <f t="shared" si="162"/>
        <v>0</v>
      </c>
      <c r="Y215" s="192">
        <f t="shared" si="162"/>
        <v>0</v>
      </c>
      <c r="Z215" s="192">
        <f t="shared" si="162"/>
        <v>0</v>
      </c>
      <c r="AA215" s="192">
        <f t="shared" si="162"/>
        <v>0</v>
      </c>
      <c r="AB215" s="192">
        <f t="shared" si="162"/>
        <v>0</v>
      </c>
      <c r="AC215" s="192">
        <f t="shared" si="162"/>
        <v>0</v>
      </c>
      <c r="AD215" s="192">
        <f t="shared" si="162"/>
        <v>0</v>
      </c>
      <c r="AE215" s="192">
        <f t="shared" si="162"/>
        <v>0</v>
      </c>
      <c r="AF215" s="192">
        <f t="shared" si="162"/>
        <v>0</v>
      </c>
      <c r="AG215" s="192">
        <f t="shared" si="162"/>
        <v>225411.91102004578</v>
      </c>
      <c r="AH215" s="192">
        <f t="shared" si="162"/>
        <v>275790.90623637568</v>
      </c>
      <c r="AI215" s="192">
        <f t="shared" si="162"/>
        <v>320076.13854786323</v>
      </c>
      <c r="AJ215" s="192">
        <f t="shared" si="162"/>
        <v>359362.73201423115</v>
      </c>
      <c r="AK215" s="192">
        <f t="shared" si="162"/>
        <v>394562.65234863089</v>
      </c>
      <c r="AL215" s="192">
        <f t="shared" si="162"/>
        <v>426435.69017079606</v>
      </c>
      <c r="AM215" s="192">
        <f t="shared" si="162"/>
        <v>455615.21275703068</v>
      </c>
      <c r="AN215" s="192">
        <f t="shared" si="162"/>
        <v>482629.5678863129</v>
      </c>
      <c r="AO215" s="192">
        <f t="shared" si="162"/>
        <v>507919.87414933689</v>
      </c>
      <c r="AP215" s="192">
        <f t="shared" si="162"/>
        <v>531854.80805915617</v>
      </c>
      <c r="AQ215" s="192">
        <f t="shared" si="162"/>
        <v>554742.89522140438</v>
      </c>
      <c r="AR215" s="192">
        <f t="shared" si="162"/>
        <v>576842.72715099214</v>
      </c>
      <c r="AS215" s="192">
        <f t="shared" si="162"/>
        <v>598371.45412034518</v>
      </c>
      <c r="AT215" s="192">
        <f t="shared" si="162"/>
        <v>619511.84524791804</v>
      </c>
      <c r="AU215" s="192">
        <f t="shared" si="162"/>
        <v>640418.15785386541</v>
      </c>
      <c r="AV215" s="192">
        <f t="shared" si="162"/>
        <v>661221.01723439107</v>
      </c>
      <c r="AW215" s="192">
        <f t="shared" si="162"/>
        <v>682031.4740345109</v>
      </c>
      <c r="AX215" s="192">
        <f t="shared" si="162"/>
        <v>702944.3781648092</v>
      </c>
      <c r="AY215" s="192">
        <f t="shared" ref="AY215:CB215" si="163">IF(AY$200&gt;=$C215,$T$132*HLOOKUP(AY$200-$C215+1,$E$47:$CB$49,3)*AY$106*$C$30,0)</f>
        <v>724041.18474218203</v>
      </c>
      <c r="AZ215" s="192">
        <f t="shared" si="163"/>
        <v>745392.28803217714</v>
      </c>
      <c r="BA215" s="192">
        <f t="shared" si="163"/>
        <v>767058.9631620131</v>
      </c>
      <c r="BB215" s="192">
        <f t="shared" si="163"/>
        <v>789094.98190235335</v>
      </c>
      <c r="BC215" s="192">
        <f t="shared" si="163"/>
        <v>811547.95762012166</v>
      </c>
      <c r="BD215" s="192">
        <f t="shared" si="163"/>
        <v>834460.4651997576</v>
      </c>
      <c r="BE215" s="192">
        <f t="shared" si="163"/>
        <v>857870.97399701527</v>
      </c>
      <c r="BF215" s="192">
        <f t="shared" si="163"/>
        <v>881814.62546223262</v>
      </c>
      <c r="BG215" s="192">
        <f t="shared" si="163"/>
        <v>906323.88172838022</v>
      </c>
      <c r="BH215" s="192">
        <f t="shared" si="163"/>
        <v>931429.06701978319</v>
      </c>
      <c r="BI215" s="192">
        <f t="shared" si="163"/>
        <v>957158.82004782103</v>
      </c>
      <c r="BJ215" s="192">
        <f t="shared" si="163"/>
        <v>983540.47249351547</v>
      </c>
      <c r="BK215" s="192">
        <f t="shared" si="163"/>
        <v>1010600.3661284606</v>
      </c>
      <c r="BL215" s="192">
        <f t="shared" si="163"/>
        <v>1038364.1190075644</v>
      </c>
      <c r="BM215" s="192">
        <f t="shared" si="163"/>
        <v>1066856.8494068314</v>
      </c>
      <c r="BN215" s="192">
        <f t="shared" si="163"/>
        <v>1096103.3647165485</v>
      </c>
      <c r="BO215" s="192">
        <f t="shared" si="163"/>
        <v>1126128.3212844585</v>
      </c>
      <c r="BP215" s="192">
        <f t="shared" si="163"/>
        <v>1156956.3601931438</v>
      </c>
      <c r="BQ215" s="192">
        <f t="shared" si="163"/>
        <v>1188612.2231161664</v>
      </c>
      <c r="BR215" s="192">
        <f t="shared" si="163"/>
        <v>1221120.8516997141</v>
      </c>
      <c r="BS215" s="192">
        <f t="shared" si="163"/>
        <v>1254507.4733366102</v>
      </c>
      <c r="BT215" s="192">
        <f t="shared" si="163"/>
        <v>1288797.6757176679</v>
      </c>
      <c r="BU215" s="192">
        <f t="shared" si="163"/>
        <v>1324017.4721449222</v>
      </c>
      <c r="BV215" s="192">
        <f t="shared" si="163"/>
        <v>0</v>
      </c>
      <c r="BW215" s="192">
        <f t="shared" si="163"/>
        <v>0</v>
      </c>
      <c r="BX215" s="192">
        <f t="shared" si="163"/>
        <v>0</v>
      </c>
      <c r="BY215" s="192">
        <f t="shared" si="163"/>
        <v>0</v>
      </c>
      <c r="BZ215" s="192">
        <f t="shared" si="163"/>
        <v>0</v>
      </c>
      <c r="CA215" s="192">
        <f t="shared" si="163"/>
        <v>0</v>
      </c>
      <c r="CB215" s="192">
        <f t="shared" si="163"/>
        <v>0</v>
      </c>
    </row>
    <row r="216" spans="2:80">
      <c r="B216" s="1">
        <v>2028</v>
      </c>
      <c r="C216" s="12">
        <f t="shared" si="131"/>
        <v>2041</v>
      </c>
      <c r="E216" s="192">
        <f t="shared" si="153"/>
        <v>0</v>
      </c>
      <c r="F216" s="192">
        <f t="shared" si="153"/>
        <v>0</v>
      </c>
      <c r="G216" s="192">
        <f t="shared" si="153"/>
        <v>0</v>
      </c>
      <c r="H216" s="192">
        <f t="shared" si="153"/>
        <v>0</v>
      </c>
      <c r="I216" s="192">
        <f t="shared" si="153"/>
        <v>0</v>
      </c>
      <c r="J216" s="192">
        <f t="shared" si="153"/>
        <v>0</v>
      </c>
      <c r="K216" s="192">
        <f t="shared" si="153"/>
        <v>0</v>
      </c>
      <c r="L216" s="192">
        <f t="shared" si="153"/>
        <v>0</v>
      </c>
      <c r="M216" s="192">
        <f t="shared" si="153"/>
        <v>0</v>
      </c>
      <c r="N216" s="192">
        <f t="shared" si="153"/>
        <v>0</v>
      </c>
      <c r="O216" s="192">
        <f t="shared" si="153"/>
        <v>0</v>
      </c>
      <c r="P216" s="192">
        <f t="shared" si="153"/>
        <v>0</v>
      </c>
      <c r="Q216" s="192">
        <f t="shared" si="153"/>
        <v>0</v>
      </c>
      <c r="R216" s="192">
        <f t="shared" si="153"/>
        <v>0</v>
      </c>
      <c r="S216" s="192">
        <f t="shared" ref="S216:AX216" si="164">IF(S$200&gt;=$C216,$U$132*HLOOKUP(S$200-$C216+1,$E$47:$CB$49,3)*S$106*$C$30,0)</f>
        <v>0</v>
      </c>
      <c r="T216" s="192">
        <f t="shared" si="164"/>
        <v>0</v>
      </c>
      <c r="U216" s="192">
        <f t="shared" si="164"/>
        <v>0</v>
      </c>
      <c r="V216" s="192">
        <f t="shared" si="164"/>
        <v>0</v>
      </c>
      <c r="W216" s="192">
        <f t="shared" si="164"/>
        <v>0</v>
      </c>
      <c r="X216" s="192">
        <f t="shared" si="164"/>
        <v>0</v>
      </c>
      <c r="Y216" s="192">
        <f t="shared" si="164"/>
        <v>0</v>
      </c>
      <c r="Z216" s="192">
        <f t="shared" si="164"/>
        <v>0</v>
      </c>
      <c r="AA216" s="192">
        <f t="shared" si="164"/>
        <v>0</v>
      </c>
      <c r="AB216" s="192">
        <f t="shared" si="164"/>
        <v>0</v>
      </c>
      <c r="AC216" s="192">
        <f t="shared" si="164"/>
        <v>0</v>
      </c>
      <c r="AD216" s="192">
        <f t="shared" si="164"/>
        <v>0</v>
      </c>
      <c r="AE216" s="192">
        <f t="shared" si="164"/>
        <v>0</v>
      </c>
      <c r="AF216" s="192">
        <f t="shared" si="164"/>
        <v>0</v>
      </c>
      <c r="AG216" s="192">
        <f t="shared" si="164"/>
        <v>0</v>
      </c>
      <c r="AH216" s="192">
        <f t="shared" si="164"/>
        <v>237083.45451339838</v>
      </c>
      <c r="AI216" s="192">
        <f t="shared" si="164"/>
        <v>290071.01034730137</v>
      </c>
      <c r="AJ216" s="192">
        <f t="shared" si="164"/>
        <v>336649.27594481962</v>
      </c>
      <c r="AK216" s="192">
        <f t="shared" si="164"/>
        <v>377970.07950360636</v>
      </c>
      <c r="AL216" s="192">
        <f t="shared" si="164"/>
        <v>414992.60716734524</v>
      </c>
      <c r="AM216" s="192">
        <f t="shared" si="164"/>
        <v>448515.9905525432</v>
      </c>
      <c r="AN216" s="192">
        <f t="shared" si="164"/>
        <v>479206.39189154358</v>
      </c>
      <c r="AO216" s="192">
        <f t="shared" si="164"/>
        <v>507619.51614269463</v>
      </c>
      <c r="AP216" s="192">
        <f t="shared" si="164"/>
        <v>534219.32245908026</v>
      </c>
      <c r="AQ216" s="192">
        <f t="shared" si="164"/>
        <v>559393.57695703884</v>
      </c>
      <c r="AR216" s="192">
        <f t="shared" si="164"/>
        <v>583466.78030762402</v>
      </c>
      <c r="AS216" s="192">
        <f t="shared" si="164"/>
        <v>606710.91356714023</v>
      </c>
      <c r="AT216" s="192">
        <f t="shared" si="164"/>
        <v>629354.37077431532</v>
      </c>
      <c r="AU216" s="192">
        <f t="shared" si="164"/>
        <v>651589.38460126286</v>
      </c>
      <c r="AV216" s="192">
        <f t="shared" si="164"/>
        <v>673578.199616962</v>
      </c>
      <c r="AW216" s="192">
        <f t="shared" si="164"/>
        <v>695458.20473014738</v>
      </c>
      <c r="AX216" s="192">
        <f t="shared" si="164"/>
        <v>717346.20064769895</v>
      </c>
      <c r="AY216" s="192">
        <f t="shared" ref="AY216:CB216" si="165">IF(AY$200&gt;=$C216,$U$132*HLOOKUP(AY$200-$C216+1,$E$47:$CB$49,3)*AY$106*$C$30,0)</f>
        <v>739341.94848853815</v>
      </c>
      <c r="AZ216" s="192">
        <f t="shared" si="165"/>
        <v>761531.12101243273</v>
      </c>
      <c r="BA216" s="192">
        <f t="shared" si="165"/>
        <v>783987.75741091603</v>
      </c>
      <c r="BB216" s="192">
        <f t="shared" si="165"/>
        <v>806776.30555974995</v>
      </c>
      <c r="BC216" s="192">
        <f t="shared" si="165"/>
        <v>829953.32146383543</v>
      </c>
      <c r="BD216" s="192">
        <f t="shared" si="165"/>
        <v>853568.88384997984</v>
      </c>
      <c r="BE216" s="192">
        <f t="shared" si="165"/>
        <v>877667.772076261</v>
      </c>
      <c r="BF216" s="192">
        <f t="shared" si="165"/>
        <v>902290.44739299093</v>
      </c>
      <c r="BG216" s="192">
        <f t="shared" si="165"/>
        <v>927473.87083033402</v>
      </c>
      <c r="BH216" s="192">
        <f t="shared" si="165"/>
        <v>953252.18536942522</v>
      </c>
      <c r="BI216" s="192">
        <f t="shared" si="165"/>
        <v>979657.28538455022</v>
      </c>
      <c r="BJ216" s="192">
        <f t="shared" si="165"/>
        <v>1006719.2924633215</v>
      </c>
      <c r="BK216" s="192">
        <f t="shared" si="165"/>
        <v>1034466.953486615</v>
      </c>
      <c r="BL216" s="192">
        <f t="shared" si="165"/>
        <v>1062927.9741696233</v>
      </c>
      <c r="BM216" s="192">
        <f t="shared" si="165"/>
        <v>1092129.299037717</v>
      </c>
      <c r="BN216" s="192">
        <f t="shared" si="165"/>
        <v>1122097.3469594454</v>
      </c>
      <c r="BO216" s="192">
        <f t="shared" si="165"/>
        <v>1152858.2098203709</v>
      </c>
      <c r="BP216" s="192">
        <f t="shared" si="165"/>
        <v>1184437.8206427193</v>
      </c>
      <c r="BQ216" s="192">
        <f t="shared" si="165"/>
        <v>1216862.0963931459</v>
      </c>
      <c r="BR216" s="192">
        <f t="shared" si="165"/>
        <v>1250157.059837759</v>
      </c>
      <c r="BS216" s="192">
        <f t="shared" si="165"/>
        <v>1284348.9440696221</v>
      </c>
      <c r="BT216" s="192">
        <f t="shared" si="165"/>
        <v>1319464.2827240343</v>
      </c>
      <c r="BU216" s="192">
        <f t="shared" si="165"/>
        <v>1355529.9883900571</v>
      </c>
      <c r="BV216" s="192">
        <f t="shared" si="165"/>
        <v>1392573.4213055854</v>
      </c>
      <c r="BW216" s="192">
        <f t="shared" si="165"/>
        <v>0</v>
      </c>
      <c r="BX216" s="192">
        <f t="shared" si="165"/>
        <v>0</v>
      </c>
      <c r="BY216" s="192">
        <f t="shared" si="165"/>
        <v>0</v>
      </c>
      <c r="BZ216" s="192">
        <f t="shared" si="165"/>
        <v>0</v>
      </c>
      <c r="CA216" s="192">
        <f t="shared" si="165"/>
        <v>0</v>
      </c>
      <c r="CB216" s="192">
        <f t="shared" si="165"/>
        <v>0</v>
      </c>
    </row>
    <row r="217" spans="2:80">
      <c r="B217" s="1">
        <v>2029</v>
      </c>
      <c r="C217" s="12">
        <f t="shared" si="131"/>
        <v>2042</v>
      </c>
      <c r="E217" s="192">
        <f t="shared" si="153"/>
        <v>0</v>
      </c>
      <c r="F217" s="192">
        <f t="shared" si="153"/>
        <v>0</v>
      </c>
      <c r="G217" s="192">
        <f t="shared" si="153"/>
        <v>0</v>
      </c>
      <c r="H217" s="192">
        <f t="shared" si="153"/>
        <v>0</v>
      </c>
      <c r="I217" s="192">
        <f t="shared" si="153"/>
        <v>0</v>
      </c>
      <c r="J217" s="192">
        <f t="shared" si="153"/>
        <v>0</v>
      </c>
      <c r="K217" s="192">
        <f t="shared" si="153"/>
        <v>0</v>
      </c>
      <c r="L217" s="192">
        <f t="shared" si="153"/>
        <v>0</v>
      </c>
      <c r="M217" s="192">
        <f t="shared" si="153"/>
        <v>0</v>
      </c>
      <c r="N217" s="192">
        <f t="shared" si="153"/>
        <v>0</v>
      </c>
      <c r="O217" s="192">
        <f t="shared" si="153"/>
        <v>0</v>
      </c>
      <c r="P217" s="192">
        <f t="shared" si="153"/>
        <v>0</v>
      </c>
      <c r="Q217" s="192">
        <f t="shared" si="153"/>
        <v>0</v>
      </c>
      <c r="R217" s="192">
        <f t="shared" si="153"/>
        <v>0</v>
      </c>
      <c r="S217" s="192">
        <f t="shared" ref="S217:AX217" si="166">IF(S$200&gt;=$C217,$V$132*HLOOKUP(S$200-$C217+1,$E$47:$CB$49,3)*S$106*$C$30,0)</f>
        <v>0</v>
      </c>
      <c r="T217" s="192">
        <f t="shared" si="166"/>
        <v>0</v>
      </c>
      <c r="U217" s="192">
        <f t="shared" si="166"/>
        <v>0</v>
      </c>
      <c r="V217" s="192">
        <f t="shared" si="166"/>
        <v>0</v>
      </c>
      <c r="W217" s="192">
        <f t="shared" si="166"/>
        <v>0</v>
      </c>
      <c r="X217" s="192">
        <f t="shared" si="166"/>
        <v>0</v>
      </c>
      <c r="Y217" s="192">
        <f t="shared" si="166"/>
        <v>0</v>
      </c>
      <c r="Z217" s="192">
        <f t="shared" si="166"/>
        <v>0</v>
      </c>
      <c r="AA217" s="192">
        <f t="shared" si="166"/>
        <v>0</v>
      </c>
      <c r="AB217" s="192">
        <f t="shared" si="166"/>
        <v>0</v>
      </c>
      <c r="AC217" s="192">
        <f t="shared" si="166"/>
        <v>0</v>
      </c>
      <c r="AD217" s="192">
        <f t="shared" si="166"/>
        <v>0</v>
      </c>
      <c r="AE217" s="192">
        <f t="shared" si="166"/>
        <v>0</v>
      </c>
      <c r="AF217" s="192">
        <f t="shared" si="166"/>
        <v>0</v>
      </c>
      <c r="AG217" s="192">
        <f t="shared" si="166"/>
        <v>0</v>
      </c>
      <c r="AH217" s="192">
        <f t="shared" si="166"/>
        <v>0</v>
      </c>
      <c r="AI217" s="192">
        <f t="shared" si="166"/>
        <v>249359.33575847294</v>
      </c>
      <c r="AJ217" s="192">
        <f t="shared" si="166"/>
        <v>305090.52017758792</v>
      </c>
      <c r="AK217" s="192">
        <f t="shared" si="166"/>
        <v>354080.54942284891</v>
      </c>
      <c r="AL217" s="192">
        <f t="shared" si="166"/>
        <v>397540.89189834247</v>
      </c>
      <c r="AM217" s="192">
        <f t="shared" si="166"/>
        <v>436480.39919242018</v>
      </c>
      <c r="AN217" s="192">
        <f t="shared" si="166"/>
        <v>471739.58094538876</v>
      </c>
      <c r="AO217" s="192">
        <f t="shared" si="166"/>
        <v>504019.09242695285</v>
      </c>
      <c r="AP217" s="192">
        <f t="shared" si="166"/>
        <v>533903.41229495767</v>
      </c>
      <c r="AQ217" s="192">
        <f t="shared" si="166"/>
        <v>561880.5229202928</v>
      </c>
      <c r="AR217" s="192">
        <f t="shared" si="166"/>
        <v>588358.26845808176</v>
      </c>
      <c r="AS217" s="192">
        <f t="shared" si="166"/>
        <v>613677.95181346883</v>
      </c>
      <c r="AT217" s="192">
        <f t="shared" si="166"/>
        <v>638125.63687766145</v>
      </c>
      <c r="AU217" s="192">
        <f t="shared" si="166"/>
        <v>661941.54364367959</v>
      </c>
      <c r="AV217" s="192">
        <f t="shared" si="166"/>
        <v>685327.8583481278</v>
      </c>
      <c r="AW217" s="192">
        <f t="shared" si="166"/>
        <v>708455.22637844633</v>
      </c>
      <c r="AX217" s="192">
        <f t="shared" si="166"/>
        <v>731468.15046719834</v>
      </c>
      <c r="AY217" s="192">
        <f t="shared" ref="AY217:CB217" si="167">IF(AY$200&gt;=$C217,$V$132*HLOOKUP(AY$200-$C217+1,$E$47:$CB$49,3)*AY$106*$C$30,0)</f>
        <v>754489.47911405389</v>
      </c>
      <c r="AZ217" s="192">
        <f t="shared" si="167"/>
        <v>777624.13894242514</v>
      </c>
      <c r="BA217" s="192">
        <f t="shared" si="167"/>
        <v>800962.2387391607</v>
      </c>
      <c r="BB217" s="192">
        <f t="shared" si="167"/>
        <v>824581.65135143499</v>
      </c>
      <c r="BC217" s="192">
        <f t="shared" si="167"/>
        <v>848550.16168445814</v>
      </c>
      <c r="BD217" s="192">
        <f t="shared" si="167"/>
        <v>872927.254141493</v>
      </c>
      <c r="BE217" s="192">
        <f t="shared" si="167"/>
        <v>897765.60046244634</v>
      </c>
      <c r="BF217" s="192">
        <f t="shared" si="167"/>
        <v>923112.29862388864</v>
      </c>
      <c r="BG217" s="192">
        <f t="shared" si="167"/>
        <v>949009.9049084693</v>
      </c>
      <c r="BH217" s="192">
        <f t="shared" si="167"/>
        <v>975497.29414172063</v>
      </c>
      <c r="BI217" s="192">
        <f t="shared" si="167"/>
        <v>1002610.3771851327</v>
      </c>
      <c r="BJ217" s="192">
        <f t="shared" si="167"/>
        <v>1030382.6998633293</v>
      </c>
      <c r="BK217" s="192">
        <f t="shared" si="167"/>
        <v>1058845.9434216102</v>
      </c>
      <c r="BL217" s="192">
        <f t="shared" si="167"/>
        <v>1088030.3432179643</v>
      </c>
      <c r="BM217" s="192">
        <f t="shared" si="167"/>
        <v>1117965.0395344547</v>
      </c>
      <c r="BN217" s="192">
        <f t="shared" si="167"/>
        <v>1148678.3720498781</v>
      </c>
      <c r="BO217" s="192">
        <f t="shared" si="167"/>
        <v>1180198.1275683639</v>
      </c>
      <c r="BP217" s="192">
        <f t="shared" si="167"/>
        <v>1212551.7489802889</v>
      </c>
      <c r="BQ217" s="192">
        <f t="shared" si="167"/>
        <v>1245766.5120869519</v>
      </c>
      <c r="BR217" s="192">
        <f t="shared" si="167"/>
        <v>1279869.675802744</v>
      </c>
      <c r="BS217" s="192">
        <f t="shared" si="167"/>
        <v>1314888.6103196701</v>
      </c>
      <c r="BT217" s="192">
        <f t="shared" si="167"/>
        <v>1350850.9070471551</v>
      </c>
      <c r="BU217" s="192">
        <f t="shared" si="167"/>
        <v>1387784.4734985549</v>
      </c>
      <c r="BV217" s="192">
        <f t="shared" si="167"/>
        <v>1425717.6157627353</v>
      </c>
      <c r="BW217" s="192">
        <f t="shared" si="167"/>
        <v>1464679.1107560843</v>
      </c>
      <c r="BX217" s="192">
        <f t="shared" si="167"/>
        <v>0</v>
      </c>
      <c r="BY217" s="192">
        <f t="shared" si="167"/>
        <v>0</v>
      </c>
      <c r="BZ217" s="192">
        <f t="shared" si="167"/>
        <v>0</v>
      </c>
      <c r="CA217" s="192">
        <f t="shared" si="167"/>
        <v>0</v>
      </c>
      <c r="CB217" s="192">
        <f t="shared" si="167"/>
        <v>0</v>
      </c>
    </row>
    <row r="218" spans="2:80">
      <c r="B218" s="1">
        <v>2030</v>
      </c>
      <c r="C218" s="12">
        <f t="shared" si="131"/>
        <v>2043</v>
      </c>
      <c r="E218" s="192">
        <f t="shared" si="153"/>
        <v>0</v>
      </c>
      <c r="F218" s="192">
        <f t="shared" si="153"/>
        <v>0</v>
      </c>
      <c r="G218" s="192">
        <f t="shared" si="153"/>
        <v>0</v>
      </c>
      <c r="H218" s="192">
        <f t="shared" si="153"/>
        <v>0</v>
      </c>
      <c r="I218" s="192">
        <f t="shared" si="153"/>
        <v>0</v>
      </c>
      <c r="J218" s="192">
        <f t="shared" si="153"/>
        <v>0</v>
      </c>
      <c r="K218" s="192">
        <f t="shared" si="153"/>
        <v>0</v>
      </c>
      <c r="L218" s="192">
        <f t="shared" si="153"/>
        <v>0</v>
      </c>
      <c r="M218" s="192">
        <f t="shared" si="153"/>
        <v>0</v>
      </c>
      <c r="N218" s="192">
        <f t="shared" si="153"/>
        <v>0</v>
      </c>
      <c r="O218" s="192">
        <f t="shared" si="153"/>
        <v>0</v>
      </c>
      <c r="P218" s="192">
        <f t="shared" si="153"/>
        <v>0</v>
      </c>
      <c r="Q218" s="192">
        <f t="shared" si="153"/>
        <v>0</v>
      </c>
      <c r="R218" s="192">
        <f t="shared" si="153"/>
        <v>0</v>
      </c>
      <c r="S218" s="192">
        <f t="shared" ref="S218:AX218" si="168">IF(S$200&gt;=$C218,$W$132*HLOOKUP(S$200-$C218+1,$E$47:$CB$49,3)*S$106*$C$30,0)</f>
        <v>0</v>
      </c>
      <c r="T218" s="192">
        <f t="shared" si="168"/>
        <v>0</v>
      </c>
      <c r="U218" s="192">
        <f t="shared" si="168"/>
        <v>0</v>
      </c>
      <c r="V218" s="192">
        <f t="shared" si="168"/>
        <v>0</v>
      </c>
      <c r="W218" s="192">
        <f t="shared" si="168"/>
        <v>0</v>
      </c>
      <c r="X218" s="192">
        <f t="shared" si="168"/>
        <v>0</v>
      </c>
      <c r="Y218" s="192">
        <f t="shared" si="168"/>
        <v>0</v>
      </c>
      <c r="Z218" s="192">
        <f t="shared" si="168"/>
        <v>0</v>
      </c>
      <c r="AA218" s="192">
        <f t="shared" si="168"/>
        <v>0</v>
      </c>
      <c r="AB218" s="192">
        <f t="shared" si="168"/>
        <v>0</v>
      </c>
      <c r="AC218" s="192">
        <f t="shared" si="168"/>
        <v>0</v>
      </c>
      <c r="AD218" s="192">
        <f t="shared" si="168"/>
        <v>0</v>
      </c>
      <c r="AE218" s="192">
        <f t="shared" si="168"/>
        <v>0</v>
      </c>
      <c r="AF218" s="192">
        <f t="shared" si="168"/>
        <v>0</v>
      </c>
      <c r="AG218" s="192">
        <f t="shared" si="168"/>
        <v>0</v>
      </c>
      <c r="AH218" s="192">
        <f t="shared" si="168"/>
        <v>0</v>
      </c>
      <c r="AI218" s="192">
        <f t="shared" si="168"/>
        <v>0</v>
      </c>
      <c r="AJ218" s="192">
        <f t="shared" si="168"/>
        <v>262270.84659926308</v>
      </c>
      <c r="AK218" s="192">
        <f t="shared" si="168"/>
        <v>320887.72121966432</v>
      </c>
      <c r="AL218" s="192">
        <f t="shared" si="168"/>
        <v>372414.39218225598</v>
      </c>
      <c r="AM218" s="192">
        <f t="shared" si="168"/>
        <v>418125.05619197228</v>
      </c>
      <c r="AN218" s="192">
        <f t="shared" si="168"/>
        <v>459080.80189570592</v>
      </c>
      <c r="AO218" s="192">
        <f t="shared" si="168"/>
        <v>496165.65945927182</v>
      </c>
      <c r="AP218" s="192">
        <f t="shared" si="168"/>
        <v>530116.56319555896</v>
      </c>
      <c r="AQ218" s="192">
        <f t="shared" si="168"/>
        <v>561548.2553276571</v>
      </c>
      <c r="AR218" s="192">
        <f t="shared" si="168"/>
        <v>590973.98533607752</v>
      </c>
      <c r="AS218" s="192">
        <f t="shared" si="168"/>
        <v>618822.7150301683</v>
      </c>
      <c r="AT218" s="192">
        <f t="shared" si="168"/>
        <v>645453.41954758286</v>
      </c>
      <c r="AU218" s="192">
        <f t="shared" si="168"/>
        <v>671166.97480580059</v>
      </c>
      <c r="AV218" s="192">
        <f t="shared" si="168"/>
        <v>696216.03908508108</v>
      </c>
      <c r="AW218" s="192">
        <f t="shared" si="168"/>
        <v>720813.26756949339</v>
      </c>
      <c r="AX218" s="192">
        <f t="shared" si="168"/>
        <v>745138.14144868718</v>
      </c>
      <c r="AY218" s="192">
        <f t="shared" ref="AY218:CB218" si="169">IF(AY$200&gt;=$C218,$W$132*HLOOKUP(AY$200-$C218+1,$E$47:$CB$49,3)*AY$106*$C$30,0)</f>
        <v>769342.64562384901</v>
      </c>
      <c r="AZ218" s="192">
        <f t="shared" si="169"/>
        <v>793555.98953449738</v>
      </c>
      <c r="BA218" s="192">
        <f t="shared" si="169"/>
        <v>817888.53277181915</v>
      </c>
      <c r="BB218" s="192">
        <f t="shared" si="169"/>
        <v>842435.04984161304</v>
      </c>
      <c r="BC218" s="192">
        <f t="shared" si="169"/>
        <v>867277.44574853277</v>
      </c>
      <c r="BD218" s="192">
        <f t="shared" si="169"/>
        <v>892487.01521439792</v>
      </c>
      <c r="BE218" s="192">
        <f t="shared" si="169"/>
        <v>918126.32266959432</v>
      </c>
      <c r="BF218" s="192">
        <f t="shared" si="169"/>
        <v>944250.76713006501</v>
      </c>
      <c r="BG218" s="192">
        <f t="shared" si="169"/>
        <v>970909.88524600491</v>
      </c>
      <c r="BH218" s="192">
        <f t="shared" si="169"/>
        <v>998148.43681052397</v>
      </c>
      <c r="BI218" s="192">
        <f t="shared" si="169"/>
        <v>1026007.3095384241</v>
      </c>
      <c r="BJ218" s="192">
        <f t="shared" si="169"/>
        <v>1054524.2737101584</v>
      </c>
      <c r="BK218" s="192">
        <f t="shared" si="169"/>
        <v>1083734.612110697</v>
      </c>
      <c r="BL218" s="192">
        <f t="shared" si="169"/>
        <v>1113671.646400129</v>
      </c>
      <c r="BM218" s="192">
        <f t="shared" si="169"/>
        <v>1144367.1774850164</v>
      </c>
      <c r="BN218" s="192">
        <f t="shared" si="169"/>
        <v>1175851.8544943514</v>
      </c>
      <c r="BO218" s="192">
        <f t="shared" si="169"/>
        <v>1208155.484499634</v>
      </c>
      <c r="BP218" s="192">
        <f t="shared" si="169"/>
        <v>1241307.2930705473</v>
      </c>
      <c r="BQ218" s="192">
        <f t="shared" si="169"/>
        <v>1275336.1440556035</v>
      </c>
      <c r="BR218" s="192">
        <f t="shared" si="169"/>
        <v>1310270.7255625746</v>
      </c>
      <c r="BS218" s="192">
        <f t="shared" si="169"/>
        <v>1346139.7079379419</v>
      </c>
      <c r="BT218" s="192">
        <f t="shared" si="169"/>
        <v>1382971.8785676165</v>
      </c>
      <c r="BU218" s="192">
        <f t="shared" si="169"/>
        <v>1420796.2575092856</v>
      </c>
      <c r="BV218" s="192">
        <f t="shared" si="169"/>
        <v>1459642.1972920301</v>
      </c>
      <c r="BW218" s="192">
        <f t="shared" si="169"/>
        <v>1499539.4696581753</v>
      </c>
      <c r="BX218" s="192">
        <f t="shared" si="169"/>
        <v>1540518.3415564231</v>
      </c>
      <c r="BY218" s="192">
        <f t="shared" si="169"/>
        <v>0</v>
      </c>
      <c r="BZ218" s="192">
        <f t="shared" si="169"/>
        <v>0</v>
      </c>
      <c r="CA218" s="192">
        <f t="shared" si="169"/>
        <v>0</v>
      </c>
      <c r="CB218" s="192">
        <f t="shared" si="169"/>
        <v>0</v>
      </c>
    </row>
    <row r="219" spans="2:80">
      <c r="B219" s="1">
        <v>2031</v>
      </c>
      <c r="C219" s="12">
        <f t="shared" si="131"/>
        <v>2044</v>
      </c>
      <c r="E219" s="192">
        <f t="shared" si="153"/>
        <v>0</v>
      </c>
      <c r="F219" s="192">
        <f t="shared" si="153"/>
        <v>0</v>
      </c>
      <c r="G219" s="192">
        <f t="shared" si="153"/>
        <v>0</v>
      </c>
      <c r="H219" s="192">
        <f t="shared" si="153"/>
        <v>0</v>
      </c>
      <c r="I219" s="192">
        <f t="shared" si="153"/>
        <v>0</v>
      </c>
      <c r="J219" s="192">
        <f t="shared" si="153"/>
        <v>0</v>
      </c>
      <c r="K219" s="192">
        <f t="shared" si="153"/>
        <v>0</v>
      </c>
      <c r="L219" s="192">
        <f t="shared" si="153"/>
        <v>0</v>
      </c>
      <c r="M219" s="192">
        <f t="shared" si="153"/>
        <v>0</v>
      </c>
      <c r="N219" s="192">
        <f t="shared" si="153"/>
        <v>0</v>
      </c>
      <c r="O219" s="192">
        <f t="shared" si="153"/>
        <v>0</v>
      </c>
      <c r="P219" s="192">
        <f t="shared" si="153"/>
        <v>0</v>
      </c>
      <c r="Q219" s="192">
        <f t="shared" si="153"/>
        <v>0</v>
      </c>
      <c r="R219" s="192">
        <f t="shared" si="153"/>
        <v>0</v>
      </c>
      <c r="S219" s="192">
        <f t="shared" ref="S219:AX219" si="170">IF(S$200&gt;=$C219,$X$132*HLOOKUP(S$200-$C219+1,$E$47:$CB$49,3)*S$106*$C$30,0)</f>
        <v>0</v>
      </c>
      <c r="T219" s="192">
        <f t="shared" si="170"/>
        <v>0</v>
      </c>
      <c r="U219" s="192">
        <f t="shared" si="170"/>
        <v>0</v>
      </c>
      <c r="V219" s="192">
        <f t="shared" si="170"/>
        <v>0</v>
      </c>
      <c r="W219" s="192">
        <f t="shared" si="170"/>
        <v>0</v>
      </c>
      <c r="X219" s="192">
        <f t="shared" si="170"/>
        <v>0</v>
      </c>
      <c r="Y219" s="192">
        <f t="shared" si="170"/>
        <v>0</v>
      </c>
      <c r="Z219" s="192">
        <f t="shared" si="170"/>
        <v>0</v>
      </c>
      <c r="AA219" s="192">
        <f t="shared" si="170"/>
        <v>0</v>
      </c>
      <c r="AB219" s="192">
        <f t="shared" si="170"/>
        <v>0</v>
      </c>
      <c r="AC219" s="192">
        <f t="shared" si="170"/>
        <v>0</v>
      </c>
      <c r="AD219" s="192">
        <f t="shared" si="170"/>
        <v>0</v>
      </c>
      <c r="AE219" s="192">
        <f t="shared" si="170"/>
        <v>0</v>
      </c>
      <c r="AF219" s="192">
        <f t="shared" si="170"/>
        <v>0</v>
      </c>
      <c r="AG219" s="192">
        <f t="shared" si="170"/>
        <v>0</v>
      </c>
      <c r="AH219" s="192">
        <f t="shared" si="170"/>
        <v>0</v>
      </c>
      <c r="AI219" s="192">
        <f t="shared" si="170"/>
        <v>0</v>
      </c>
      <c r="AJ219" s="192">
        <f t="shared" si="170"/>
        <v>0</v>
      </c>
      <c r="AK219" s="192">
        <f t="shared" si="170"/>
        <v>275850.89913184411</v>
      </c>
      <c r="AL219" s="192">
        <f t="shared" si="170"/>
        <v>337502.88134030695</v>
      </c>
      <c r="AM219" s="192">
        <f t="shared" si="170"/>
        <v>391697.53811822698</v>
      </c>
      <c r="AN219" s="192">
        <f t="shared" si="170"/>
        <v>439775.04246342147</v>
      </c>
      <c r="AO219" s="192">
        <f t="shared" si="170"/>
        <v>482851.4248501088</v>
      </c>
      <c r="AP219" s="192">
        <f t="shared" si="170"/>
        <v>521856.48940734786</v>
      </c>
      <c r="AQ219" s="192">
        <f t="shared" si="170"/>
        <v>557565.32797415729</v>
      </c>
      <c r="AR219" s="192">
        <f t="shared" si="170"/>
        <v>590624.51334798045</v>
      </c>
      <c r="AS219" s="192">
        <f t="shared" si="170"/>
        <v>621573.87041791121</v>
      </c>
      <c r="AT219" s="192">
        <f t="shared" si="170"/>
        <v>650864.57209293393</v>
      </c>
      <c r="AU219" s="192">
        <f t="shared" si="170"/>
        <v>678874.18078904552</v>
      </c>
      <c r="AV219" s="192">
        <f t="shared" si="170"/>
        <v>705919.1513979733</v>
      </c>
      <c r="AW219" s="192">
        <f t="shared" si="170"/>
        <v>732265.22452598962</v>
      </c>
      <c r="AX219" s="192">
        <f t="shared" si="170"/>
        <v>758136.06637347827</v>
      </c>
      <c r="AY219" s="192">
        <f t="shared" ref="AY219:CB219" si="171">IF(AY$200&gt;=$C219,$X$132*HLOOKUP(AY$200-$C219+1,$E$47:$CB$49,3)*AY$106*$C$30,0)</f>
        <v>783720.45143895585</v>
      </c>
      <c r="AZ219" s="192">
        <f t="shared" si="171"/>
        <v>809178.23420945462</v>
      </c>
      <c r="BA219" s="192">
        <f t="shared" si="171"/>
        <v>834645.31442575657</v>
      </c>
      <c r="BB219" s="192">
        <f t="shared" si="171"/>
        <v>860237.76595902035</v>
      </c>
      <c r="BC219" s="192">
        <f t="shared" si="171"/>
        <v>886055.27061901765</v>
      </c>
      <c r="BD219" s="192">
        <f t="shared" si="171"/>
        <v>912183.9743478914</v>
      </c>
      <c r="BE219" s="192">
        <f t="shared" si="171"/>
        <v>938698.86341793381</v>
      </c>
      <c r="BF219" s="192">
        <f t="shared" si="171"/>
        <v>965665.74176656059</v>
      </c>
      <c r="BG219" s="192">
        <f t="shared" si="171"/>
        <v>993142.87690065301</v>
      </c>
      <c r="BH219" s="192">
        <f t="shared" si="171"/>
        <v>1021182.370415464</v>
      </c>
      <c r="BI219" s="192">
        <f t="shared" si="171"/>
        <v>1049831.2997095473</v>
      </c>
      <c r="BJ219" s="192">
        <f t="shared" si="171"/>
        <v>1079132.669611834</v>
      </c>
      <c r="BK219" s="192">
        <f t="shared" si="171"/>
        <v>1109126.2061001004</v>
      </c>
      <c r="BL219" s="192">
        <f t="shared" si="171"/>
        <v>1139849.0188572719</v>
      </c>
      <c r="BM219" s="192">
        <f t="shared" si="171"/>
        <v>1171336.1548968281</v>
      </c>
      <c r="BN219" s="192">
        <f t="shared" si="171"/>
        <v>1203621.0617360298</v>
      </c>
      <c r="BO219" s="192">
        <f t="shared" si="171"/>
        <v>1236735.9754769807</v>
      </c>
      <c r="BP219" s="192">
        <f t="shared" si="171"/>
        <v>1270712.2465636227</v>
      </c>
      <c r="BQ219" s="192">
        <f t="shared" si="171"/>
        <v>1305580.6138286521</v>
      </c>
      <c r="BR219" s="192">
        <f t="shared" si="171"/>
        <v>1341371.4356541287</v>
      </c>
      <c r="BS219" s="192">
        <f t="shared" si="171"/>
        <v>1378114.8855817416</v>
      </c>
      <c r="BT219" s="192">
        <f t="shared" si="171"/>
        <v>1415841.1184722302</v>
      </c>
      <c r="BU219" s="192">
        <f t="shared" si="171"/>
        <v>1454580.4122859167</v>
      </c>
      <c r="BV219" s="192">
        <f t="shared" si="171"/>
        <v>1494363.2897023512</v>
      </c>
      <c r="BW219" s="192">
        <f t="shared" si="171"/>
        <v>1535220.6230874248</v>
      </c>
      <c r="BX219" s="192">
        <f t="shared" si="171"/>
        <v>1577183.7257266035</v>
      </c>
      <c r="BY219" s="192">
        <f t="shared" si="171"/>
        <v>1620284.4317528906</v>
      </c>
      <c r="BZ219" s="192">
        <f t="shared" si="171"/>
        <v>0</v>
      </c>
      <c r="CA219" s="192">
        <f t="shared" si="171"/>
        <v>0</v>
      </c>
      <c r="CB219" s="192">
        <f t="shared" si="171"/>
        <v>0</v>
      </c>
    </row>
    <row r="220" spans="2:80">
      <c r="B220" s="1">
        <v>2032</v>
      </c>
      <c r="C220" s="12">
        <f t="shared" si="131"/>
        <v>2045</v>
      </c>
      <c r="E220" s="193">
        <f t="shared" si="153"/>
        <v>0</v>
      </c>
      <c r="F220" s="193">
        <f t="shared" si="153"/>
        <v>0</v>
      </c>
      <c r="G220" s="193">
        <f t="shared" si="153"/>
        <v>0</v>
      </c>
      <c r="H220" s="193">
        <f t="shared" si="153"/>
        <v>0</v>
      </c>
      <c r="I220" s="193">
        <f t="shared" si="153"/>
        <v>0</v>
      </c>
      <c r="J220" s="193">
        <f t="shared" si="153"/>
        <v>0</v>
      </c>
      <c r="K220" s="193">
        <f t="shared" si="153"/>
        <v>0</v>
      </c>
      <c r="L220" s="193">
        <f t="shared" si="153"/>
        <v>0</v>
      </c>
      <c r="M220" s="193">
        <f t="shared" si="153"/>
        <v>0</v>
      </c>
      <c r="N220" s="193">
        <f t="shared" si="153"/>
        <v>0</v>
      </c>
      <c r="O220" s="193">
        <f t="shared" si="153"/>
        <v>0</v>
      </c>
      <c r="P220" s="193">
        <f t="shared" si="153"/>
        <v>0</v>
      </c>
      <c r="Q220" s="193">
        <f t="shared" si="153"/>
        <v>0</v>
      </c>
      <c r="R220" s="193">
        <f t="shared" si="153"/>
        <v>0</v>
      </c>
      <c r="S220" s="193">
        <f t="shared" ref="S220:AX220" si="172">IF(S$200&gt;=$C220,$Y$132*HLOOKUP(S$200-$C220+1,$E$47:$CB$49,3)*S$106*$C$30,0)</f>
        <v>0</v>
      </c>
      <c r="T220" s="193">
        <f t="shared" si="172"/>
        <v>0</v>
      </c>
      <c r="U220" s="193">
        <f t="shared" si="172"/>
        <v>0</v>
      </c>
      <c r="V220" s="193">
        <f t="shared" si="172"/>
        <v>0</v>
      </c>
      <c r="W220" s="193">
        <f t="shared" si="172"/>
        <v>0</v>
      </c>
      <c r="X220" s="193">
        <f t="shared" si="172"/>
        <v>0</v>
      </c>
      <c r="Y220" s="193">
        <f t="shared" si="172"/>
        <v>0</v>
      </c>
      <c r="Z220" s="193">
        <f t="shared" si="172"/>
        <v>0</v>
      </c>
      <c r="AA220" s="193">
        <f t="shared" si="172"/>
        <v>0</v>
      </c>
      <c r="AB220" s="193">
        <f t="shared" si="172"/>
        <v>0</v>
      </c>
      <c r="AC220" s="193">
        <f t="shared" si="172"/>
        <v>0</v>
      </c>
      <c r="AD220" s="193">
        <f t="shared" si="172"/>
        <v>0</v>
      </c>
      <c r="AE220" s="193">
        <f t="shared" si="172"/>
        <v>0</v>
      </c>
      <c r="AF220" s="193">
        <f t="shared" si="172"/>
        <v>0</v>
      </c>
      <c r="AG220" s="193">
        <f t="shared" si="172"/>
        <v>0</v>
      </c>
      <c r="AH220" s="193">
        <f t="shared" si="172"/>
        <v>0</v>
      </c>
      <c r="AI220" s="193">
        <f t="shared" si="172"/>
        <v>0</v>
      </c>
      <c r="AJ220" s="193">
        <f t="shared" si="172"/>
        <v>0</v>
      </c>
      <c r="AK220" s="193">
        <f t="shared" si="172"/>
        <v>0</v>
      </c>
      <c r="AL220" s="193">
        <f t="shared" si="172"/>
        <v>290134.10959897615</v>
      </c>
      <c r="AM220" s="193">
        <f t="shared" si="172"/>
        <v>354978.35342547513</v>
      </c>
      <c r="AN220" s="193">
        <f t="shared" si="172"/>
        <v>411979.14094789955</v>
      </c>
      <c r="AO220" s="193">
        <f t="shared" si="172"/>
        <v>462546.03762590146</v>
      </c>
      <c r="AP220" s="193">
        <f t="shared" si="172"/>
        <v>507852.86057931546</v>
      </c>
      <c r="AQ220" s="193">
        <f t="shared" si="172"/>
        <v>548877.55801833421</v>
      </c>
      <c r="AR220" s="193">
        <f t="shared" si="172"/>
        <v>586435.35505651974</v>
      </c>
      <c r="AS220" s="193">
        <f t="shared" si="172"/>
        <v>621206.30321252823</v>
      </c>
      <c r="AT220" s="193">
        <f t="shared" si="172"/>
        <v>653758.1788250613</v>
      </c>
      <c r="AU220" s="193">
        <f t="shared" si="172"/>
        <v>684565.51596536953</v>
      </c>
      <c r="AV220" s="193">
        <f t="shared" si="172"/>
        <v>714025.42675354483</v>
      </c>
      <c r="AW220" s="193">
        <f t="shared" si="172"/>
        <v>742470.75171513367</v>
      </c>
      <c r="AX220" s="193">
        <f t="shared" si="172"/>
        <v>770180.99116870563</v>
      </c>
      <c r="AY220" s="193">
        <f t="shared" ref="AY220:CB220" si="173">IF(AY$200&gt;=$C220,$Y$132*HLOOKUP(AY$200-$C220+1,$E$47:$CB$49,3)*AY$106*$C$30,0)</f>
        <v>797391.39246745058</v>
      </c>
      <c r="AZ220" s="193">
        <f t="shared" si="173"/>
        <v>824300.50461452338</v>
      </c>
      <c r="BA220" s="193">
        <f t="shared" si="173"/>
        <v>851076.45915999892</v>
      </c>
      <c r="BB220" s="193">
        <f t="shared" si="173"/>
        <v>877862.19256125554</v>
      </c>
      <c r="BC220" s="193">
        <f t="shared" si="173"/>
        <v>904779.78884760849</v>
      </c>
      <c r="BD220" s="193">
        <f t="shared" si="173"/>
        <v>931934.09122679173</v>
      </c>
      <c r="BE220" s="193">
        <f t="shared" si="173"/>
        <v>959415.70616881503</v>
      </c>
      <c r="BF220" s="193">
        <f t="shared" si="173"/>
        <v>987303.50264025421</v>
      </c>
      <c r="BG220" s="193">
        <f t="shared" si="173"/>
        <v>1015666.6918231294</v>
      </c>
      <c r="BH220" s="193">
        <f t="shared" si="173"/>
        <v>1044566.5582420909</v>
      </c>
      <c r="BI220" s="193">
        <f t="shared" si="173"/>
        <v>1074057.9012470583</v>
      </c>
      <c r="BJ220" s="193">
        <f t="shared" si="173"/>
        <v>1104190.2358447069</v>
      </c>
      <c r="BK220" s="193">
        <f t="shared" si="173"/>
        <v>1135008.7935995865</v>
      </c>
      <c r="BL220" s="193">
        <f t="shared" si="173"/>
        <v>1166555.3574503292</v>
      </c>
      <c r="BM220" s="193">
        <f t="shared" si="173"/>
        <v>1198868.9585722806</v>
      </c>
      <c r="BN220" s="193">
        <f t="shared" si="173"/>
        <v>1231986.4586689256</v>
      </c>
      <c r="BO220" s="193">
        <f t="shared" si="173"/>
        <v>1265943.037127641</v>
      </c>
      <c r="BP220" s="193">
        <f t="shared" si="173"/>
        <v>1300772.5991951027</v>
      </c>
      <c r="BQ220" s="193">
        <f t="shared" si="173"/>
        <v>1336508.1186015657</v>
      </c>
      <c r="BR220" s="193">
        <f t="shared" si="173"/>
        <v>1373181.9257975833</v>
      </c>
      <c r="BS220" s="193">
        <f t="shared" si="173"/>
        <v>1410825.9510838205</v>
      </c>
      <c r="BT220" s="193">
        <f t="shared" si="173"/>
        <v>1449471.9303497688</v>
      </c>
      <c r="BU220" s="193">
        <f t="shared" si="173"/>
        <v>1489151.5798366969</v>
      </c>
      <c r="BV220" s="193">
        <f t="shared" si="173"/>
        <v>1529896.7452593953</v>
      </c>
      <c r="BW220" s="193">
        <f t="shared" si="173"/>
        <v>1571739.5297231348</v>
      </c>
      <c r="BX220" s="193">
        <f t="shared" si="173"/>
        <v>1614712.4041258425</v>
      </c>
      <c r="BY220" s="193">
        <f t="shared" si="173"/>
        <v>1658848.3031152803</v>
      </c>
      <c r="BZ220" s="193">
        <f t="shared" si="173"/>
        <v>1704180.7091555712</v>
      </c>
      <c r="CA220" s="193">
        <f t="shared" si="173"/>
        <v>0</v>
      </c>
      <c r="CB220" s="193">
        <f t="shared" si="173"/>
        <v>0</v>
      </c>
    </row>
    <row r="221" spans="2:80">
      <c r="B221" s="115" t="s">
        <v>400</v>
      </c>
      <c r="E221" s="192">
        <f t="shared" ref="E221:AJ221" si="174">SUM(E201:E220)</f>
        <v>0</v>
      </c>
      <c r="F221" s="192">
        <f t="shared" si="174"/>
        <v>0</v>
      </c>
      <c r="G221" s="192">
        <f t="shared" si="174"/>
        <v>0</v>
      </c>
      <c r="H221" s="192">
        <f t="shared" si="174"/>
        <v>0</v>
      </c>
      <c r="I221" s="192">
        <f t="shared" si="174"/>
        <v>0</v>
      </c>
      <c r="J221" s="192">
        <f t="shared" si="174"/>
        <v>0</v>
      </c>
      <c r="K221" s="192">
        <f t="shared" si="174"/>
        <v>0</v>
      </c>
      <c r="L221" s="192">
        <f t="shared" si="174"/>
        <v>0</v>
      </c>
      <c r="M221" s="192">
        <f t="shared" si="174"/>
        <v>0</v>
      </c>
      <c r="N221" s="192">
        <f t="shared" si="174"/>
        <v>0</v>
      </c>
      <c r="O221" s="192">
        <f t="shared" si="174"/>
        <v>0</v>
      </c>
      <c r="P221" s="192">
        <f t="shared" si="174"/>
        <v>0</v>
      </c>
      <c r="Q221" s="192">
        <f t="shared" si="174"/>
        <v>0</v>
      </c>
      <c r="R221" s="192">
        <f t="shared" si="174"/>
        <v>0</v>
      </c>
      <c r="S221" s="192">
        <f t="shared" si="174"/>
        <v>0</v>
      </c>
      <c r="T221" s="192">
        <f t="shared" si="174"/>
        <v>5846.956337010135</v>
      </c>
      <c r="U221" s="192">
        <f t="shared" si="174"/>
        <v>37902.258057630359</v>
      </c>
      <c r="V221" s="192">
        <f t="shared" si="174"/>
        <v>123540.72826996626</v>
      </c>
      <c r="W221" s="192">
        <f t="shared" si="174"/>
        <v>277205.82729241828</v>
      </c>
      <c r="X221" s="192">
        <f t="shared" si="174"/>
        <v>470721.62995394995</v>
      </c>
      <c r="Y221" s="192">
        <f t="shared" si="174"/>
        <v>697771.75488699134</v>
      </c>
      <c r="Z221" s="192">
        <f t="shared" si="174"/>
        <v>957589.31693417393</v>
      </c>
      <c r="AA221" s="192">
        <f t="shared" si="174"/>
        <v>1249830.5871348477</v>
      </c>
      <c r="AB221" s="192">
        <f t="shared" si="174"/>
        <v>1574519.8231669548</v>
      </c>
      <c r="AC221" s="192">
        <f t="shared" si="174"/>
        <v>1932004.2913155472</v>
      </c>
      <c r="AD221" s="192">
        <f t="shared" si="174"/>
        <v>2322917.8047531783</v>
      </c>
      <c r="AE221" s="192">
        <f t="shared" si="174"/>
        <v>2748151.3882561219</v>
      </c>
      <c r="AF221" s="192">
        <f t="shared" si="174"/>
        <v>3208829.9167526998</v>
      </c>
      <c r="AG221" s="192">
        <f t="shared" si="174"/>
        <v>3706293.7724305228</v>
      </c>
      <c r="AH221" s="192">
        <f t="shared" si="174"/>
        <v>4242084.7292708894</v>
      </c>
      <c r="AI221" s="192">
        <f t="shared" si="174"/>
        <v>4817935.4104434876</v>
      </c>
      <c r="AJ221" s="192">
        <f t="shared" si="174"/>
        <v>5435761.777648042</v>
      </c>
      <c r="AK221" s="192">
        <f t="shared" ref="AK221:BP221" si="175">SUM(AK201:AK220)</f>
        <v>6097658.2061090218</v>
      </c>
      <c r="AL221" s="192">
        <f t="shared" si="175"/>
        <v>6805894.7777382564</v>
      </c>
      <c r="AM221" s="192">
        <f t="shared" si="175"/>
        <v>7257759.6040284922</v>
      </c>
      <c r="AN221" s="192">
        <f t="shared" si="175"/>
        <v>7677027.9306610944</v>
      </c>
      <c r="AO221" s="192">
        <f t="shared" si="175"/>
        <v>8070398.7335333079</v>
      </c>
      <c r="AP221" s="192">
        <f t="shared" si="175"/>
        <v>8443472.1704015359</v>
      </c>
      <c r="AQ221" s="192">
        <f t="shared" si="175"/>
        <v>8800936.0530171469</v>
      </c>
      <c r="AR221" s="192">
        <f t="shared" si="175"/>
        <v>9146720.8497746848</v>
      </c>
      <c r="AS221" s="192">
        <f t="shared" si="175"/>
        <v>9484128.5345021747</v>
      </c>
      <c r="AT221" s="192">
        <f t="shared" si="175"/>
        <v>9815939.6992703695</v>
      </c>
      <c r="AU221" s="192">
        <f t="shared" si="175"/>
        <v>10144502.602969181</v>
      </c>
      <c r="AV221" s="192">
        <f t="shared" si="175"/>
        <v>10471807.207287367</v>
      </c>
      <c r="AW221" s="192">
        <f t="shared" si="175"/>
        <v>10799546.736351948</v>
      </c>
      <c r="AX221" s="192">
        <f t="shared" si="175"/>
        <v>11129168.867949024</v>
      </c>
      <c r="AY221" s="192">
        <f t="shared" si="175"/>
        <v>11461918.308255633</v>
      </c>
      <c r="AZ221" s="192">
        <f t="shared" si="175"/>
        <v>11798872.206145613</v>
      </c>
      <c r="BA221" s="192">
        <f t="shared" si="175"/>
        <v>12140969.617235806</v>
      </c>
      <c r="BB221" s="192">
        <f t="shared" si="175"/>
        <v>12489036.023473192</v>
      </c>
      <c r="BC221" s="192">
        <f t="shared" si="175"/>
        <v>12843803.744214257</v>
      </c>
      <c r="BD221" s="192">
        <f t="shared" si="175"/>
        <v>13205928.933585564</v>
      </c>
      <c r="BE221" s="192">
        <f t="shared" si="175"/>
        <v>13576005.741593936</v>
      </c>
      <c r="BF221" s="192">
        <f t="shared" si="175"/>
        <v>13954578.118949747</v>
      </c>
      <c r="BG221" s="192">
        <f t="shared" si="175"/>
        <v>14342149.664529873</v>
      </c>
      <c r="BH221" s="192">
        <f t="shared" si="175"/>
        <v>14739191.847057752</v>
      </c>
      <c r="BI221" s="192">
        <f t="shared" si="175"/>
        <v>15110868.840506203</v>
      </c>
      <c r="BJ221" s="192">
        <f t="shared" si="175"/>
        <v>15341663.075495627</v>
      </c>
      <c r="BK221" s="192">
        <f t="shared" si="175"/>
        <v>15295298.094493283</v>
      </c>
      <c r="BL221" s="192">
        <f t="shared" si="175"/>
        <v>14935519.69572537</v>
      </c>
      <c r="BM221" s="192">
        <f t="shared" si="175"/>
        <v>14481903.8870565</v>
      </c>
      <c r="BN221" s="192">
        <f t="shared" si="175"/>
        <v>13970813.667371437</v>
      </c>
      <c r="BO221" s="192">
        <f t="shared" si="175"/>
        <v>13398427.560555492</v>
      </c>
      <c r="BP221" s="192">
        <f t="shared" si="175"/>
        <v>12760689.218365299</v>
      </c>
      <c r="BQ221" s="192">
        <f t="shared" ref="BQ221:CB221" si="176">SUM(BQ201:BQ220)</f>
        <v>12053296.599161336</v>
      </c>
      <c r="BR221" s="192">
        <f t="shared" si="176"/>
        <v>11271690.225963945</v>
      </c>
      <c r="BS221" s="192">
        <f t="shared" si="176"/>
        <v>10411040.533365117</v>
      </c>
      <c r="BT221" s="192">
        <f t="shared" si="176"/>
        <v>9466234.3035606258</v>
      </c>
      <c r="BU221" s="192">
        <f t="shared" si="176"/>
        <v>8431860.1836654339</v>
      </c>
      <c r="BV221" s="192">
        <f t="shared" si="176"/>
        <v>7302193.2693220973</v>
      </c>
      <c r="BW221" s="192">
        <f t="shared" si="176"/>
        <v>6071178.7332248194</v>
      </c>
      <c r="BX221" s="192">
        <f t="shared" si="176"/>
        <v>4732414.4714088691</v>
      </c>
      <c r="BY221" s="192">
        <f t="shared" si="176"/>
        <v>3279132.7348681707</v>
      </c>
      <c r="BZ221" s="192">
        <f t="shared" si="176"/>
        <v>1704180.7091555712</v>
      </c>
      <c r="CA221" s="192">
        <f t="shared" si="176"/>
        <v>0</v>
      </c>
      <c r="CB221" s="192">
        <f t="shared" si="176"/>
        <v>0</v>
      </c>
    </row>
    <row r="222" spans="2:80">
      <c r="B222" s="115" t="s">
        <v>399</v>
      </c>
      <c r="Z222" s="192">
        <f t="shared" ref="Z222:BE222" si="177">Z221/(1+$G172)^(Z200-$Y$200)</f>
        <v>870535.74266743078</v>
      </c>
      <c r="AA222" s="192">
        <f t="shared" si="177"/>
        <v>1032917.8406073119</v>
      </c>
      <c r="AB222" s="192">
        <f t="shared" si="177"/>
        <v>1182960.0474582678</v>
      </c>
      <c r="AC222" s="192">
        <f t="shared" si="177"/>
        <v>1319584.9267915762</v>
      </c>
      <c r="AD222" s="192">
        <f t="shared" si="177"/>
        <v>1442349.1966850113</v>
      </c>
      <c r="AE222" s="192">
        <f t="shared" si="177"/>
        <v>1551259.8145116768</v>
      </c>
      <c r="AF222" s="192">
        <f t="shared" si="177"/>
        <v>1646637.1218032099</v>
      </c>
      <c r="AG222" s="192">
        <f t="shared" si="177"/>
        <v>1729013.3980642122</v>
      </c>
      <c r="AH222" s="192">
        <f t="shared" si="177"/>
        <v>1799058.0306180706</v>
      </c>
      <c r="AI222" s="192">
        <f t="shared" si="177"/>
        <v>1857522.6664014021</v>
      </c>
      <c r="AJ222" s="192">
        <f t="shared" si="177"/>
        <v>1905201.3420997665</v>
      </c>
      <c r="AK222" s="192">
        <f t="shared" si="177"/>
        <v>1942901.8203307835</v>
      </c>
      <c r="AL222" s="192">
        <f t="shared" si="177"/>
        <v>1971425.2893467145</v>
      </c>
      <c r="AM222" s="192">
        <f t="shared" si="177"/>
        <v>1911194.9399808196</v>
      </c>
      <c r="AN222" s="192">
        <f t="shared" si="177"/>
        <v>1837819.449385267</v>
      </c>
      <c r="AO222" s="192">
        <f t="shared" si="177"/>
        <v>1756353.9018607631</v>
      </c>
      <c r="AP222" s="192">
        <f t="shared" si="177"/>
        <v>1670495.9559205964</v>
      </c>
      <c r="AQ222" s="192">
        <f t="shared" si="177"/>
        <v>1582925.7085640351</v>
      </c>
      <c r="AR222" s="192">
        <f t="shared" si="177"/>
        <v>1495561.9487980444</v>
      </c>
      <c r="AS222" s="192">
        <f t="shared" si="177"/>
        <v>1409755.2740157063</v>
      </c>
      <c r="AT222" s="192">
        <f t="shared" si="177"/>
        <v>1326433.5357870613</v>
      </c>
      <c r="AU222" s="192">
        <f t="shared" si="177"/>
        <v>1246211.2986824017</v>
      </c>
      <c r="AV222" s="192">
        <f t="shared" si="177"/>
        <v>1169472.1376863769</v>
      </c>
      <c r="AW222" s="192">
        <f t="shared" si="177"/>
        <v>1096430.4404806034</v>
      </c>
      <c r="AX222" s="192">
        <f t="shared" si="177"/>
        <v>1027177.7495484612</v>
      </c>
      <c r="AY222" s="192">
        <f t="shared" si="177"/>
        <v>961717.44662219903</v>
      </c>
      <c r="AZ222" s="192">
        <f t="shared" si="177"/>
        <v>899990.65093374124</v>
      </c>
      <c r="BA222" s="192">
        <f t="shared" si="177"/>
        <v>841895.49936903513</v>
      </c>
      <c r="BB222" s="192">
        <f t="shared" si="177"/>
        <v>787301.44529456238</v>
      </c>
      <c r="BC222" s="192">
        <f t="shared" si="177"/>
        <v>736059.81146504346</v>
      </c>
      <c r="BD222" s="192">
        <f t="shared" si="177"/>
        <v>688011.52925620403</v>
      </c>
      <c r="BE222" s="192">
        <f t="shared" si="177"/>
        <v>642992.76748685818</v>
      </c>
      <c r="BF222" s="192">
        <f t="shared" ref="BF222:CB222" si="178">BF221/(1+$G172)^(BF200-$Y$200)</f>
        <v>600838.98116088926</v>
      </c>
      <c r="BG222" s="192">
        <f t="shared" si="178"/>
        <v>561387.77986683848</v>
      </c>
      <c r="BH222" s="192">
        <f t="shared" si="178"/>
        <v>524480.91696620896</v>
      </c>
      <c r="BI222" s="192">
        <f t="shared" si="178"/>
        <v>488824.28116960556</v>
      </c>
      <c r="BJ222" s="192">
        <f t="shared" si="178"/>
        <v>451172.98764946498</v>
      </c>
      <c r="BK222" s="192">
        <f t="shared" si="178"/>
        <v>408917.70008144452</v>
      </c>
      <c r="BL222" s="192">
        <f t="shared" si="178"/>
        <v>362999.15805177239</v>
      </c>
      <c r="BM222" s="192">
        <f t="shared" si="178"/>
        <v>319976.62589128868</v>
      </c>
      <c r="BN222" s="192">
        <f t="shared" si="178"/>
        <v>280621.93109824124</v>
      </c>
      <c r="BO222" s="192">
        <f t="shared" si="178"/>
        <v>244658.9209112901</v>
      </c>
      <c r="BP222" s="192">
        <f t="shared" si="178"/>
        <v>211830.58711651262</v>
      </c>
      <c r="BQ222" s="192">
        <f t="shared" si="178"/>
        <v>181897.90475745127</v>
      </c>
      <c r="BR222" s="192">
        <f t="shared" si="178"/>
        <v>154638.70804670698</v>
      </c>
      <c r="BS222" s="192">
        <f t="shared" si="178"/>
        <v>129846.61130727941</v>
      </c>
      <c r="BT222" s="192">
        <f t="shared" si="178"/>
        <v>107329.97971274177</v>
      </c>
      <c r="BU222" s="192">
        <f t="shared" si="178"/>
        <v>86910.952360921481</v>
      </c>
      <c r="BV222" s="192">
        <f t="shared" si="178"/>
        <v>68424.518599298957</v>
      </c>
      <c r="BW222" s="192">
        <f t="shared" si="178"/>
        <v>51717.647365989185</v>
      </c>
      <c r="BX222" s="192">
        <f t="shared" si="178"/>
        <v>36648.468500497482</v>
      </c>
      <c r="BY222" s="192">
        <f t="shared" si="178"/>
        <v>23085.50442501123</v>
      </c>
      <c r="BZ222" s="192">
        <f t="shared" si="178"/>
        <v>10906.950233266301</v>
      </c>
      <c r="CA222" s="192">
        <f t="shared" si="178"/>
        <v>0</v>
      </c>
      <c r="CB222" s="192">
        <f t="shared" si="178"/>
        <v>0</v>
      </c>
    </row>
    <row r="223" spans="2:80">
      <c r="B223" s="115" t="s">
        <v>398</v>
      </c>
      <c r="E223" s="192">
        <f t="shared" ref="E223:X223" si="179">E221</f>
        <v>0</v>
      </c>
      <c r="F223" s="192">
        <f t="shared" si="179"/>
        <v>0</v>
      </c>
      <c r="G223" s="192">
        <f t="shared" si="179"/>
        <v>0</v>
      </c>
      <c r="H223" s="192">
        <f t="shared" si="179"/>
        <v>0</v>
      </c>
      <c r="I223" s="192">
        <f t="shared" si="179"/>
        <v>0</v>
      </c>
      <c r="J223" s="192">
        <f t="shared" si="179"/>
        <v>0</v>
      </c>
      <c r="K223" s="192">
        <f t="shared" si="179"/>
        <v>0</v>
      </c>
      <c r="L223" s="192">
        <f t="shared" si="179"/>
        <v>0</v>
      </c>
      <c r="M223" s="192">
        <f t="shared" si="179"/>
        <v>0</v>
      </c>
      <c r="N223" s="192">
        <f t="shared" si="179"/>
        <v>0</v>
      </c>
      <c r="O223" s="192">
        <f t="shared" si="179"/>
        <v>0</v>
      </c>
      <c r="P223" s="192">
        <f t="shared" si="179"/>
        <v>0</v>
      </c>
      <c r="Q223" s="192">
        <f t="shared" si="179"/>
        <v>0</v>
      </c>
      <c r="R223" s="192">
        <f t="shared" si="179"/>
        <v>0</v>
      </c>
      <c r="S223" s="192">
        <f t="shared" si="179"/>
        <v>0</v>
      </c>
      <c r="T223" s="192">
        <f t="shared" si="179"/>
        <v>5846.956337010135</v>
      </c>
      <c r="U223" s="192">
        <f t="shared" si="179"/>
        <v>37902.258057630359</v>
      </c>
      <c r="V223" s="192">
        <f t="shared" si="179"/>
        <v>123540.72826996626</v>
      </c>
      <c r="W223" s="192">
        <f t="shared" si="179"/>
        <v>277205.82729241828</v>
      </c>
      <c r="X223" s="192">
        <f t="shared" si="179"/>
        <v>470721.62995394995</v>
      </c>
      <c r="Y223" s="192">
        <f>Y221+SUM(Z222:CB222)</f>
        <v>49344057.598682903</v>
      </c>
    </row>
    <row r="226" spans="2:27" s="177" customFormat="1">
      <c r="B226" s="270"/>
      <c r="C226" s="280"/>
      <c r="D226" s="279"/>
      <c r="E226" s="279"/>
      <c r="F226" s="279"/>
      <c r="G226" s="279"/>
      <c r="H226" s="279"/>
      <c r="I226" s="279"/>
      <c r="J226" s="279"/>
      <c r="K226" s="279"/>
      <c r="L226" s="279"/>
      <c r="M226" s="279"/>
      <c r="N226" s="279"/>
      <c r="O226" s="279"/>
      <c r="P226" s="279"/>
      <c r="Q226" s="279"/>
      <c r="R226" s="279"/>
      <c r="S226" s="279"/>
      <c r="T226" s="279"/>
      <c r="U226" s="279"/>
      <c r="V226" s="279"/>
      <c r="W226" s="279"/>
      <c r="X226" s="279"/>
      <c r="Z226" s="278"/>
      <c r="AA226" s="277"/>
    </row>
    <row r="227" spans="2:27">
      <c r="B227" s="266"/>
      <c r="C227" s="12"/>
      <c r="D227" s="2"/>
      <c r="E227" s="2"/>
      <c r="F227" s="2"/>
      <c r="G227" s="2"/>
      <c r="H227" s="2"/>
      <c r="I227" s="2"/>
      <c r="J227" s="2"/>
      <c r="K227" s="2"/>
      <c r="L227" s="2"/>
      <c r="M227" s="2"/>
      <c r="N227" s="2"/>
      <c r="O227" s="2"/>
      <c r="P227" s="2"/>
      <c r="Q227" s="2"/>
      <c r="R227" s="2"/>
      <c r="S227" s="2"/>
      <c r="T227" s="2"/>
      <c r="U227" s="2"/>
      <c r="V227" s="2"/>
      <c r="W227" s="2"/>
      <c r="X227" s="2"/>
    </row>
    <row r="228" spans="2:27">
      <c r="B228" s="266"/>
      <c r="C228" s="12"/>
      <c r="D228" s="2"/>
      <c r="E228" s="2"/>
      <c r="F228" s="2"/>
      <c r="G228" s="2"/>
      <c r="H228" s="2"/>
      <c r="I228" s="2"/>
      <c r="J228" s="2"/>
      <c r="K228" s="2"/>
      <c r="L228" s="2"/>
      <c r="M228" s="2"/>
      <c r="N228" s="2"/>
      <c r="O228" s="2"/>
      <c r="P228" s="2"/>
      <c r="Q228" s="2"/>
      <c r="R228" s="2"/>
      <c r="S228" s="2"/>
      <c r="T228" s="2"/>
      <c r="U228" s="2"/>
      <c r="V228" s="2"/>
      <c r="W228" s="2"/>
      <c r="X228" s="2"/>
    </row>
    <row r="229" spans="2:27">
      <c r="B229" s="266"/>
      <c r="C229" s="12"/>
      <c r="D229" s="2"/>
      <c r="E229" s="2"/>
      <c r="F229" s="2"/>
      <c r="G229" s="2"/>
      <c r="H229" s="2"/>
      <c r="I229" s="2"/>
      <c r="J229" s="2"/>
      <c r="K229" s="2"/>
      <c r="L229" s="2"/>
      <c r="M229" s="2"/>
      <c r="N229" s="2"/>
      <c r="O229" s="2"/>
      <c r="P229" s="2"/>
      <c r="Q229" s="2"/>
      <c r="R229" s="2"/>
      <c r="S229" s="2"/>
      <c r="T229" s="2"/>
      <c r="U229" s="2"/>
      <c r="V229" s="2"/>
      <c r="W229" s="2"/>
      <c r="X229" s="2"/>
    </row>
    <row r="230" spans="2:27">
      <c r="B230" s="266"/>
      <c r="C230" s="12"/>
      <c r="D230" s="2"/>
      <c r="E230" s="2"/>
      <c r="F230" s="2"/>
      <c r="G230" s="2"/>
      <c r="H230" s="2"/>
      <c r="I230" s="2"/>
      <c r="J230" s="2"/>
      <c r="K230" s="2"/>
      <c r="L230" s="2"/>
      <c r="M230" s="2"/>
      <c r="N230" s="2"/>
      <c r="O230" s="2"/>
      <c r="P230" s="2"/>
      <c r="Q230" s="2"/>
      <c r="R230" s="2"/>
      <c r="S230" s="2"/>
      <c r="T230" s="2"/>
      <c r="U230" s="2"/>
      <c r="V230" s="2"/>
      <c r="W230" s="2"/>
      <c r="X230" s="2"/>
    </row>
    <row r="231" spans="2:27">
      <c r="B231" s="265"/>
      <c r="C231" s="12"/>
      <c r="D231" s="2"/>
      <c r="E231" s="2"/>
      <c r="F231" s="2"/>
      <c r="G231" s="2"/>
      <c r="H231" s="2"/>
      <c r="I231" s="2"/>
      <c r="J231" s="2"/>
      <c r="K231" s="2"/>
      <c r="L231" s="2"/>
      <c r="M231" s="2"/>
      <c r="N231" s="2"/>
      <c r="O231" s="2"/>
      <c r="P231" s="2"/>
      <c r="Q231" s="2"/>
      <c r="R231" s="2"/>
      <c r="S231" s="2"/>
      <c r="T231" s="2"/>
      <c r="U231" s="2"/>
      <c r="V231" s="2"/>
      <c r="W231" s="2"/>
      <c r="X231" s="2"/>
    </row>
  </sheetData>
  <mergeCells count="2">
    <mergeCell ref="C149:C150"/>
    <mergeCell ref="G12:N1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1</vt:i4>
      </vt:variant>
      <vt:variant>
        <vt:lpstr>Named Ranges</vt:lpstr>
      </vt:variant>
      <vt:variant>
        <vt:i4>3</vt:i4>
      </vt:variant>
    </vt:vector>
  </HeadingPairs>
  <TitlesOfParts>
    <vt:vector size="22" baseType="lpstr">
      <vt:lpstr>User's Guide</vt:lpstr>
      <vt:lpstr>Project Description</vt:lpstr>
      <vt:lpstr>ERR &amp; Sensitivity Analysis</vt:lpstr>
      <vt:lpstr>Combined Cost-Benefit</vt:lpstr>
      <vt:lpstr>ERR</vt:lpstr>
      <vt:lpstr>Cost</vt:lpstr>
      <vt:lpstr>Benefits</vt:lpstr>
      <vt:lpstr>health</vt:lpstr>
      <vt:lpstr>Health--Stunting</vt:lpstr>
      <vt:lpstr>Drainage</vt:lpstr>
      <vt:lpstr>Time Savings</vt:lpstr>
      <vt:lpstr>NRW</vt:lpstr>
      <vt:lpstr>Travel time analysis</vt:lpstr>
      <vt:lpstr>Sources</vt:lpstr>
      <vt:lpstr>Assumptions</vt:lpstr>
      <vt:lpstr>BA data</vt:lpstr>
      <vt:lpstr>Poverty Scorecard</vt:lpstr>
      <vt:lpstr>barchart data</vt:lpstr>
      <vt:lpstr>barchart</vt:lpstr>
      <vt:lpstr>'BA data'!_Ref264385662</vt:lpstr>
      <vt:lpstr>'ERR &amp; Sensitivity Analysis'!Print_Area</vt:lpstr>
      <vt:lpstr>NRW!Print_Area</vt:lpstr>
    </vt:vector>
  </TitlesOfParts>
  <Company>MCC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Zambia: Lusaka Water Supply, Sanitation, &amp; Drainage Project</dc:title>
  <dc:creator>Millennium Challenge Corporation</dc:creator>
  <cp:lastModifiedBy>mcc</cp:lastModifiedBy>
  <dcterms:created xsi:type="dcterms:W3CDTF">2012-12-14T15:46:45Z</dcterms:created>
  <dcterms:modified xsi:type="dcterms:W3CDTF">2014-09-02T18:58:42Z</dcterms:modified>
</cp:coreProperties>
</file>