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41" yWindow="1350" windowWidth="15480" windowHeight="6120" activeTab="1"/>
  </bookViews>
  <sheets>
    <sheet name="User Guide" sheetId="1" r:id="rId1"/>
    <sheet name="Activity Description" sheetId="2" r:id="rId2"/>
    <sheet name="ERR and Sensitivity Analysis" sheetId="3" r:id="rId3"/>
    <sheet name="ERR Calculation" sheetId="4" r:id="rId4"/>
    <sheet name="Vel-MandaFeasSim" sheetId="5" state="hidden" r:id="rId5"/>
    <sheet name="EntretienVelMan" sheetId="6" state="hidden" r:id="rId6"/>
    <sheet name="Vel-MandaFeasDD" sheetId="7" state="hidden" r:id="rId7"/>
    <sheet name="Kol-VelFeasDD" sheetId="8" state="hidden" r:id="rId8"/>
    <sheet name="Kol-KounFeasDD" sheetId="9" state="hidden" r:id="rId9"/>
    <sheet name="EntretienKolVel" sheetId="10" state="hidden" r:id="rId10"/>
    <sheet name="Tn-KolFeasDD" sheetId="11" state="hidden" r:id="rId11"/>
    <sheet name="EntretienTnKol" sheetId="12" state="hidden" r:id="rId12"/>
    <sheet name="ZigTnFeasDD" sheetId="13" state="hidden" r:id="rId13"/>
    <sheet name="EntretienZigTn" sheetId="14" state="hidden" r:id="rId14"/>
    <sheet name="RN6ZigTnKolVel" sheetId="15" state="hidden" r:id="rId15"/>
    <sheet name="RN6ZigTnKolKoun" sheetId="16" state="hidden" r:id="rId16"/>
    <sheet name="RN6ZigTnKol" sheetId="17" state="hidden" r:id="rId17"/>
    <sheet name="RN6ZigTnKolVel_Sensit" sheetId="18" state="hidden" r:id="rId18"/>
    <sheet name="RN6_Pop" sheetId="19" state="hidden" r:id="rId19"/>
    <sheet name="PovDist" sheetId="20" state="hidden" r:id="rId20"/>
    <sheet name="RN6_Data" sheetId="21" state="hidden" r:id="rId21"/>
  </sheets>
  <externalReferences>
    <externalReference r:id="rId24"/>
  </externalReferences>
  <definedNames>
    <definedName name="HypothBene" localSheetId="4">'Vel-MandaFeasSim'!$B$29</definedName>
    <definedName name="HypothBene">#REF!</definedName>
    <definedName name="Hypothetical_return" localSheetId="4">'Vel-MandaFeasSim'!$B$15</definedName>
    <definedName name="PPP_exrate" localSheetId="8">'Kol-KounFeasDD'!$B$31</definedName>
    <definedName name="PPP_exrate" localSheetId="7">'Kol-VelFeasDD'!$B$31</definedName>
    <definedName name="PPP_exrate" localSheetId="16">'RN6ZigTnKol'!$B$46</definedName>
    <definedName name="PPP_exrate" localSheetId="15">'RN6ZigTnKolKoun'!$B$44</definedName>
    <definedName name="PPP_exrate" localSheetId="17">'RN6ZigTnKolVel_Sensit'!$B$45</definedName>
    <definedName name="PPP_exrate" localSheetId="10">'Tn-KolFeasDD'!$B$31</definedName>
    <definedName name="PPP_exrate" localSheetId="6">'Vel-MandaFeasDD'!$B$31</definedName>
    <definedName name="PPP_exrate" localSheetId="4">'Vel-MandaFeasSim'!$B$47</definedName>
    <definedName name="PPP_exrate" localSheetId="12">'ZigTnFeasDD'!$B$31</definedName>
    <definedName name="PPP_exrate">#REF!</definedName>
  </definedNames>
  <calcPr fullCalcOnLoad="1"/>
</workbook>
</file>

<file path=xl/comments5.xml><?xml version="1.0" encoding="utf-8"?>
<comments xmlns="http://schemas.openxmlformats.org/spreadsheetml/2006/main">
  <authors>
    <author>derenb</author>
  </authors>
  <commentList>
    <comment ref="A23" authorId="0">
      <text>
        <r>
          <rPr>
            <b/>
            <sz val="8"/>
            <rFont val="Tahoma"/>
            <family val="2"/>
          </rPr>
          <t>derenb:</t>
        </r>
        <r>
          <rPr>
            <sz val="8"/>
            <rFont val="Tahoma"/>
            <family val="2"/>
          </rPr>
          <t xml:space="preserve">
Assuming benefits realized following completion of all works (starting year 4).</t>
        </r>
      </text>
    </comment>
  </commentList>
</comments>
</file>

<file path=xl/comments9.xml><?xml version="1.0" encoding="utf-8"?>
<comments xmlns="http://schemas.openxmlformats.org/spreadsheetml/2006/main">
  <authors>
    <author>derenb</author>
  </authors>
  <commentList>
    <comment ref="B11" authorId="0">
      <text>
        <r>
          <rPr>
            <b/>
            <sz val="8"/>
            <rFont val="Tahoma"/>
            <family val="2"/>
          </rPr>
          <t>derenb:</t>
        </r>
        <r>
          <rPr>
            <sz val="8"/>
            <rFont val="Tahoma"/>
            <family val="2"/>
          </rPr>
          <t xml:space="preserve">
total costs proportional to costs of rehabilitating Kolda-Velingara</t>
        </r>
      </text>
    </comment>
  </commentList>
</comments>
</file>

<file path=xl/sharedStrings.xml><?xml version="1.0" encoding="utf-8"?>
<sst xmlns="http://schemas.openxmlformats.org/spreadsheetml/2006/main" count="1181" uniqueCount="375">
  <si>
    <t>Senegal</t>
  </si>
  <si>
    <t>Roads</t>
  </si>
  <si>
    <t>RN6</t>
  </si>
  <si>
    <t>Zin-Tanaff</t>
  </si>
  <si>
    <t>Tan=Kol</t>
  </si>
  <si>
    <t>Kol-Velin</t>
  </si>
  <si>
    <t>growth rate</t>
  </si>
  <si>
    <t>Composition of traffic</t>
  </si>
  <si>
    <t>including 34% deviated</t>
  </si>
  <si>
    <t>medium car</t>
  </si>
  <si>
    <t>motobike</t>
  </si>
  <si>
    <t>mini car</t>
  </si>
  <si>
    <t>auto car</t>
  </si>
  <si>
    <t>light truck</t>
  </si>
  <si>
    <t>medium truck</t>
  </si>
  <si>
    <t>heavy truck</t>
  </si>
  <si>
    <t>rig</t>
  </si>
  <si>
    <t>taxi</t>
  </si>
  <si>
    <t>Zin-Tan</t>
  </si>
  <si>
    <t>Tan-Kolda</t>
  </si>
  <si>
    <t>pass</t>
  </si>
  <si>
    <t>Benefits</t>
  </si>
  <si>
    <t>USD'000/vehicle class</t>
  </si>
  <si>
    <t>Regional traffic</t>
  </si>
  <si>
    <t>pass/yr</t>
  </si>
  <si>
    <t>pass/vehicle</t>
  </si>
  <si>
    <t xml:space="preserve">pop </t>
  </si>
  <si>
    <t>frequency</t>
  </si>
  <si>
    <t>1p 1wk</t>
  </si>
  <si>
    <t>1p 2xwk</t>
  </si>
  <si>
    <t>pass/day</t>
  </si>
  <si>
    <t>round trips</t>
  </si>
  <si>
    <t xml:space="preserve">pass traffic </t>
  </si>
  <si>
    <t>non pass</t>
  </si>
  <si>
    <t>% benefits accruing to passengers</t>
  </si>
  <si>
    <t>?</t>
  </si>
  <si>
    <t>pop/km</t>
  </si>
  <si>
    <t>1.5 trips</t>
  </si>
  <si>
    <t>&lt;1.25</t>
  </si>
  <si>
    <t>1.25-2</t>
  </si>
  <si>
    <t>2-4</t>
  </si>
  <si>
    <t>&gt;4</t>
  </si>
  <si>
    <t>operator</t>
  </si>
  <si>
    <t>Dist or passenger traffic benefits</t>
  </si>
  <si>
    <t>Dist of non pass traffic benefits</t>
  </si>
  <si>
    <t xml:space="preserve">hh in region </t>
  </si>
  <si>
    <t xml:space="preserve">povcal </t>
  </si>
  <si>
    <t>based on 2005 PPP</t>
  </si>
  <si>
    <t>national</t>
  </si>
  <si>
    <t>National</t>
  </si>
  <si>
    <t>Regional South</t>
  </si>
  <si>
    <t>estimated</t>
  </si>
  <si>
    <t>poor</t>
  </si>
  <si>
    <t>regional households (2030)</t>
  </si>
  <si>
    <t>Income Impact</t>
  </si>
  <si>
    <t>% change</t>
  </si>
  <si>
    <t>share of benefits (USD)</t>
  </si>
  <si>
    <t>benefit/hh (USD)</t>
  </si>
  <si>
    <t>Regional Beneficiary hh</t>
  </si>
  <si>
    <t>Regional Beneficiaries</t>
  </si>
  <si>
    <t>Benefits/beneficiary</t>
  </si>
  <si>
    <t>PV Income  (USD million)</t>
  </si>
  <si>
    <t>Income Share</t>
  </si>
  <si>
    <t>&lt;2</t>
  </si>
  <si>
    <t>Income streams</t>
  </si>
  <si>
    <t>PV of Benefits (USD million)</t>
  </si>
  <si>
    <t>PV Income/Project Investment</t>
  </si>
  <si>
    <t>Total</t>
  </si>
  <si>
    <t>,2</t>
  </si>
  <si>
    <t>Millennium Challenge Corporation</t>
  </si>
  <si>
    <t>Economic Analysis</t>
  </si>
  <si>
    <t>Phasing of the investment</t>
  </si>
  <si>
    <t>Distribution of Households in Road Catchment</t>
  </si>
  <si>
    <t>National Average</t>
  </si>
  <si>
    <t>Estimated in Road Catchment</t>
  </si>
  <si>
    <t>Share of traffic that is regional</t>
  </si>
  <si>
    <t>Estimated Distribution of Net Benefits</t>
  </si>
  <si>
    <t>RN6 Catchment and Rest of the Country</t>
  </si>
  <si>
    <t>Investment Costs</t>
  </si>
  <si>
    <t>VOC Savings</t>
  </si>
  <si>
    <t>Present Value of Net Benefit Stream at 10% (FCFA million)</t>
  </si>
  <si>
    <t>Estimated PPP Exchange Rate</t>
  </si>
  <si>
    <t>Present Value of Net Benefit Stream at 10% (USD million)</t>
  </si>
  <si>
    <t>Average Present Value of benefits per beneficiary (FCFA'000)</t>
  </si>
  <si>
    <t>Average Present Value of benefits per beneficiary (PPP USD)</t>
  </si>
  <si>
    <t>(Source: MFG-MCA)</t>
  </si>
  <si>
    <t>Number of Households outside Catchment</t>
  </si>
  <si>
    <t>Number of Beneficiaries Outside Catchment</t>
  </si>
  <si>
    <t>Number of Beneficiaries within Catchment</t>
  </si>
  <si>
    <t>Total Beneficiary Households</t>
  </si>
  <si>
    <t>Total Beneficiaries</t>
  </si>
  <si>
    <t>Households consuming at PPP USD/person/day</t>
  </si>
  <si>
    <t>Distribution of Road Beneficiaries</t>
  </si>
  <si>
    <t>Present Value Benefit Stream/Project Dollar Spent</t>
  </si>
  <si>
    <t>Distrbution of Road Benefits (PPP USD million)</t>
  </si>
  <si>
    <t>monthly income/person</t>
  </si>
  <si>
    <t>annual income/person</t>
  </si>
  <si>
    <t>Calculation of Present Income by Consumption Category</t>
  </si>
  <si>
    <t>Present Value</t>
  </si>
  <si>
    <t>Discounted Current Annual Income Streams over 20 Years</t>
  </si>
  <si>
    <t>Average PV benefit stream as share of PV existing consumption</t>
  </si>
  <si>
    <t>Present Value of  Consumption Streams of Beneficiaries (PPP USD million)</t>
  </si>
  <si>
    <t>Cost/Benefit Analysis (FCFA million)</t>
  </si>
  <si>
    <t>Compact Mangement Costs</t>
  </si>
  <si>
    <t>Incremental Net Benefit</t>
  </si>
  <si>
    <t>ERR</t>
  </si>
  <si>
    <t>Present Value of Investment Costs (FCFA million)</t>
  </si>
  <si>
    <t>(Source: PovCalc based on ESPS 2005-2006)</t>
  </si>
  <si>
    <t>(Source: Interpolation based on poverty incidence in road districts; ESPS 2005-2006)</t>
  </si>
  <si>
    <t>Number of Households in 10 km Catchment</t>
  </si>
  <si>
    <t>Beneficiaries per km within Catchment (person/10 km2)</t>
  </si>
  <si>
    <t>Implied Population Density (person/km2)</t>
  </si>
  <si>
    <t>Households per km2</t>
  </si>
  <si>
    <t>Total investment in Constant Values (FCFA million)</t>
  </si>
  <si>
    <t>Base Cost per Km (USD)</t>
  </si>
  <si>
    <t>Distribution of Present Value of Benefits per Beneficiary (PPP USD)</t>
  </si>
  <si>
    <t>% poor</t>
  </si>
  <si>
    <t>Interpolation of consumption distribution based on % of population categorized as poor by ESPS 2005-2006</t>
  </si>
  <si>
    <t>headcount poverty incidence</t>
  </si>
  <si>
    <t>(Source: PovCalc using Senegalese data)</t>
  </si>
  <si>
    <t>Region of RN6</t>
  </si>
  <si>
    <t>Interpolation based on comparison between regional and national poverty shares</t>
  </si>
  <si>
    <t>Ratio of regional/national poverty shares</t>
  </si>
  <si>
    <t>(Source: ESPS 2005-2005)</t>
  </si>
  <si>
    <t>Year</t>
  </si>
  <si>
    <t>Investment</t>
  </si>
  <si>
    <t>Maintenance</t>
  </si>
  <si>
    <t>(FCFA'000)</t>
  </si>
  <si>
    <t>Velingara-Manda Douane</t>
  </si>
  <si>
    <t>Bouchage des nids de poule</t>
  </si>
  <si>
    <t>Entretien Courant 2</t>
  </si>
  <si>
    <t>Traffic growth rate</t>
  </si>
  <si>
    <t>With Project</t>
  </si>
  <si>
    <t>Without Project</t>
  </si>
  <si>
    <t>Subtotal</t>
  </si>
  <si>
    <t>Incremental Maintenance Savings</t>
  </si>
  <si>
    <t>Total Incremental Institutional Benefits</t>
  </si>
  <si>
    <t>Incremental Institutional Savings</t>
  </si>
  <si>
    <t>Total investment in Current Values (USD million) Financial</t>
  </si>
  <si>
    <t>Total investment in Constant Values (USD million) Economic</t>
  </si>
  <si>
    <t>Traffic Base (MV/d)</t>
  </si>
  <si>
    <t>Velingara-Manda Douane Segment</t>
  </si>
  <si>
    <t>Road Segment Length (km)</t>
  </si>
  <si>
    <t>The following calculation simulates the annual total incremental net benefit for a USD 200 million investment having a 15% return (based on the feasibility study)</t>
  </si>
  <si>
    <t>Assessment Based on Due Diligence Costs</t>
  </si>
  <si>
    <t>DILIGENCED COST</t>
  </si>
  <si>
    <t>SUPERVISION COSTS</t>
  </si>
  <si>
    <t>PROJECTS MANAGEMENT</t>
  </si>
  <si>
    <t>TECHNICAL RISKS</t>
  </si>
  <si>
    <t>(Source: URS June 2009)</t>
  </si>
  <si>
    <t>(Source: MCA feasibility study HDM-4 analysis)</t>
  </si>
  <si>
    <t>Kolda-Velingara</t>
  </si>
  <si>
    <t>Kolda-Velingara Segment</t>
  </si>
  <si>
    <t>Average base VOC savings per AADT per km (FCA million)</t>
  </si>
  <si>
    <t>Average base VOC savings per AADT per km (FCA'000)</t>
  </si>
  <si>
    <t>Length (km)</t>
  </si>
  <si>
    <t>Capital and Maintenance Costs</t>
  </si>
  <si>
    <t>(Source: MCA feasibility study, June 2009)</t>
  </si>
  <si>
    <t>Tanaff-Kolda</t>
  </si>
  <si>
    <t>Tanaf-Kolda Segment</t>
  </si>
  <si>
    <t>Reflection des rives</t>
  </si>
  <si>
    <t>(Source: MCA feasibility study)</t>
  </si>
  <si>
    <t>Ziguinchor-Tanaff</t>
  </si>
  <si>
    <t>Zinguinchor-Tanaff Segment</t>
  </si>
  <si>
    <t>Zinguinchor-Tanaff-Kolda-Velingara</t>
  </si>
  <si>
    <t>excluding Kolda bridge expenditure</t>
  </si>
  <si>
    <t>Kolda Bridge Capital Cost</t>
  </si>
  <si>
    <t>FINANCIAL RISKS</t>
  </si>
  <si>
    <t>Incremental Net Benefit including Kolda Bridge</t>
  </si>
  <si>
    <t>USD million</t>
  </si>
  <si>
    <t>including Kolda bridge expenditure</t>
  </si>
  <si>
    <t>NB: Compact Management Costs are a preliminary estimate</t>
  </si>
  <si>
    <t>Present Value of Investment Costs (USD million)</t>
  </si>
  <si>
    <t>Populatation habitant le long de la RN6 (5km de part et d'autre)</t>
  </si>
  <si>
    <t>NOMCR</t>
  </si>
  <si>
    <t>SUPERFICE_</t>
  </si>
  <si>
    <t>ARRO</t>
  </si>
  <si>
    <t>DEPA</t>
  </si>
  <si>
    <t>REGION</t>
  </si>
  <si>
    <t>Pop_Hom</t>
  </si>
  <si>
    <t>Pop_FEM</t>
  </si>
  <si>
    <t>Nbr_Men</t>
  </si>
  <si>
    <t>Pop_TOT</t>
  </si>
  <si>
    <t>Missirah</t>
  </si>
  <si>
    <t>MISSIRAH</t>
  </si>
  <si>
    <t>Tambacounda</t>
  </si>
  <si>
    <t>TAMBACOUNDA</t>
  </si>
  <si>
    <t>Sinthiang Koundara</t>
  </si>
  <si>
    <t>BONCONTO</t>
  </si>
  <si>
    <t>Velingara</t>
  </si>
  <si>
    <t>KOLDA</t>
  </si>
  <si>
    <t>Ndorna</t>
  </si>
  <si>
    <t>MEDINA Y. FOULA</t>
  </si>
  <si>
    <t>Kolda</t>
  </si>
  <si>
    <t>Medina Gounass</t>
  </si>
  <si>
    <t>Nemataba</t>
  </si>
  <si>
    <t>KOUNKANE</t>
  </si>
  <si>
    <t>Kandia</t>
  </si>
  <si>
    <t>Sare Coly Sale</t>
  </si>
  <si>
    <t>Bonconto</t>
  </si>
  <si>
    <t>Sare Bidji</t>
  </si>
  <si>
    <t>DIOULACOLON</t>
  </si>
  <si>
    <t>Mampatim</t>
  </si>
  <si>
    <t>DABO</t>
  </si>
  <si>
    <t>Dabo</t>
  </si>
  <si>
    <t>Diana Malari</t>
  </si>
  <si>
    <t>DIENDE</t>
  </si>
  <si>
    <t>Sedhiou</t>
  </si>
  <si>
    <t>Kounkane</t>
  </si>
  <si>
    <t>Bagadadji</t>
  </si>
  <si>
    <t>Diende</t>
  </si>
  <si>
    <t>Dioulacolon</t>
  </si>
  <si>
    <t>Ouonck</t>
  </si>
  <si>
    <t>TENGHORY</t>
  </si>
  <si>
    <t>Bignona</t>
  </si>
  <si>
    <t>ZIGUINCHOR</t>
  </si>
  <si>
    <t>Kolibantang</t>
  </si>
  <si>
    <t>TANAFF</t>
  </si>
  <si>
    <t>Ouassadou</t>
  </si>
  <si>
    <t>PAKOUR</t>
  </si>
  <si>
    <t>Karantaba</t>
  </si>
  <si>
    <t>Tankanto Escale</t>
  </si>
  <si>
    <t>Salikegne</t>
  </si>
  <si>
    <t>Bemet Bidjini</t>
  </si>
  <si>
    <t>DJIBABOUYA</t>
  </si>
  <si>
    <t>Coumbacara</t>
  </si>
  <si>
    <t>Medina El Hadji</t>
  </si>
  <si>
    <t>Niamone</t>
  </si>
  <si>
    <t>Bambali</t>
  </si>
  <si>
    <t>Djiredji</t>
  </si>
  <si>
    <t>Coubalang</t>
  </si>
  <si>
    <t>Niagha</t>
  </si>
  <si>
    <t>Tanaff</t>
  </si>
  <si>
    <t>Adeane</t>
  </si>
  <si>
    <t>NIAGUIS</t>
  </si>
  <si>
    <t>Ziguinchor</t>
  </si>
  <si>
    <t>Simbandi Brassou</t>
  </si>
  <si>
    <t>Djibanar</t>
  </si>
  <si>
    <t>DIATTACOUNDA</t>
  </si>
  <si>
    <t>Enampor</t>
  </si>
  <si>
    <t>NIASSIA</t>
  </si>
  <si>
    <t>Niaguis</t>
  </si>
  <si>
    <t>Diattacounda</t>
  </si>
  <si>
    <t>Samine Escale</t>
  </si>
  <si>
    <t>Boutoupa Camara</t>
  </si>
  <si>
    <t>Niassya</t>
  </si>
  <si>
    <t>Total Road Length (km)</t>
  </si>
  <si>
    <t>Zinguinchor-Tanaff-Kolda</t>
  </si>
  <si>
    <t>Excluding Velingara</t>
  </si>
  <si>
    <t>Financial Risks</t>
  </si>
  <si>
    <t>ESA Costs (FCFA million)</t>
  </si>
  <si>
    <t>Incremental Net Benefit including Kolda Bridge &amp; ESA</t>
  </si>
  <si>
    <t>including ESA</t>
  </si>
  <si>
    <t>'Social Mitigation Costs'</t>
  </si>
  <si>
    <t>including 'Social Mitigation'</t>
  </si>
  <si>
    <t>Incremental Net Benefit including ESA</t>
  </si>
  <si>
    <t>USD</t>
  </si>
  <si>
    <t>Kolda Bridge Capital Cost (USD)</t>
  </si>
  <si>
    <t>Investment Cost per km (USD)</t>
  </si>
  <si>
    <t>Total Costs (FCFA million)</t>
  </si>
  <si>
    <t>(USD million)</t>
  </si>
  <si>
    <t>(34% applied to feasibility study costs to be comparable to diligenced costs)</t>
  </si>
  <si>
    <t>(34% applied to feasibility study costs to be comparable to  diligenced  costs)</t>
  </si>
  <si>
    <t xml:space="preserve">Total investment in Constant Values (USD million) </t>
  </si>
  <si>
    <t>Project Year</t>
  </si>
  <si>
    <t>Estimated Compact Administration Costs (USD million)</t>
  </si>
  <si>
    <t>Summary</t>
  </si>
  <si>
    <t>Description of Key Parameters</t>
  </si>
  <si>
    <t>Parameter Values</t>
  </si>
  <si>
    <t>User Input</t>
  </si>
  <si>
    <t>MCC Estimate</t>
  </si>
  <si>
    <t>Plausible Range</t>
  </si>
  <si>
    <t>Values Used in Computation</t>
  </si>
  <si>
    <t>Actual costs as a percentage of estimated costs</t>
  </si>
  <si>
    <t>Actual benefits as a percentage of estimated benefits</t>
  </si>
  <si>
    <t>80-120%</t>
  </si>
  <si>
    <t>Specific</t>
  </si>
  <si>
    <t>Economic Rate of Return</t>
  </si>
  <si>
    <t>Parameter Type</t>
  </si>
  <si>
    <t>In FCFA million unless otherwise specified</t>
  </si>
  <si>
    <t>Costs</t>
  </si>
  <si>
    <t>MILLENNIUM CHALLENGE CORPORATION</t>
  </si>
  <si>
    <t>Estimated exchange rate (FCFA/US)</t>
  </si>
  <si>
    <t>430-530</t>
  </si>
  <si>
    <t>ERR Calculation</t>
  </si>
  <si>
    <t>A brief summary of the project's key parameters and ERR calculations.</t>
  </si>
  <si>
    <t>PROJECT NAME</t>
  </si>
  <si>
    <t>SPREADSHEET VERSION</t>
  </si>
  <si>
    <t>Investment memo, final</t>
  </si>
  <si>
    <t>DATE</t>
  </si>
  <si>
    <t>AMOUNT OF MCC FUNDS</t>
  </si>
  <si>
    <t>PROJECT DESCRIPTION</t>
  </si>
  <si>
    <t>BENEFIT STREAMS INCLUDED IN ERR</t>
  </si>
  <si>
    <t>ESTIMATED ERR AND TIMELINE</t>
  </si>
  <si>
    <t>WORKSHEETS IN THIS FILE</t>
  </si>
  <si>
    <t>Activity Description</t>
  </si>
  <si>
    <t>One should read this sheet first, as it offers a summary of the activity, a list of components, and states the economic rationale for the project.</t>
  </si>
  <si>
    <t>ERR &amp; Sensitivity Analysis</t>
  </si>
  <si>
    <t>Senegal: Road RN6</t>
  </si>
  <si>
    <t>Road Rehabilitation Project</t>
  </si>
  <si>
    <t>National Road No. 6 (RN6) Activity</t>
  </si>
  <si>
    <t>Rehabilitating and upgrading RN6</t>
  </si>
  <si>
    <t>Incremental Institutional Savings and VOC savings</t>
  </si>
  <si>
    <t>SUMMARY</t>
  </si>
  <si>
    <t>COMPONENTS</t>
  </si>
  <si>
    <t>Specifically, MCC Funding will support</t>
  </si>
  <si>
    <t>1.</t>
  </si>
  <si>
    <t>2.</t>
  </si>
  <si>
    <t>Construction of irrigation canals and installation of pumps</t>
  </si>
  <si>
    <t>ECONOMIC RATIONALE</t>
  </si>
  <si>
    <t xml:space="preserve">MCC funding will be used to rehabilitate and upgrade approximately 256 kilometers of the RN6 road from Ziguinchor, and replace and upgrade associate structures of the RN6. </t>
  </si>
  <si>
    <t>Construction Costs. These costs include, without limitation, pavement strengthening, road widening, road safety improvements, and replacement or upgrading of associated structures, such as bridges and culverts, and any activity associated with the environmental management plan developed with respect to the Activity.</t>
  </si>
  <si>
    <t>ERR and Sensitivity analysis</t>
  </si>
  <si>
    <t>Last updated:  8/24/2007</t>
  </si>
  <si>
    <t>NOTES:</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</si>
  <si>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</si>
  <si>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All summary parameters set to initial values?</t>
  </si>
  <si>
    <t>MCC Estimated ERR (as of 6/18/2010):</t>
  </si>
  <si>
    <t>More Info</t>
  </si>
  <si>
    <t>User's Guide</t>
  </si>
  <si>
    <t>Operation Costs</t>
  </si>
  <si>
    <t>The analysis of the RN2 and the RN6 investments focuses on the estimation ofthe cost savings accruing to transport operators and consumers of transport services following the improvement of road surface conditions and geometries. This cost-savings approach, measuring primary effects that directly affect road users, is an approximate, proxy measure of the broad social benefits accruing to the general population served by the infrastructure and relating to changes in incomes8. The approach is employed to achieve an indirect measure of income effects arising from multiple sources that are both difficult to define with much precision, difficult to predict because of the dynamic and interacting responses that might be involved, and because there may be variable and overlapping sets of beneficiaries9. This is in contrast with the income benefits of the ilTigation investment, which is specifically defined around a single type of activity that is associated with a more or less identifiable group of participants.</t>
  </si>
  <si>
    <t>The primary effects that are considered include reduced vehicle operating costs, reduced travel
time, changes in maintenance costs, changes in accident rates, increases in the value of goods
moved, more frequent travel, and possibly enviromnental effects.</t>
  </si>
  <si>
    <t>The improved roads will benefit the users of non-motorized as well as motorized vehicles, including local agricultural producers, and commercial and passenger transport services. Information on the physical distribution of households within the project areas allows for a conservative, but rough, estimate of beneficiary numbers based on geographic proximity to the roads. Where possible, the analysis also discounts pass-through international traffic, where little savings might be captured locally in the economy.</t>
  </si>
  <si>
    <t>COSTS INCLUDED IN ERR (OTHER THAN COSTS BORNE BY MCC)</t>
  </si>
  <si>
    <t>Project Description</t>
  </si>
  <si>
    <t>LAST UPDATED: 6/18/2010</t>
  </si>
  <si>
    <t>Including Kolda Bridge Expansion</t>
  </si>
  <si>
    <t>11.3% over 20 years</t>
  </si>
  <si>
    <t>$186 million</t>
  </si>
  <si>
    <t>The analysis of the RN6 estimated returns by road segment. The segment from the regional
capital of Ziguinchor to Kolda (approximately 184 kilometers) is in a deplorable state, and in
principle, investments in the road can produce high benefits depending upon the volume of traffic.
Investment costs for the segment are high, however, and traffic volumes post-investment,
according to feasibility study results, would yield a return of about 7%. From a network
perspective, improvement of a longer segment from Ziguinchor to Kounkane (approximately 296
kilometers) would re-establish a much stronger cormection to the rest of the country as well as
strengthen regional road access. The estimated return to this investment is 12%, owing to the
levels of existing and expected traffic along the Kolda-Velingara segment, which are much higher
than the average for the Ziguinchor-Kolda segment (and much higher than the first sub-segment of
the Ziguinchor-Kolda road 14). This rate of return takes into account all costs, including the cost of
rehabilitating the bridge at Kolda.</t>
  </si>
  <si>
    <t>1, 0</t>
  </si>
  <si>
    <t>Inclusion of Kolda Bridge Expansion</t>
  </si>
  <si>
    <t>Present Value of Investment Costs (PPP USD million)</t>
  </si>
  <si>
    <t>Average base VOC savings per AADT per km (USD)</t>
  </si>
  <si>
    <t>QED</t>
  </si>
  <si>
    <t>Sum of the Cost/Benefit Stream</t>
  </si>
  <si>
    <t>Discounted Stream of Incremental Net Benefits (FCFA million)</t>
  </si>
  <si>
    <t>Validation Check</t>
  </si>
  <si>
    <t>Estimated Initial VOC Benefit (FCFA million)</t>
  </si>
  <si>
    <t>Sum of Net Benefit Discount Factors</t>
  </si>
  <si>
    <t>Sum Discounted Institutional Benefits</t>
  </si>
  <si>
    <t>Sum Discounted Costs</t>
  </si>
  <si>
    <t>Discounted Costs</t>
  </si>
  <si>
    <t>Traffic Benefits Discount factor</t>
  </si>
  <si>
    <t>Discounted Incremental Institutional Benefits (2009 FCFA million)</t>
  </si>
  <si>
    <t>Institutional Benefits Discount factor</t>
  </si>
  <si>
    <t>Incremental Institutional Savings (2009 FCFA million)</t>
  </si>
  <si>
    <t>Investment (2009 FCFA million)</t>
  </si>
  <si>
    <t>Return as estimated by the MFG-MCA feasibility study</t>
  </si>
  <si>
    <t>(MCA based on feasibility study)</t>
  </si>
  <si>
    <t>The following calculation simulates the annual total incremental net benefit for a USD 20 million investment having a 15.2% return</t>
  </si>
  <si>
    <t>Analysis Calibrated to the MCA Feasibility Study</t>
  </si>
  <si>
    <t>Kolda-Kounkane Segment</t>
  </si>
  <si>
    <t>(Source: URS June 2009 for Kolda-Velingara)</t>
  </si>
  <si>
    <t>RN6 Catchment and Rest of the Country Income Distribution</t>
  </si>
  <si>
    <t>Distribution of RN6 and Rest of Country Beneficiaries</t>
  </si>
  <si>
    <t>Approximations based on PovCal deciles (1991 info)</t>
  </si>
  <si>
    <t>WEO April 2009</t>
  </si>
  <si>
    <t>PPP/capita GDP</t>
  </si>
  <si>
    <t>Dristribution of income in rest of the country</t>
  </si>
  <si>
    <t xml:space="preserve">Distribution </t>
  </si>
  <si>
    <t xml:space="preserve">  Income</t>
  </si>
  <si>
    <t xml:space="preserve">  Beneficiaries</t>
  </si>
  <si>
    <t>Distribution of Income RN6 catchment</t>
  </si>
  <si>
    <t>Zinguinchor-Tanaff-Kolda-Kounkane</t>
  </si>
  <si>
    <t>Variation in Total Benefits</t>
  </si>
  <si>
    <t xml:space="preserve">Variation in Total Investment Costs </t>
  </si>
  <si>
    <t>Compact Administration Costs (USD million)</t>
  </si>
  <si>
    <t>excluding Kolda Bridge</t>
  </si>
  <si>
    <t>Average cost RN2 and RN3</t>
  </si>
  <si>
    <t>RN2 Cost (USD/km)</t>
  </si>
  <si>
    <t>Length of RN2 segment (km)</t>
  </si>
  <si>
    <t>Economic Analysis: Sensitivity Analysis</t>
  </si>
  <si>
    <t>Up to Kounkane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</si>
</sst>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00"/>
    <numFmt numFmtId="167" formatCode="0.000"/>
    <numFmt numFmtId="168" formatCode="0.0000%"/>
    <numFmt numFmtId="169" formatCode="0.000000000000000%"/>
    <numFmt numFmtId="170" formatCode="0.00,,"/>
    <numFmt numFmtId="171" formatCode="0.00000"/>
    <numFmt numFmtId="172" formatCode="0.0%"/>
    <numFmt numFmtId="173" formatCode="0.0,"/>
    <numFmt numFmtId="174" formatCode="0,"/>
    <numFmt numFmtId="175" formatCode="0,,"/>
    <numFmt numFmtId="176" formatCode="0.000000"/>
    <numFmt numFmtId="177" formatCode="0.0000000"/>
    <numFmt numFmtId="178" formatCode="&quot;$&quot;#,##0"/>
    <numFmt numFmtId="179" formatCode="0.0,,"/>
    <numFmt numFmtId="180" formatCode="_(* #,##0_);_(* \(#,##0\);_(* &quot;-&quot;??_);_(@_)"/>
    <numFmt numFmtId="181" formatCode="&quot;$&quot;#,##0.00"/>
    <numFmt numFmtId="182" formatCode="#,##0.000"/>
    <numFmt numFmtId="183" formatCode="0_);[Red]\(0\)"/>
    <numFmt numFmtId="184" formatCode="0.000%"/>
    <numFmt numFmtId="185" formatCode="0.000,,"/>
    <numFmt numFmtId="186" formatCode="0.0000,,"/>
    <numFmt numFmtId="187" formatCode="0.00000,,"/>
    <numFmt numFmtId="188" formatCode="0.000000,,"/>
    <numFmt numFmtId="189" formatCode="0.0000000,,"/>
    <numFmt numFmtId="190" formatCode="_-* #,##0.00\ _€_-;\-* #,##0.00\ _€_-;_-* &quot;-&quot;??\ _€_-;_-@_-"/>
    <numFmt numFmtId="191" formatCode="_-* #,##0\ _€_-;\-* #,##0\ _€_-;_-* &quot;-&quot;??\ _€_-;_-@_-"/>
    <numFmt numFmtId="192" formatCode="_([$$-409]* #,##0.00_);_([$$-409]* \(#,##0.00\);_([$$-409]* &quot;-&quot;??_);_(@_)"/>
    <numFmt numFmtId="193" formatCode="[$-409]dddd\,\ mmmm\ dd\,\ yyyy"/>
    <numFmt numFmtId="194" formatCode="[$-409]h:mm:ss\ AM/PM"/>
    <numFmt numFmtId="195" formatCode="[$-409]mmmm\ d\,\ yyyy;@"/>
    <numFmt numFmtId="196" formatCode="&quot;Yes&quot;;&quot;Yes&quot;;&quot;No&quot;"/>
    <numFmt numFmtId="197" formatCode="&quot;True&quot;;&quot;True&quot;;&quot;False&quot;"/>
    <numFmt numFmtId="198" formatCode="&quot;On&quot;;&quot;On&quot;;&quot;Off&quot;"/>
    <numFmt numFmtId="199" formatCode="[$€-2]\ #,##0.00_);[Red]\([$€-2]\ #,##0.00\)"/>
    <numFmt numFmtId="200" formatCode="#,##0.0_);\(#,##0.0\)"/>
    <numFmt numFmtId="201" formatCode="#,##0.0"/>
  </numFmts>
  <fonts count="71">
    <font>
      <sz val="10"/>
      <name val="Arial"/>
      <family val="0"/>
    </font>
    <font>
      <sz val="8"/>
      <name val="Arial"/>
      <family val="2"/>
    </font>
    <font>
      <sz val="8"/>
      <name val="Tahoma"/>
      <family val="2"/>
    </font>
    <font>
      <b/>
      <sz val="8"/>
      <name val="Tahoma"/>
      <family val="2"/>
    </font>
    <font>
      <b/>
      <sz val="10"/>
      <name val="Arial"/>
      <family val="2"/>
    </font>
    <font>
      <b/>
      <sz val="12"/>
      <name val="Arial"/>
      <family val="2"/>
    </font>
    <font>
      <b/>
      <sz val="16"/>
      <name val="Arial"/>
      <family val="2"/>
    </font>
    <font>
      <b/>
      <sz val="8"/>
      <name val="Arial"/>
      <family val="2"/>
    </font>
    <font>
      <b/>
      <sz val="11"/>
      <color indexed="8"/>
      <name val="Calibri"/>
      <family val="2"/>
    </font>
    <font>
      <sz val="12"/>
      <name val="Arial"/>
      <family val="2"/>
    </font>
    <font>
      <b/>
      <i/>
      <sz val="8"/>
      <name val="Arial"/>
      <family val="2"/>
    </font>
    <font>
      <i/>
      <sz val="8"/>
      <name val="Arial"/>
      <family val="2"/>
    </font>
    <font>
      <sz val="8"/>
      <color indexed="8"/>
      <name val="Arial"/>
      <family val="2"/>
    </font>
    <font>
      <sz val="8"/>
      <color indexed="8"/>
      <name val="Calibri"/>
      <family val="2"/>
    </font>
    <font>
      <u val="single"/>
      <sz val="10"/>
      <color indexed="12"/>
      <name val="Arial"/>
      <family val="2"/>
    </font>
    <font>
      <sz val="16"/>
      <name val="Arial"/>
      <family val="2"/>
    </font>
    <font>
      <b/>
      <sz val="14"/>
      <name val="Arial"/>
      <family val="2"/>
    </font>
    <font>
      <sz val="14"/>
      <name val="Arial"/>
      <family val="2"/>
    </font>
    <font>
      <sz val="10"/>
      <color indexed="23"/>
      <name val="Arial"/>
      <family val="2"/>
    </font>
    <font>
      <b/>
      <sz val="10"/>
      <color indexed="55"/>
      <name val="Arial"/>
      <family val="2"/>
    </font>
    <font>
      <b/>
      <sz val="10"/>
      <color indexed="12"/>
      <name val="Arial"/>
      <family val="2"/>
    </font>
    <font>
      <sz val="8"/>
      <color indexed="17"/>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9"/>
      <name val="Arial"/>
      <family val="2"/>
    </font>
    <font>
      <sz val="10"/>
      <color indexed="9"/>
      <name val="Arial"/>
      <family val="2"/>
    </font>
    <font>
      <sz val="10"/>
      <color indexed="10"/>
      <name val="Arial"/>
      <family val="2"/>
    </font>
    <font>
      <b/>
      <sz val="10"/>
      <color indexed="48"/>
      <name val="Arial"/>
      <family val="2"/>
    </font>
    <font>
      <sz val="8"/>
      <color indexed="57"/>
      <name val="Arial"/>
      <family val="2"/>
    </font>
    <font>
      <sz val="9.2"/>
      <color indexed="8"/>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rgb="FFFF0000"/>
      <name val="Arial"/>
      <family val="2"/>
    </font>
    <font>
      <b/>
      <sz val="10"/>
      <color rgb="FF3333FF"/>
      <name val="Arial"/>
      <family val="2"/>
    </font>
    <font>
      <sz val="8"/>
      <color theme="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9FF99"/>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thin">
        <color indexed="22"/>
      </left>
      <right style="thin">
        <color indexed="22"/>
      </right>
      <top style="thin">
        <color indexed="22"/>
      </top>
      <bottom style="thin">
        <color indexed="22"/>
      </bottom>
    </border>
    <border>
      <left style="thin"/>
      <right style="double"/>
      <top style="double"/>
      <bottom>
        <color indexed="63"/>
      </bottom>
    </border>
    <border>
      <left style="thin"/>
      <right style="double"/>
      <top>
        <color indexed="63"/>
      </top>
      <bottom style="thin"/>
    </border>
    <border>
      <left style="thin"/>
      <right style="double"/>
      <top style="thin"/>
      <bottom style="thin"/>
    </border>
    <border>
      <left style="thin"/>
      <right style="double"/>
      <top>
        <color indexed="63"/>
      </top>
      <bottom>
        <color indexed="63"/>
      </bottom>
    </border>
    <border>
      <left style="thin"/>
      <right style="double"/>
      <top style="thin"/>
      <bottom>
        <color indexed="63"/>
      </bottom>
    </border>
    <border>
      <left style="double"/>
      <right>
        <color indexed="63"/>
      </right>
      <top>
        <color indexed="63"/>
      </top>
      <bottom>
        <color indexed="63"/>
      </bottom>
    </border>
    <border>
      <left style="double"/>
      <right style="thin"/>
      <top style="thin"/>
      <bottom style="thin"/>
    </border>
    <border>
      <left style="double"/>
      <right>
        <color indexed="63"/>
      </right>
      <top style="thin"/>
      <bottom>
        <color indexed="63"/>
      </bottom>
    </border>
    <border>
      <left>
        <color indexed="63"/>
      </left>
      <right style="double"/>
      <top>
        <color indexed="63"/>
      </top>
      <bottom style="thin"/>
    </border>
    <border>
      <left style="double"/>
      <right style="thin"/>
      <top>
        <color indexed="63"/>
      </top>
      <bottom>
        <color indexed="63"/>
      </bottom>
    </border>
    <border>
      <left style="double"/>
      <right style="thin"/>
      <top>
        <color indexed="63"/>
      </top>
      <bottom style="double"/>
    </border>
    <border>
      <left style="thin"/>
      <right style="double"/>
      <top>
        <color indexed="63"/>
      </top>
      <bottom style="double"/>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double"/>
      <right style="thin"/>
      <top style="double"/>
      <bottom>
        <color indexed="63"/>
      </bottom>
    </border>
    <border>
      <left style="double"/>
      <right style="thin"/>
      <top>
        <color indexed="63"/>
      </top>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1">
    <xf numFmtId="0" fontId="0" fillId="0" borderId="0" xfId="0" applyAlignment="1">
      <alignment/>
    </xf>
    <xf numFmtId="0" fontId="0" fillId="0" borderId="10" xfId="0" applyBorder="1" applyAlignment="1">
      <alignment/>
    </xf>
    <xf numFmtId="1" fontId="0" fillId="0" borderId="0" xfId="0" applyNumberFormat="1" applyAlignment="1">
      <alignment/>
    </xf>
    <xf numFmtId="9" fontId="0" fillId="0" borderId="0" xfId="0" applyNumberFormat="1" applyAlignment="1">
      <alignment/>
    </xf>
    <xf numFmtId="165" fontId="0" fillId="0" borderId="0" xfId="0" applyNumberFormat="1" applyAlignment="1">
      <alignment/>
    </xf>
    <xf numFmtId="0" fontId="0" fillId="0" borderId="0" xfId="0" applyAlignment="1">
      <alignment horizontal="center"/>
    </xf>
    <xf numFmtId="16" fontId="0" fillId="0" borderId="0" xfId="0" applyNumberFormat="1" applyAlignment="1" quotePrefix="1">
      <alignment horizontal="center"/>
    </xf>
    <xf numFmtId="174" fontId="0" fillId="0" borderId="0" xfId="0" applyNumberFormat="1" applyAlignment="1">
      <alignment/>
    </xf>
    <xf numFmtId="164" fontId="0" fillId="0" borderId="0" xfId="0" applyNumberFormat="1" applyAlignment="1">
      <alignment/>
    </xf>
    <xf numFmtId="175" fontId="0" fillId="0" borderId="0" xfId="0" applyNumberFormat="1" applyAlignment="1">
      <alignment/>
    </xf>
    <xf numFmtId="2" fontId="0" fillId="0" borderId="0" xfId="0" applyNumberFormat="1" applyAlignment="1">
      <alignment/>
    </xf>
    <xf numFmtId="171" fontId="0" fillId="0" borderId="0" xfId="0" applyNumberForma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center"/>
    </xf>
    <xf numFmtId="0" fontId="8" fillId="0" borderId="0" xfId="0" applyFont="1" applyAlignment="1">
      <alignment/>
    </xf>
    <xf numFmtId="0" fontId="0" fillId="0" borderId="0" xfId="0" applyFont="1" applyAlignment="1">
      <alignment horizontal="center" wrapText="1"/>
    </xf>
    <xf numFmtId="167" fontId="0" fillId="0" borderId="0" xfId="0" applyNumberFormat="1" applyAlignment="1">
      <alignment/>
    </xf>
    <xf numFmtId="0" fontId="0" fillId="0" borderId="11" xfId="0" applyBorder="1" applyAlignment="1">
      <alignment horizontal="center"/>
    </xf>
    <xf numFmtId="0" fontId="4" fillId="0" borderId="0" xfId="0" applyFont="1" applyAlignment="1">
      <alignment/>
    </xf>
    <xf numFmtId="0" fontId="4" fillId="0" borderId="10" xfId="0" applyFont="1" applyBorder="1" applyAlignment="1">
      <alignment/>
    </xf>
    <xf numFmtId="173" fontId="0" fillId="0" borderId="0" xfId="0" applyNumberFormat="1" applyAlignment="1">
      <alignment/>
    </xf>
    <xf numFmtId="0" fontId="0" fillId="0" borderId="10" xfId="0" applyBorder="1" applyAlignment="1">
      <alignment horizontal="center"/>
    </xf>
    <xf numFmtId="183" fontId="0" fillId="0" borderId="0" xfId="0" applyNumberFormat="1" applyAlignment="1">
      <alignment/>
    </xf>
    <xf numFmtId="0" fontId="8" fillId="0" borderId="10" xfId="0" applyFont="1" applyBorder="1" applyAlignment="1">
      <alignment/>
    </xf>
    <xf numFmtId="16" fontId="0" fillId="0" borderId="10" xfId="0" applyNumberFormat="1" applyBorder="1" applyAlignment="1" quotePrefix="1">
      <alignment horizontal="center"/>
    </xf>
    <xf numFmtId="0" fontId="0" fillId="0" borderId="0" xfId="0" applyFont="1" applyAlignment="1">
      <alignment wrapText="1"/>
    </xf>
    <xf numFmtId="174" fontId="0" fillId="0" borderId="10" xfId="0" applyNumberFormat="1" applyBorder="1" applyAlignment="1">
      <alignment/>
    </xf>
    <xf numFmtId="179" fontId="0" fillId="0" borderId="0" xfId="0" applyNumberFormat="1" applyAlignment="1">
      <alignment/>
    </xf>
    <xf numFmtId="170" fontId="0" fillId="0" borderId="0" xfId="0" applyNumberFormat="1" applyAlignment="1">
      <alignment/>
    </xf>
    <xf numFmtId="175" fontId="0" fillId="0" borderId="10" xfId="0" applyNumberFormat="1" applyFill="1" applyBorder="1" applyAlignment="1">
      <alignment/>
    </xf>
    <xf numFmtId="0" fontId="0" fillId="0" borderId="10" xfId="0" applyFill="1" applyBorder="1" applyAlignment="1">
      <alignment/>
    </xf>
    <xf numFmtId="175" fontId="0" fillId="0" borderId="0" xfId="0" applyNumberFormat="1" applyFont="1" applyFill="1" applyAlignment="1">
      <alignment/>
    </xf>
    <xf numFmtId="0" fontId="0" fillId="0" borderId="0" xfId="0" applyFill="1" applyAlignment="1">
      <alignment/>
    </xf>
    <xf numFmtId="179" fontId="0" fillId="0" borderId="10" xfId="0" applyNumberFormat="1" applyBorder="1" applyAlignment="1">
      <alignment/>
    </xf>
    <xf numFmtId="175" fontId="0" fillId="0" borderId="10" xfId="0" applyNumberFormat="1" applyBorder="1" applyAlignment="1">
      <alignment/>
    </xf>
    <xf numFmtId="1" fontId="0" fillId="0" borderId="10" xfId="0" applyNumberFormat="1" applyBorder="1" applyAlignment="1">
      <alignment/>
    </xf>
    <xf numFmtId="0" fontId="0" fillId="0" borderId="0" xfId="65" applyFill="1">
      <alignment/>
      <protection/>
    </xf>
    <xf numFmtId="1" fontId="0" fillId="0" borderId="0" xfId="65" applyNumberFormat="1" applyFill="1">
      <alignment/>
      <protection/>
    </xf>
    <xf numFmtId="191" fontId="0" fillId="0" borderId="0" xfId="46" applyNumberFormat="1" applyFont="1" applyFill="1" applyAlignment="1">
      <alignment/>
    </xf>
    <xf numFmtId="167" fontId="0" fillId="0" borderId="0" xfId="65" applyNumberFormat="1" applyFill="1">
      <alignment/>
      <protection/>
    </xf>
    <xf numFmtId="1" fontId="0" fillId="33" borderId="0" xfId="65" applyNumberFormat="1" applyFill="1">
      <alignment/>
      <protection/>
    </xf>
    <xf numFmtId="1" fontId="0" fillId="0" borderId="0" xfId="0" applyNumberFormat="1" applyFill="1" applyAlignment="1">
      <alignment/>
    </xf>
    <xf numFmtId="1" fontId="0" fillId="0" borderId="0" xfId="65" applyNumberFormat="1" applyFill="1" applyAlignment="1">
      <alignment horizontal="right"/>
      <protection/>
    </xf>
    <xf numFmtId="0" fontId="8" fillId="0" borderId="0" xfId="0" applyFont="1" applyAlignment="1" quotePrefix="1">
      <alignment/>
    </xf>
    <xf numFmtId="0" fontId="0" fillId="0" borderId="0" xfId="0" applyAlignment="1">
      <alignment vertical="center"/>
    </xf>
    <xf numFmtId="0" fontId="0" fillId="0" borderId="0" xfId="0" applyBorder="1" applyAlignment="1">
      <alignment/>
    </xf>
    <xf numFmtId="0" fontId="4" fillId="0" borderId="0" xfId="0" applyFont="1" applyBorder="1" applyAlignment="1">
      <alignment/>
    </xf>
    <xf numFmtId="1" fontId="0" fillId="0" borderId="0" xfId="0" applyNumberFormat="1" applyFont="1" applyAlignment="1">
      <alignment/>
    </xf>
    <xf numFmtId="0" fontId="1" fillId="0" borderId="0" xfId="0" applyFont="1" applyAlignment="1">
      <alignment/>
    </xf>
    <xf numFmtId="0" fontId="1" fillId="0" borderId="0" xfId="66" applyFont="1" applyFill="1" applyBorder="1" applyAlignment="1">
      <alignment wrapText="1"/>
      <protection/>
    </xf>
    <xf numFmtId="0" fontId="1" fillId="0" borderId="0" xfId="0" applyFont="1" applyBorder="1" applyAlignment="1">
      <alignment/>
    </xf>
    <xf numFmtId="0" fontId="1" fillId="0" borderId="0" xfId="0" applyFont="1" applyBorder="1" applyAlignment="1">
      <alignment horizontal="center"/>
    </xf>
    <xf numFmtId="175" fontId="1" fillId="0" borderId="0" xfId="0" applyNumberFormat="1" applyFont="1" applyBorder="1" applyAlignment="1">
      <alignment horizontal="center"/>
    </xf>
    <xf numFmtId="175"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12" xfId="0" applyBorder="1" applyAlignment="1">
      <alignment/>
    </xf>
    <xf numFmtId="0" fontId="0" fillId="0" borderId="0" xfId="68" applyFont="1" applyAlignment="1">
      <alignment vertical="center"/>
    </xf>
    <xf numFmtId="0" fontId="6" fillId="0" borderId="0" xfId="68" applyFont="1" applyAlignment="1">
      <alignment vertical="center" wrapText="1"/>
    </xf>
    <xf numFmtId="0" fontId="0" fillId="0" borderId="0" xfId="68" applyFont="1" applyBorder="1" applyAlignment="1">
      <alignment vertical="center"/>
    </xf>
    <xf numFmtId="0" fontId="0" fillId="0" borderId="0" xfId="68" applyFont="1" applyAlignment="1">
      <alignment vertical="center" wrapText="1"/>
    </xf>
    <xf numFmtId="0" fontId="0" fillId="0" borderId="0" xfId="67" applyFont="1" applyAlignment="1">
      <alignment vertical="center"/>
      <protection/>
    </xf>
    <xf numFmtId="0" fontId="17" fillId="0" borderId="0" xfId="0" applyFont="1" applyAlignment="1">
      <alignment vertical="center"/>
    </xf>
    <xf numFmtId="0" fontId="17" fillId="0" borderId="0" xfId="0" applyFont="1" applyAlignment="1">
      <alignment/>
    </xf>
    <xf numFmtId="0" fontId="17" fillId="0" borderId="0" xfId="67" applyFont="1" applyAlignment="1">
      <alignment vertical="center" wrapText="1"/>
      <protection/>
    </xf>
    <xf numFmtId="0" fontId="0" fillId="0" borderId="0" xfId="67" applyFont="1" applyAlignment="1">
      <alignment horizontal="left" vertical="center" wrapText="1"/>
      <protection/>
    </xf>
    <xf numFmtId="0" fontId="0" fillId="0" borderId="13" xfId="68" applyFont="1" applyBorder="1" applyAlignment="1">
      <alignment vertical="center"/>
    </xf>
    <xf numFmtId="0" fontId="0" fillId="0" borderId="14" xfId="0" applyBorder="1" applyAlignment="1">
      <alignment/>
    </xf>
    <xf numFmtId="0" fontId="18" fillId="0" borderId="15" xfId="68" applyFont="1" applyBorder="1" applyAlignment="1">
      <alignment horizontal="center" vertical="center" wrapText="1"/>
    </xf>
    <xf numFmtId="0" fontId="19" fillId="0" borderId="15" xfId="68" applyFont="1" applyFill="1" applyBorder="1" applyAlignment="1">
      <alignment horizontal="center" vertical="center" wrapText="1"/>
    </xf>
    <xf numFmtId="0" fontId="4" fillId="0" borderId="16" xfId="67" applyFont="1" applyBorder="1" applyAlignment="1">
      <alignment horizontal="left" vertical="center"/>
      <protection/>
    </xf>
    <xf numFmtId="0" fontId="0" fillId="0" borderId="17" xfId="67" applyFont="1" applyBorder="1" applyAlignment="1">
      <alignment horizontal="left" vertical="center" wrapText="1"/>
      <protection/>
    </xf>
    <xf numFmtId="14" fontId="0" fillId="0" borderId="18" xfId="67" applyNumberFormat="1" applyFont="1" applyBorder="1" applyAlignment="1">
      <alignment horizontal="left" vertical="center" wrapText="1"/>
      <protection/>
    </xf>
    <xf numFmtId="49" fontId="0" fillId="0" borderId="18" xfId="47" applyNumberFormat="1" applyFont="1" applyBorder="1" applyAlignment="1">
      <alignment vertical="top"/>
    </xf>
    <xf numFmtId="0" fontId="0" fillId="0" borderId="18" xfId="67" applyFont="1" applyBorder="1" applyAlignment="1">
      <alignment vertical="center" wrapText="1"/>
      <protection/>
    </xf>
    <xf numFmtId="0" fontId="0" fillId="0" borderId="19" xfId="67" applyFont="1" applyBorder="1" applyAlignment="1">
      <alignment vertical="center" wrapText="1"/>
      <protection/>
    </xf>
    <xf numFmtId="0" fontId="0" fillId="0" borderId="20" xfId="67" applyFont="1" applyBorder="1" applyAlignment="1">
      <alignment vertical="center" wrapText="1"/>
      <protection/>
    </xf>
    <xf numFmtId="0" fontId="0" fillId="0" borderId="18" xfId="67" applyFont="1" applyBorder="1" applyAlignment="1">
      <alignment horizontal="left" vertical="center" wrapText="1"/>
      <protection/>
    </xf>
    <xf numFmtId="0" fontId="0" fillId="0" borderId="21" xfId="67" applyFont="1" applyBorder="1" applyAlignment="1">
      <alignment vertical="center" wrapText="1"/>
      <protection/>
    </xf>
    <xf numFmtId="0" fontId="0" fillId="0" borderId="22" xfId="67" applyFont="1" applyBorder="1" applyAlignment="1">
      <alignment vertical="center" wrapText="1"/>
      <protection/>
    </xf>
    <xf numFmtId="0" fontId="0" fillId="0" borderId="23" xfId="67" applyFont="1" applyBorder="1" applyAlignment="1">
      <alignment horizontal="left" vertical="center" wrapText="1"/>
      <protection/>
    </xf>
    <xf numFmtId="0" fontId="0" fillId="0" borderId="24" xfId="0" applyFont="1" applyBorder="1" applyAlignment="1">
      <alignment/>
    </xf>
    <xf numFmtId="0" fontId="0" fillId="0" borderId="23" xfId="67" applyFont="1" applyBorder="1" applyAlignment="1">
      <alignment vertical="center" wrapText="1"/>
      <protection/>
    </xf>
    <xf numFmtId="0" fontId="17" fillId="0" borderId="25" xfId="0" applyFont="1" applyBorder="1" applyAlignment="1">
      <alignment vertical="center"/>
    </xf>
    <xf numFmtId="0" fontId="17" fillId="0" borderId="26" xfId="0" applyFont="1" applyBorder="1" applyAlignment="1">
      <alignment vertical="center"/>
    </xf>
    <xf numFmtId="0" fontId="0" fillId="0" borderId="23" xfId="68" applyFont="1" applyBorder="1" applyAlignment="1">
      <alignment vertical="center" wrapText="1"/>
    </xf>
    <xf numFmtId="0" fontId="58" fillId="0" borderId="19" xfId="58" applyFont="1" applyBorder="1" applyAlignment="1" applyProtection="1">
      <alignment/>
      <protection/>
    </xf>
    <xf numFmtId="0" fontId="0" fillId="0" borderId="19" xfId="67" applyFont="1" applyFill="1" applyBorder="1" applyAlignment="1">
      <alignment vertical="center" wrapText="1"/>
      <protection/>
    </xf>
    <xf numFmtId="0" fontId="58" fillId="0" borderId="19" xfId="58" applyFont="1" applyBorder="1" applyAlignment="1" applyProtection="1">
      <alignment vertical="center" wrapText="1"/>
      <protection/>
    </xf>
    <xf numFmtId="0" fontId="0" fillId="0" borderId="19" xfId="67" applyFont="1" applyBorder="1" applyAlignment="1">
      <alignment horizontal="left" vertical="center" wrapText="1"/>
      <protection/>
    </xf>
    <xf numFmtId="0" fontId="14" fillId="0" borderId="19" xfId="59" applyFont="1" applyBorder="1" applyAlignment="1" applyProtection="1">
      <alignment vertical="center" wrapText="1"/>
      <protection/>
    </xf>
    <xf numFmtId="0" fontId="0" fillId="0" borderId="27" xfId="67" applyFont="1" applyFill="1" applyBorder="1" applyAlignment="1">
      <alignment vertical="center" wrapText="1"/>
      <protection/>
    </xf>
    <xf numFmtId="0" fontId="0" fillId="0" borderId="0" xfId="67" applyFont="1" applyAlignment="1">
      <alignment vertical="center" wrapText="1"/>
      <protection/>
    </xf>
    <xf numFmtId="49" fontId="0" fillId="0" borderId="0" xfId="0" applyNumberFormat="1" applyFont="1" applyAlignment="1">
      <alignment horizontal="right" vertical="top" wrapText="1"/>
    </xf>
    <xf numFmtId="0" fontId="0" fillId="0" borderId="0" xfId="67" applyNumberFormat="1" applyFont="1" applyAlignment="1">
      <alignment vertical="center" wrapText="1"/>
      <protection/>
    </xf>
    <xf numFmtId="0" fontId="0" fillId="0" borderId="0" xfId="67" applyFont="1" applyFill="1" applyAlignment="1">
      <alignment vertical="center" wrapText="1"/>
      <protection/>
    </xf>
    <xf numFmtId="0" fontId="9" fillId="0" borderId="28"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9" fontId="0" fillId="0" borderId="31" xfId="0" applyNumberFormat="1" applyFont="1" applyBorder="1" applyAlignment="1">
      <alignment horizontal="center" vertical="center"/>
    </xf>
    <xf numFmtId="0" fontId="0" fillId="0" borderId="31" xfId="0" applyFont="1" applyBorder="1" applyAlignment="1">
      <alignment horizontal="center" vertical="center"/>
    </xf>
    <xf numFmtId="9" fontId="0" fillId="34" borderId="31" xfId="0" applyNumberFormat="1" applyFont="1" applyFill="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9" fontId="0" fillId="0" borderId="32" xfId="0" applyNumberFormat="1" applyFont="1" applyBorder="1" applyAlignment="1">
      <alignment horizontal="center" vertical="center"/>
    </xf>
    <xf numFmtId="0" fontId="0" fillId="0" borderId="32" xfId="0" applyFont="1" applyBorder="1" applyAlignment="1">
      <alignment horizontal="center" vertical="center"/>
    </xf>
    <xf numFmtId="9" fontId="0" fillId="34" borderId="32" xfId="0" applyNumberFormat="1" applyFont="1" applyFill="1" applyBorder="1" applyAlignment="1">
      <alignment horizontal="center" vertical="center"/>
    </xf>
    <xf numFmtId="0" fontId="0" fillId="0" borderId="0" xfId="0" applyFont="1" applyBorder="1" applyAlignment="1">
      <alignment/>
    </xf>
    <xf numFmtId="0" fontId="0" fillId="35" borderId="0" xfId="0" applyFont="1" applyFill="1" applyAlignment="1">
      <alignment vertical="center"/>
    </xf>
    <xf numFmtId="0" fontId="0" fillId="0" borderId="0" xfId="0" applyFont="1" applyAlignment="1">
      <alignment vertical="center"/>
    </xf>
    <xf numFmtId="0" fontId="0" fillId="0" borderId="34" xfId="0" applyFont="1" applyBorder="1" applyAlignment="1">
      <alignment vertical="center"/>
    </xf>
    <xf numFmtId="0" fontId="0" fillId="0" borderId="34" xfId="0" applyNumberFormat="1" applyFont="1" applyBorder="1" applyAlignment="1">
      <alignment horizontal="center" vertical="center"/>
    </xf>
    <xf numFmtId="0" fontId="0" fillId="0" borderId="34" xfId="0" applyFont="1" applyBorder="1" applyAlignment="1">
      <alignment horizontal="center" vertical="center"/>
    </xf>
    <xf numFmtId="1" fontId="0" fillId="34" borderId="34" xfId="0" applyNumberFormat="1" applyFont="1" applyFill="1" applyBorder="1" applyAlignment="1">
      <alignment horizontal="center" vertical="center"/>
    </xf>
    <xf numFmtId="0" fontId="0" fillId="0" borderId="32" xfId="0" applyFont="1" applyFill="1" applyBorder="1" applyAlignment="1">
      <alignment vertical="center"/>
    </xf>
    <xf numFmtId="3" fontId="0" fillId="0" borderId="32" xfId="0" applyNumberFormat="1" applyFont="1" applyBorder="1" applyAlignment="1">
      <alignment horizontal="center" vertical="center"/>
    </xf>
    <xf numFmtId="3" fontId="0" fillId="34" borderId="32" xfId="0" applyNumberFormat="1" applyFont="1" applyFill="1" applyBorder="1" applyAlignment="1">
      <alignment horizontal="center" vertical="center"/>
    </xf>
    <xf numFmtId="172" fontId="66" fillId="36" borderId="35" xfId="0" applyNumberFormat="1" applyFont="1" applyFill="1" applyBorder="1" applyAlignment="1">
      <alignment horizontal="center"/>
    </xf>
    <xf numFmtId="0" fontId="4" fillId="0" borderId="35" xfId="68" applyFont="1" applyBorder="1" applyAlignment="1">
      <alignment horizontal="center" vertical="center"/>
    </xf>
    <xf numFmtId="0" fontId="58" fillId="0" borderId="29" xfId="58" applyFont="1" applyBorder="1" applyAlignment="1" applyProtection="1">
      <alignment horizontal="center"/>
      <protection/>
    </xf>
    <xf numFmtId="0" fontId="4" fillId="0" borderId="0" xfId="68" applyFont="1" applyAlignment="1">
      <alignment horizontal="left" vertical="center"/>
    </xf>
    <xf numFmtId="172" fontId="4" fillId="0" borderId="35" xfId="68" applyNumberFormat="1" applyFont="1" applyFill="1" applyBorder="1" applyAlignment="1">
      <alignment horizontal="center" vertical="center"/>
    </xf>
    <xf numFmtId="0" fontId="58" fillId="0" borderId="32" xfId="58" applyFont="1" applyBorder="1" applyAlignment="1" applyProtection="1">
      <alignment horizontal="center"/>
      <protection/>
    </xf>
    <xf numFmtId="0" fontId="67" fillId="35" borderId="0" xfId="0" applyFont="1" applyFill="1" applyAlignment="1">
      <alignment/>
    </xf>
    <xf numFmtId="0" fontId="68" fillId="0" borderId="0" xfId="0" applyFont="1" applyBorder="1" applyAlignment="1">
      <alignment/>
    </xf>
    <xf numFmtId="0" fontId="21" fillId="0" borderId="0" xfId="68" applyFont="1" applyAlignment="1">
      <alignment horizontal="right" vertical="center" wrapText="1"/>
    </xf>
    <xf numFmtId="9" fontId="69" fillId="37" borderId="29" xfId="0" applyNumberFormat="1" applyFont="1" applyFill="1" applyBorder="1" applyAlignment="1">
      <alignment horizontal="center" vertical="center"/>
    </xf>
    <xf numFmtId="9" fontId="69" fillId="37" borderId="32" xfId="0" applyNumberFormat="1" applyFont="1" applyFill="1" applyBorder="1" applyAlignment="1">
      <alignment horizontal="center" vertical="center"/>
    </xf>
    <xf numFmtId="9" fontId="69" fillId="37" borderId="28" xfId="0" applyNumberFormat="1" applyFont="1" applyFill="1" applyBorder="1" applyAlignment="1">
      <alignment horizontal="center" vertical="center"/>
    </xf>
    <xf numFmtId="1" fontId="69" fillId="37" borderId="34" xfId="0" applyNumberFormat="1" applyFont="1" applyFill="1" applyBorder="1" applyAlignment="1">
      <alignment horizontal="center" vertical="center"/>
    </xf>
    <xf numFmtId="0" fontId="4" fillId="0" borderId="0" xfId="0" applyFont="1" applyFill="1" applyAlignment="1">
      <alignment horizontal="left" vertical="center" wrapText="1"/>
    </xf>
    <xf numFmtId="9" fontId="0" fillId="35" borderId="0" xfId="0" applyNumberFormat="1" applyFont="1" applyFill="1" applyAlignment="1">
      <alignment vertical="center"/>
    </xf>
    <xf numFmtId="9" fontId="0" fillId="0" borderId="0" xfId="0" applyNumberFormat="1" applyFont="1" applyAlignment="1">
      <alignment/>
    </xf>
    <xf numFmtId="0" fontId="7" fillId="0" borderId="0" xfId="66" applyFont="1" applyFill="1" applyBorder="1" applyAlignment="1">
      <alignment wrapText="1"/>
      <protection/>
    </xf>
    <xf numFmtId="0" fontId="7" fillId="0" borderId="0" xfId="66" applyFont="1" applyFill="1" applyBorder="1" applyAlignment="1">
      <alignment horizontal="center"/>
      <protection/>
    </xf>
    <xf numFmtId="175" fontId="1" fillId="0" borderId="0" xfId="66" applyNumberFormat="1" applyFont="1" applyFill="1" applyBorder="1" applyAlignment="1">
      <alignment horizontal="center"/>
      <protection/>
    </xf>
    <xf numFmtId="44" fontId="7" fillId="0" borderId="0" xfId="66" applyNumberFormat="1" applyFont="1" applyFill="1" applyBorder="1" applyAlignment="1">
      <alignment horizontal="center"/>
      <protection/>
    </xf>
    <xf numFmtId="0" fontId="10" fillId="0" borderId="0" xfId="66" applyFont="1" applyFill="1" applyBorder="1" applyAlignment="1">
      <alignment wrapText="1"/>
      <protection/>
    </xf>
    <xf numFmtId="0" fontId="11" fillId="0" borderId="0" xfId="0" applyFont="1" applyBorder="1" applyAlignment="1">
      <alignment/>
    </xf>
    <xf numFmtId="179" fontId="1" fillId="0" borderId="0" xfId="0" applyNumberFormat="1" applyFont="1" applyBorder="1" applyAlignment="1">
      <alignment/>
    </xf>
    <xf numFmtId="175" fontId="1" fillId="0" borderId="0" xfId="0" applyNumberFormat="1" applyFont="1" applyBorder="1" applyAlignment="1">
      <alignment/>
    </xf>
    <xf numFmtId="0" fontId="11" fillId="0" borderId="0" xfId="66" applyFont="1" applyFill="1" applyBorder="1" applyAlignment="1">
      <alignment wrapText="1"/>
      <protection/>
    </xf>
    <xf numFmtId="0" fontId="1" fillId="0" borderId="0" xfId="66" applyFont="1" applyFill="1" applyBorder="1">
      <alignment/>
      <protection/>
    </xf>
    <xf numFmtId="0" fontId="12" fillId="0" borderId="0" xfId="0" applyFont="1" applyBorder="1" applyAlignment="1">
      <alignment/>
    </xf>
    <xf numFmtId="0" fontId="7" fillId="0" borderId="0" xfId="0" applyFont="1" applyBorder="1" applyAlignment="1">
      <alignment/>
    </xf>
    <xf numFmtId="0" fontId="10" fillId="0" borderId="0" xfId="0" applyFont="1" applyBorder="1" applyAlignment="1">
      <alignment/>
    </xf>
    <xf numFmtId="175" fontId="11" fillId="0" borderId="0" xfId="0" applyNumberFormat="1" applyFont="1" applyBorder="1" applyAlignment="1">
      <alignment/>
    </xf>
    <xf numFmtId="0" fontId="13" fillId="0" borderId="0" xfId="0" applyFont="1" applyBorder="1" applyAlignment="1">
      <alignment/>
    </xf>
    <xf numFmtId="172" fontId="7" fillId="0" borderId="0" xfId="0" applyNumberFormat="1" applyFont="1" applyBorder="1" applyAlignment="1">
      <alignment/>
    </xf>
    <xf numFmtId="175" fontId="7" fillId="0" borderId="0" xfId="0" applyNumberFormat="1" applyFont="1" applyBorder="1" applyAlignment="1">
      <alignment/>
    </xf>
    <xf numFmtId="10" fontId="1" fillId="0" borderId="0" xfId="0" applyNumberFormat="1" applyFont="1" applyBorder="1" applyAlignment="1">
      <alignment/>
    </xf>
    <xf numFmtId="0" fontId="70" fillId="0" borderId="0" xfId="0" applyFont="1" applyBorder="1" applyAlignment="1">
      <alignment horizontal="right"/>
    </xf>
    <xf numFmtId="9" fontId="1" fillId="0" borderId="0" xfId="0" applyNumberFormat="1" applyFont="1" applyAlignment="1">
      <alignment/>
    </xf>
    <xf numFmtId="3" fontId="69" fillId="37" borderId="32" xfId="0" applyNumberFormat="1" applyFont="1" applyFill="1" applyBorder="1" applyAlignment="1" quotePrefix="1">
      <alignment horizontal="center" vertical="center"/>
    </xf>
    <xf numFmtId="2" fontId="0" fillId="0" borderId="0" xfId="75" applyNumberFormat="1" applyFont="1" applyAlignment="1">
      <alignment/>
    </xf>
    <xf numFmtId="9" fontId="0" fillId="0" borderId="0" xfId="75" applyFont="1" applyAlignment="1">
      <alignment/>
    </xf>
    <xf numFmtId="172" fontId="0" fillId="0" borderId="0" xfId="75" applyNumberFormat="1" applyFont="1" applyAlignment="1">
      <alignment/>
    </xf>
    <xf numFmtId="175" fontId="0" fillId="33" borderId="0" xfId="0" applyNumberFormat="1" applyFill="1" applyAlignment="1">
      <alignment/>
    </xf>
    <xf numFmtId="9" fontId="0" fillId="0" borderId="10" xfId="75" applyFont="1" applyBorder="1" applyAlignment="1">
      <alignment/>
    </xf>
    <xf numFmtId="164" fontId="0" fillId="0" borderId="0" xfId="75" applyNumberFormat="1" applyFont="1" applyAlignment="1">
      <alignment/>
    </xf>
    <xf numFmtId="172" fontId="0" fillId="33" borderId="0" xfId="75" applyNumberFormat="1" applyFont="1" applyFill="1" applyAlignment="1">
      <alignment/>
    </xf>
    <xf numFmtId="0" fontId="0" fillId="38" borderId="0" xfId="0" applyFill="1" applyAlignment="1">
      <alignment/>
    </xf>
    <xf numFmtId="9" fontId="0" fillId="0" borderId="0" xfId="75" applyAlignment="1">
      <alignment/>
    </xf>
    <xf numFmtId="10" fontId="0" fillId="0" borderId="0" xfId="75" applyNumberFormat="1" applyFont="1" applyAlignment="1">
      <alignment/>
    </xf>
    <xf numFmtId="0" fontId="6" fillId="0" borderId="0" xfId="68" applyFont="1" applyAlignment="1">
      <alignment horizontal="center" vertical="center" wrapText="1"/>
    </xf>
    <xf numFmtId="0" fontId="0" fillId="0" borderId="36" xfId="68" applyFont="1" applyBorder="1" applyAlignment="1">
      <alignment horizontal="left" vertical="center" wrapText="1"/>
    </xf>
    <xf numFmtId="0" fontId="0" fillId="0" borderId="37" xfId="68" applyFont="1" applyBorder="1" applyAlignment="1">
      <alignment horizontal="left" vertical="center" wrapText="1"/>
    </xf>
    <xf numFmtId="0" fontId="15" fillId="0" borderId="0" xfId="68" applyFont="1" applyAlignment="1">
      <alignment horizontal="left" vertical="center" wrapText="1"/>
    </xf>
    <xf numFmtId="0" fontId="6" fillId="0" borderId="0" xfId="68" applyFont="1" applyAlignment="1">
      <alignment horizontal="left" vertical="center" wrapText="1"/>
    </xf>
    <xf numFmtId="0" fontId="21" fillId="0" borderId="0" xfId="68" applyFont="1" applyAlignment="1">
      <alignment horizontal="right" vertical="center" wrapText="1"/>
    </xf>
    <xf numFmtId="0" fontId="4" fillId="0" borderId="0" xfId="67" applyFont="1" applyAlignment="1">
      <alignment horizontal="left" vertical="center" wrapText="1"/>
      <protection/>
    </xf>
    <xf numFmtId="0" fontId="0" fillId="0" borderId="0" xfId="67" applyNumberFormat="1" applyFont="1" applyFill="1" applyAlignment="1">
      <alignment horizontal="left" vertical="center" wrapText="1"/>
      <protection/>
    </xf>
    <xf numFmtId="0" fontId="17" fillId="0" borderId="0" xfId="68" applyFont="1" applyAlignment="1">
      <alignment horizontal="left" vertical="center" wrapText="1"/>
    </xf>
    <xf numFmtId="0" fontId="0" fillId="0" borderId="0" xfId="67" applyNumberFormat="1" applyFont="1" applyAlignment="1">
      <alignment horizontal="center" vertical="center" wrapText="1"/>
      <protection/>
    </xf>
    <xf numFmtId="0" fontId="0" fillId="0" borderId="0" xfId="67" applyFont="1" applyAlignment="1">
      <alignment horizontal="left" vertical="center" wrapText="1"/>
      <protection/>
    </xf>
    <xf numFmtId="49" fontId="4" fillId="0" borderId="0" xfId="0" applyNumberFormat="1" applyFont="1" applyAlignment="1">
      <alignment horizontal="left" vertical="top" wrapText="1"/>
    </xf>
    <xf numFmtId="0" fontId="0" fillId="0" borderId="0" xfId="67" applyFont="1" applyFill="1" applyAlignment="1">
      <alignment horizontal="left" vertical="center" wrapText="1"/>
      <protection/>
    </xf>
    <xf numFmtId="0" fontId="0" fillId="0" borderId="0" xfId="67" applyNumberFormat="1" applyFont="1" applyAlignment="1">
      <alignment horizontal="left" vertical="center" wrapText="1"/>
      <protection/>
    </xf>
    <xf numFmtId="0" fontId="6" fillId="0" borderId="0" xfId="68" applyFont="1" applyAlignment="1">
      <alignment horizontal="left" vertical="center"/>
    </xf>
    <xf numFmtId="0" fontId="0" fillId="0" borderId="0" xfId="0" applyAlignment="1">
      <alignment horizontal="left" vertical="center"/>
    </xf>
    <xf numFmtId="0" fontId="16" fillId="0" borderId="0" xfId="68" applyFont="1" applyBorder="1" applyAlignment="1">
      <alignment horizontal="left" vertical="center" wrapText="1"/>
    </xf>
    <xf numFmtId="0" fontId="0" fillId="39" borderId="21" xfId="68" applyFont="1" applyFill="1" applyBorder="1" applyAlignment="1">
      <alignment horizontal="left" vertical="center" wrapText="1"/>
    </xf>
    <xf numFmtId="0" fontId="0" fillId="39" borderId="0" xfId="68" applyFont="1" applyFill="1" applyBorder="1" applyAlignment="1">
      <alignment horizontal="left" vertical="center" wrapText="1"/>
    </xf>
    <xf numFmtId="0" fontId="0" fillId="39" borderId="38" xfId="68" applyFont="1" applyFill="1" applyBorder="1" applyAlignment="1">
      <alignment horizontal="left" vertical="center" wrapText="1"/>
    </xf>
    <xf numFmtId="0" fontId="0" fillId="39" borderId="39" xfId="68" applyFont="1" applyFill="1" applyBorder="1" applyAlignment="1">
      <alignment horizontal="left" vertical="center" wrapText="1"/>
    </xf>
    <xf numFmtId="0" fontId="0" fillId="39" borderId="40" xfId="68" applyFont="1" applyFill="1" applyBorder="1" applyAlignment="1">
      <alignment horizontal="left" vertical="center" wrapText="1"/>
    </xf>
    <xf numFmtId="0" fontId="0" fillId="39" borderId="41" xfId="68" applyFont="1" applyFill="1" applyBorder="1" applyAlignment="1">
      <alignment horizontal="left" vertical="center" wrapText="1"/>
    </xf>
    <xf numFmtId="0" fontId="5" fillId="0" borderId="42" xfId="0" applyFont="1" applyBorder="1" applyAlignment="1">
      <alignment horizontal="center"/>
    </xf>
    <xf numFmtId="0" fontId="9" fillId="0" borderId="11" xfId="0" applyFont="1" applyBorder="1" applyAlignment="1">
      <alignment horizontal="center"/>
    </xf>
    <xf numFmtId="0" fontId="9" fillId="0" borderId="43" xfId="0" applyFont="1" applyBorder="1" applyAlignment="1">
      <alignment horizontal="center"/>
    </xf>
    <xf numFmtId="0" fontId="5" fillId="0" borderId="34"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5" fillId="0" borderId="0" xfId="0" applyFont="1" applyAlignment="1">
      <alignment horizontal="center"/>
    </xf>
    <xf numFmtId="0" fontId="70" fillId="0" borderId="0" xfId="0" applyFont="1" applyBorder="1" applyAlignment="1">
      <alignment horizontal="right"/>
    </xf>
    <xf numFmtId="0" fontId="0" fillId="0" borderId="10" xfId="0" applyFont="1" applyBorder="1" applyAlignment="1">
      <alignment horizontal="center" wrapText="1"/>
    </xf>
    <xf numFmtId="0" fontId="0" fillId="0" borderId="10" xfId="0" applyBorder="1" applyAlignment="1">
      <alignment horizontal="center" wrapText="1"/>
    </xf>
    <xf numFmtId="1" fontId="5" fillId="0" borderId="0" xfId="65" applyNumberFormat="1" applyFont="1" applyFill="1" applyAlignment="1">
      <alignment horizontal="center"/>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_mcc-err-namibia_mkt" xfId="59"/>
    <cellStyle name="Input" xfId="60"/>
    <cellStyle name="Linked Cell" xfId="61"/>
    <cellStyle name="Neutral" xfId="62"/>
    <cellStyle name="Normal 2" xfId="63"/>
    <cellStyle name="Normal 2 2" xfId="64"/>
    <cellStyle name="Normal 3" xfId="65"/>
    <cellStyle name="Normal 4" xfId="66"/>
    <cellStyle name="Normal_Lesotho - Health - v2" xfId="67"/>
    <cellStyle name="Normal_mcc-err-namibia_mkt" xfId="68"/>
    <cellStyle name="Note" xfId="69"/>
    <cellStyle name="Output" xfId="70"/>
    <cellStyle name="Percent" xfId="71"/>
    <cellStyle name="Percent 2" xfId="72"/>
    <cellStyle name="Percent 2 2" xfId="73"/>
    <cellStyle name="Percent 3" xfId="74"/>
    <cellStyle name="Percent 4" xfId="75"/>
    <cellStyle name="Title" xfId="76"/>
    <cellStyle name="Total" xfId="77"/>
    <cellStyle name="Warning Text" xfId="78"/>
  </cellStyles>
  <dxfs count="2">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8075"/>
          <c:w val="0.93125"/>
          <c:h val="0.877"/>
        </c:manualLayout>
      </c:layout>
      <c:areaChart>
        <c:grouping val="stacked"/>
        <c:varyColors val="0"/>
        <c:ser>
          <c:idx val="0"/>
          <c:order val="0"/>
          <c:tx>
            <c:v>FCFA million</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val>
            <c:numRef>
              <c:f>'ERR Calculation'!$C$24:$V$24</c:f>
              <c:numCache>
                <c:ptCount val="20"/>
                <c:pt idx="0">
                  <c:v>-26720340206.546272</c:v>
                </c:pt>
                <c:pt idx="1">
                  <c:v>-32456953517.898262</c:v>
                </c:pt>
                <c:pt idx="2">
                  <c:v>-47404891169.390114</c:v>
                </c:pt>
                <c:pt idx="3">
                  <c:v>11188166627.793102</c:v>
                </c:pt>
                <c:pt idx="4">
                  <c:v>11956825908.408947</c:v>
                </c:pt>
                <c:pt idx="5">
                  <c:v>14308233776.073181</c:v>
                </c:pt>
                <c:pt idx="6">
                  <c:v>15143983561.39384</c:v>
                </c:pt>
                <c:pt idx="7">
                  <c:v>15153325706.7895</c:v>
                </c:pt>
                <c:pt idx="8">
                  <c:v>16065020848.193182</c:v>
                </c:pt>
                <c:pt idx="9">
                  <c:v>16046494986.531286</c:v>
                </c:pt>
                <c:pt idx="10">
                  <c:v>17043398777.465689</c:v>
                </c:pt>
                <c:pt idx="11">
                  <c:v>16992838858.066582</c:v>
                </c:pt>
                <c:pt idx="12">
                  <c:v>18084757265.331654</c:v>
                </c:pt>
                <c:pt idx="13">
                  <c:v>18322846191.47622</c:v>
                </c:pt>
                <c:pt idx="14">
                  <c:v>18867741150.15897</c:v>
                </c:pt>
                <c:pt idx="15">
                  <c:v>19429473423.651424</c:v>
                </c:pt>
                <c:pt idx="16">
                  <c:v>20008701785.775455</c:v>
                </c:pt>
                <c:pt idx="17">
                  <c:v>20605990894.501152</c:v>
                </c:pt>
                <c:pt idx="18">
                  <c:v>21221924339.822666</c:v>
                </c:pt>
                <c:pt idx="19">
                  <c:v>21857105942.58896</c:v>
                </c:pt>
              </c:numCache>
            </c:numRef>
          </c:val>
        </c:ser>
        <c:axId val="65384691"/>
        <c:axId val="51591308"/>
      </c:areaChart>
      <c:catAx>
        <c:axId val="65384691"/>
        <c:scaling>
          <c:orientation val="minMax"/>
        </c:scaling>
        <c:axPos val="b"/>
        <c:delete val="0"/>
        <c:numFmt formatCode="General" sourceLinked="1"/>
        <c:majorTickMark val="none"/>
        <c:minorTickMark val="none"/>
        <c:tickLblPos val="nextTo"/>
        <c:spPr>
          <a:ln w="3175">
            <a:solidFill>
              <a:srgbClr val="808080"/>
            </a:solidFill>
          </a:ln>
        </c:spPr>
        <c:crossAx val="51591308"/>
        <c:crosses val="autoZero"/>
        <c:auto val="1"/>
        <c:lblOffset val="100"/>
        <c:tickLblSkip val="1"/>
        <c:noMultiLvlLbl val="0"/>
      </c:catAx>
      <c:valAx>
        <c:axId val="51591308"/>
        <c:scaling>
          <c:orientation val="minMax"/>
        </c:scaling>
        <c:axPos val="l"/>
        <c:delete val="0"/>
        <c:numFmt formatCode="General" sourceLinked="1"/>
        <c:majorTickMark val="none"/>
        <c:minorTickMark val="none"/>
        <c:tickLblPos val="nextTo"/>
        <c:spPr>
          <a:ln w="3175">
            <a:solidFill>
              <a:srgbClr val="808080"/>
            </a:solidFill>
          </a:ln>
        </c:spPr>
        <c:crossAx val="65384691"/>
        <c:crossesAt val="1"/>
        <c:crossBetween val="midCat"/>
        <c:dispUnits/>
      </c:valAx>
      <c:spPr>
        <a:solidFill>
          <a:srgbClr val="FFFFFF"/>
        </a:solidFill>
        <a:ln w="3175">
          <a:noFill/>
        </a:ln>
      </c:spPr>
    </c:plotArea>
    <c:legend>
      <c:legendPos val="b"/>
      <c:layout>
        <c:manualLayout>
          <c:xMode val="edge"/>
          <c:yMode val="edge"/>
          <c:x val="0.4385"/>
          <c:y val="0.9135"/>
          <c:w val="0.12175"/>
          <c:h val="0.06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2181225</xdr:colOff>
      <xdr:row>4</xdr:row>
      <xdr:rowOff>76200</xdr:rowOff>
    </xdr:to>
    <xdr:pic>
      <xdr:nvPicPr>
        <xdr:cNvPr id="1" name="Picture 1" descr="identity - signature - horizontal - 66 point"/>
        <xdr:cNvPicPr preferRelativeResize="1">
          <a:picLocks noChangeAspect="1"/>
        </xdr:cNvPicPr>
      </xdr:nvPicPr>
      <xdr:blipFill>
        <a:blip r:embed="rId1"/>
        <a:stretch>
          <a:fillRect/>
        </a:stretch>
      </xdr:blipFill>
      <xdr:spPr>
        <a:xfrm>
          <a:off x="38100" y="66675"/>
          <a:ext cx="21431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30</xdr:row>
      <xdr:rowOff>190500</xdr:rowOff>
    </xdr:from>
    <xdr:to>
      <xdr:col>2</xdr:col>
      <xdr:colOff>1914525</xdr:colOff>
      <xdr:row>30</xdr:row>
      <xdr:rowOff>342900</xdr:rowOff>
    </xdr:to>
    <xdr:pic>
      <xdr:nvPicPr>
        <xdr:cNvPr id="1" name="Picture 1" descr="MCC horizontal"/>
        <xdr:cNvPicPr preferRelativeResize="1">
          <a:picLocks noChangeAspect="1"/>
        </xdr:cNvPicPr>
      </xdr:nvPicPr>
      <xdr:blipFill>
        <a:blip r:embed="rId1"/>
        <a:stretch>
          <a:fillRect/>
        </a:stretch>
      </xdr:blipFill>
      <xdr:spPr>
        <a:xfrm>
          <a:off x="676275" y="10287000"/>
          <a:ext cx="2171700" cy="1524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0.033</cdr:y>
    </cdr:from>
    <cdr:to>
      <cdr:x>0.9065</cdr:x>
      <cdr:y>0.1265</cdr:y>
    </cdr:to>
    <cdr:sp fLocksText="0">
      <cdr:nvSpPr>
        <cdr:cNvPr id="1" name="TextBox 1"/>
        <cdr:cNvSpPr txBox="1">
          <a:spLocks noChangeArrowheads="1"/>
        </cdr:cNvSpPr>
      </cdr:nvSpPr>
      <cdr:spPr>
        <a:xfrm>
          <a:off x="1352550" y="95250"/>
          <a:ext cx="5181600"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0.15725</cdr:x>
      <cdr:y>0.01825</cdr:y>
    </cdr:from>
    <cdr:to>
      <cdr:x>0.942</cdr:x>
      <cdr:y>0.1855</cdr:y>
    </cdr:to>
    <cdr:sp>
      <cdr:nvSpPr>
        <cdr:cNvPr id="2" name="TextBox 2"/>
        <cdr:cNvSpPr txBox="1">
          <a:spLocks noChangeArrowheads="1"/>
        </cdr:cNvSpPr>
      </cdr:nvSpPr>
      <cdr:spPr>
        <a:xfrm>
          <a:off x="1133475" y="47625"/>
          <a:ext cx="5657850" cy="514350"/>
        </a:xfrm>
        <a:prstGeom prst="rect">
          <a:avLst/>
        </a:prstGeom>
        <a:noFill/>
        <a:ln w="9525" cmpd="sng">
          <a:noFill/>
        </a:ln>
      </cdr:spPr>
      <cdr:txBody>
        <a:bodyPr vertOverflow="clip" wrap="square"/>
        <a:p>
          <a:pPr algn="ctr">
            <a:defRPr/>
          </a:pPr>
          <a:r>
            <a:rPr lang="en-US" cap="none" sz="1100" b="1" i="0" u="none" baseline="0">
              <a:solidFill>
                <a:srgbClr val="333399"/>
              </a:solidFill>
              <a:latin typeface="Calibri"/>
              <a:ea typeface="Calibri"/>
              <a:cs typeface="Calibri"/>
            </a:rPr>
            <a:t>Undiscounted Net Annual Benefits of Senegal's</a:t>
          </a:r>
          <a:r>
            <a:rPr lang="en-US" cap="none" sz="1100" b="1" i="0" u="none" baseline="0">
              <a:solidFill>
                <a:srgbClr val="333399"/>
              </a:solidFill>
              <a:latin typeface="Calibri"/>
              <a:ea typeface="Calibri"/>
              <a:cs typeface="Calibri"/>
            </a:rPr>
            <a:t> RN6 Road Rehabilitation Project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30</xdr:row>
      <xdr:rowOff>66675</xdr:rowOff>
    </xdr:from>
    <xdr:to>
      <xdr:col>5</xdr:col>
      <xdr:colOff>1152525</xdr:colOff>
      <xdr:row>49</xdr:row>
      <xdr:rowOff>47625</xdr:rowOff>
    </xdr:to>
    <xdr:graphicFrame>
      <xdr:nvGraphicFramePr>
        <xdr:cNvPr id="1" name="Chart 1"/>
        <xdr:cNvGraphicFramePr/>
      </xdr:nvGraphicFramePr>
      <xdr:xfrm>
        <a:off x="2381250" y="7229475"/>
        <a:ext cx="7210425" cy="30575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43</xdr:row>
      <xdr:rowOff>152400</xdr:rowOff>
    </xdr:from>
    <xdr:to>
      <xdr:col>5</xdr:col>
      <xdr:colOff>619125</xdr:colOff>
      <xdr:row>45</xdr:row>
      <xdr:rowOff>19050</xdr:rowOff>
    </xdr:to>
    <xdr:sp>
      <xdr:nvSpPr>
        <xdr:cNvPr id="2" name="TextBox 3"/>
        <xdr:cNvSpPr txBox="1">
          <a:spLocks noChangeArrowheads="1"/>
        </xdr:cNvSpPr>
      </xdr:nvSpPr>
      <xdr:spPr>
        <a:xfrm>
          <a:off x="8524875" y="9420225"/>
          <a:ext cx="533400" cy="190500"/>
        </a:xfrm>
        <a:prstGeom prst="rect">
          <a:avLst/>
        </a:prstGeom>
        <a:solidFill>
          <a:srgbClr val="FFFFFF"/>
        </a:solidFill>
        <a:ln w="9525" cmpd="sng">
          <a:noFill/>
        </a:ln>
      </xdr:spPr>
      <xdr:txBody>
        <a:bodyPr vertOverflow="clip" wrap="square" anchor="b"/>
        <a:p>
          <a:pPr algn="l">
            <a:defRPr/>
          </a:pPr>
          <a:r>
            <a:rPr lang="en-US" cap="none" sz="1100" b="0" i="0" u="none" baseline="0">
              <a:solidFill>
                <a:srgbClr val="000000"/>
              </a:solidFill>
            </a:rPr>
            <a:t>Years</a:t>
          </a:r>
        </a:p>
      </xdr:txBody>
    </xdr:sp>
    <xdr:clientData/>
  </xdr:twoCellAnchor>
  <xdr:twoCellAnchor editAs="oneCell">
    <xdr:from>
      <xdr:col>5</xdr:col>
      <xdr:colOff>942975</xdr:colOff>
      <xdr:row>2</xdr:row>
      <xdr:rowOff>104775</xdr:rowOff>
    </xdr:from>
    <xdr:to>
      <xdr:col>6</xdr:col>
      <xdr:colOff>1666875</xdr:colOff>
      <xdr:row>3</xdr:row>
      <xdr:rowOff>104775</xdr:rowOff>
    </xdr:to>
    <xdr:pic>
      <xdr:nvPicPr>
        <xdr:cNvPr id="3" name="Picture 4" descr="MCC horizontal"/>
        <xdr:cNvPicPr preferRelativeResize="1">
          <a:picLocks noChangeAspect="1"/>
        </xdr:cNvPicPr>
      </xdr:nvPicPr>
      <xdr:blipFill>
        <a:blip r:embed="rId2"/>
        <a:stretch>
          <a:fillRect/>
        </a:stretch>
      </xdr:blipFill>
      <xdr:spPr>
        <a:xfrm>
          <a:off x="9382125" y="409575"/>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arterae\Local%20Settings\Temporary%20Internet%20Files\Content.Outlook\WG5508DK\Sen_Econ_Roads_RN6_2_4_DD_Revise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ummary_ZTK"/>
    </sheetNames>
    <definedNames>
      <definedName name="HypothBene"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25"/>
  <sheetViews>
    <sheetView showGridLines="0" zoomScale="70" zoomScaleNormal="70" zoomScalePageLayoutView="0" workbookViewId="0" topLeftCell="A1">
      <selection activeCell="A1" sqref="A1"/>
    </sheetView>
  </sheetViews>
  <sheetFormatPr defaultColWidth="9.140625" defaultRowHeight="12.75"/>
  <cols>
    <col min="1" max="1" width="48.28125" style="45" customWidth="1"/>
    <col min="2" max="2" width="107.28125" style="45" customWidth="1"/>
    <col min="3" max="16384" width="9.140625" style="45" customWidth="1"/>
  </cols>
  <sheetData>
    <row r="1" spans="2:6" s="57" customFormat="1" ht="12.75" customHeight="1">
      <c r="B1" s="164" t="s">
        <v>298</v>
      </c>
      <c r="C1" s="58"/>
      <c r="D1" s="58"/>
      <c r="E1" s="58"/>
      <c r="F1" s="58"/>
    </row>
    <row r="2" spans="1:6" s="57" customFormat="1" ht="12.75" customHeight="1">
      <c r="A2" s="58"/>
      <c r="B2" s="164"/>
      <c r="C2" s="58"/>
      <c r="D2" s="58"/>
      <c r="E2" s="58"/>
      <c r="F2" s="58"/>
    </row>
    <row r="3" spans="1:10" s="57" customFormat="1" ht="12.75" customHeight="1">
      <c r="A3" s="58"/>
      <c r="B3" s="164"/>
      <c r="C3" s="58"/>
      <c r="D3" s="58"/>
      <c r="E3" s="58"/>
      <c r="F3" s="58"/>
      <c r="J3" s="59"/>
    </row>
    <row r="4" spans="1:6" s="57" customFormat="1" ht="12.75" customHeight="1">
      <c r="A4" s="58"/>
      <c r="B4" s="164"/>
      <c r="C4" s="58"/>
      <c r="D4" s="58"/>
      <c r="E4" s="58"/>
      <c r="F4" s="58"/>
    </row>
    <row r="5" spans="1:6" s="57" customFormat="1" ht="12.75" customHeight="1">
      <c r="A5" s="58"/>
      <c r="B5" s="164"/>
      <c r="C5" s="58"/>
      <c r="D5" s="58"/>
      <c r="E5" s="58"/>
      <c r="F5" s="58"/>
    </row>
    <row r="6" spans="2:6" s="57" customFormat="1" ht="12.75" customHeight="1">
      <c r="B6" s="125" t="s">
        <v>326</v>
      </c>
      <c r="C6" s="60"/>
      <c r="D6" s="60"/>
      <c r="E6" s="60"/>
      <c r="F6" s="60"/>
    </row>
    <row r="7" spans="1:2" ht="10.5" customHeight="1" thickBot="1">
      <c r="A7" s="61"/>
      <c r="B7" s="61"/>
    </row>
    <row r="8" spans="1:2" s="62" customFormat="1" ht="24" customHeight="1" thickTop="1">
      <c r="A8" s="165" t="s">
        <v>286</v>
      </c>
      <c r="B8" s="70" t="s">
        <v>299</v>
      </c>
    </row>
    <row r="9" spans="1:2" s="62" customFormat="1" ht="24" customHeight="1">
      <c r="A9" s="166"/>
      <c r="B9" s="81" t="s">
        <v>300</v>
      </c>
    </row>
    <row r="10" spans="1:2" s="62" customFormat="1" ht="27" customHeight="1">
      <c r="A10" s="78" t="s">
        <v>287</v>
      </c>
      <c r="B10" s="71" t="s">
        <v>288</v>
      </c>
    </row>
    <row r="11" spans="1:2" s="62" customFormat="1" ht="27" customHeight="1">
      <c r="A11" s="79" t="s">
        <v>289</v>
      </c>
      <c r="B11" s="72">
        <v>40013</v>
      </c>
    </row>
    <row r="12" spans="1:2" s="62" customFormat="1" ht="22.5" customHeight="1">
      <c r="A12" s="78" t="s">
        <v>290</v>
      </c>
      <c r="B12" s="73" t="s">
        <v>329</v>
      </c>
    </row>
    <row r="13" spans="1:2" s="62" customFormat="1" ht="27" customHeight="1">
      <c r="A13" s="79" t="s">
        <v>291</v>
      </c>
      <c r="B13" s="74" t="s">
        <v>301</v>
      </c>
    </row>
    <row r="14" spans="1:2" s="62" customFormat="1" ht="39.75" customHeight="1">
      <c r="A14" s="78" t="s">
        <v>292</v>
      </c>
      <c r="B14" s="75" t="s">
        <v>302</v>
      </c>
    </row>
    <row r="15" spans="1:2" s="62" customFormat="1" ht="33.75" customHeight="1">
      <c r="A15" s="80" t="s">
        <v>324</v>
      </c>
      <c r="B15" s="76" t="s">
        <v>320</v>
      </c>
    </row>
    <row r="16" spans="1:2" s="62" customFormat="1" ht="27" customHeight="1">
      <c r="A16" s="82" t="s">
        <v>293</v>
      </c>
      <c r="B16" s="77" t="s">
        <v>328</v>
      </c>
    </row>
    <row r="17" spans="1:2" s="62" customFormat="1" ht="27" customHeight="1">
      <c r="A17" s="85" t="s">
        <v>294</v>
      </c>
      <c r="B17" s="86" t="s">
        <v>295</v>
      </c>
    </row>
    <row r="18" spans="1:2" s="62" customFormat="1" ht="25.5">
      <c r="A18" s="83"/>
      <c r="B18" s="75" t="s">
        <v>296</v>
      </c>
    </row>
    <row r="19" spans="1:2" s="62" customFormat="1" ht="28.5" customHeight="1">
      <c r="A19" s="83"/>
      <c r="B19" s="87"/>
    </row>
    <row r="20" spans="1:2" s="62" customFormat="1" ht="18">
      <c r="A20" s="83"/>
      <c r="B20" s="88" t="s">
        <v>297</v>
      </c>
    </row>
    <row r="21" spans="1:2" s="62" customFormat="1" ht="18" customHeight="1">
      <c r="A21" s="83"/>
      <c r="B21" s="75" t="s">
        <v>285</v>
      </c>
    </row>
    <row r="22" spans="1:2" s="62" customFormat="1" ht="18" customHeight="1">
      <c r="A22" s="83"/>
      <c r="B22" s="89"/>
    </row>
    <row r="23" spans="1:2" s="62" customFormat="1" ht="18" customHeight="1">
      <c r="A23" s="83"/>
      <c r="B23" s="90" t="s">
        <v>284</v>
      </c>
    </row>
    <row r="24" spans="1:2" s="62" customFormat="1" ht="18" customHeight="1">
      <c r="A24" s="83"/>
      <c r="B24" s="75" t="s">
        <v>285</v>
      </c>
    </row>
    <row r="25" spans="1:2" s="62" customFormat="1" ht="18" customHeight="1" thickBot="1">
      <c r="A25" s="84"/>
      <c r="B25" s="91"/>
    </row>
    <row r="26" s="62" customFormat="1" ht="18.75" thickTop="1"/>
    <row r="27" s="62" customFormat="1" ht="18"/>
  </sheetData>
  <sheetProtection/>
  <mergeCells count="2">
    <mergeCell ref="B1:B5"/>
    <mergeCell ref="A8:A9"/>
  </mergeCells>
  <hyperlinks>
    <hyperlink ref="B23" location="'ERR Calculation'!A1" display="ERR Calculation"/>
    <hyperlink ref="B17" location="'Activity Description'!A1" display="Activity Description"/>
    <hyperlink ref="B20" location="'ERR and Sensitivity Analysis'!A1" display="ERR &amp; Sensitivity Analysi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V24"/>
  <sheetViews>
    <sheetView zoomScalePageLayoutView="0" workbookViewId="0" topLeftCell="A1">
      <selection activeCell="B25" sqref="B25"/>
    </sheetView>
  </sheetViews>
  <sheetFormatPr defaultColWidth="9.140625" defaultRowHeight="12.75"/>
  <cols>
    <col min="1" max="1" width="33.28125" style="0" customWidth="1"/>
    <col min="2" max="2" width="10.421875" style="0" customWidth="1"/>
    <col min="3" max="3" width="11.00390625" style="0" customWidth="1"/>
  </cols>
  <sheetData>
    <row r="1" ht="12.75">
      <c r="A1" t="s">
        <v>0</v>
      </c>
    </row>
    <row r="2" ht="12.75">
      <c r="A2" t="s">
        <v>2</v>
      </c>
    </row>
    <row r="3" ht="12.75">
      <c r="A3" t="s">
        <v>156</v>
      </c>
    </row>
    <row r="4" ht="12.75">
      <c r="A4" s="13" t="s">
        <v>151</v>
      </c>
    </row>
    <row r="5" spans="1:2" ht="12.75">
      <c r="A5" s="13" t="s">
        <v>155</v>
      </c>
      <c r="B5">
        <v>130</v>
      </c>
    </row>
    <row r="6" ht="12.75">
      <c r="A6" s="13" t="s">
        <v>157</v>
      </c>
    </row>
    <row r="9" spans="1:2" ht="12.75">
      <c r="A9" s="13" t="s">
        <v>127</v>
      </c>
      <c r="B9" s="13" t="s">
        <v>124</v>
      </c>
    </row>
    <row r="10" spans="1:22" ht="12.75">
      <c r="A10" s="13" t="s">
        <v>132</v>
      </c>
      <c r="B10" s="1">
        <v>2010</v>
      </c>
      <c r="C10" s="1">
        <v>2011</v>
      </c>
      <c r="D10" s="1">
        <v>2012</v>
      </c>
      <c r="E10" s="1">
        <v>2013</v>
      </c>
      <c r="F10" s="1">
        <v>2014</v>
      </c>
      <c r="G10" s="1">
        <v>2015</v>
      </c>
      <c r="H10" s="1">
        <v>2016</v>
      </c>
      <c r="I10" s="1">
        <v>2017</v>
      </c>
      <c r="J10" s="1">
        <v>2018</v>
      </c>
      <c r="K10" s="1">
        <v>2019</v>
      </c>
      <c r="L10" s="1">
        <v>2020</v>
      </c>
      <c r="M10" s="1">
        <v>2021</v>
      </c>
      <c r="N10" s="1">
        <v>2022</v>
      </c>
      <c r="O10" s="1">
        <v>2023</v>
      </c>
      <c r="P10" s="1">
        <v>2024</v>
      </c>
      <c r="Q10" s="1">
        <v>2025</v>
      </c>
      <c r="R10" s="1">
        <v>2026</v>
      </c>
      <c r="S10" s="1">
        <v>2027</v>
      </c>
      <c r="T10" s="1">
        <v>2028</v>
      </c>
      <c r="U10" s="1">
        <v>2029</v>
      </c>
      <c r="V10" s="1">
        <v>2030</v>
      </c>
    </row>
    <row r="11" spans="1:22" ht="12.75">
      <c r="A11" t="s">
        <v>126</v>
      </c>
      <c r="B11" s="7">
        <f>B19</f>
        <v>356022186</v>
      </c>
      <c r="C11" s="7">
        <v>162500000</v>
      </c>
      <c r="D11" s="7">
        <v>162500000</v>
      </c>
      <c r="E11" s="7">
        <v>162500000</v>
      </c>
      <c r="F11" s="7">
        <v>162500000</v>
      </c>
      <c r="G11" s="7">
        <v>162500000</v>
      </c>
      <c r="H11" s="7">
        <v>162500000</v>
      </c>
      <c r="I11" s="7">
        <v>162500000</v>
      </c>
      <c r="J11" s="7">
        <v>162500000</v>
      </c>
      <c r="K11" s="7">
        <v>162500000</v>
      </c>
      <c r="L11" s="7">
        <v>162500000</v>
      </c>
      <c r="M11" s="7">
        <v>162500000</v>
      </c>
      <c r="N11" s="7">
        <v>162500000</v>
      </c>
      <c r="O11" s="7">
        <v>162500000</v>
      </c>
      <c r="P11" s="7">
        <v>162500000</v>
      </c>
      <c r="Q11" s="7">
        <v>162500000</v>
      </c>
      <c r="R11" s="7">
        <v>162500000</v>
      </c>
      <c r="S11" s="7">
        <v>162500000</v>
      </c>
      <c r="T11" s="7">
        <v>162500000</v>
      </c>
      <c r="U11" s="7">
        <v>162500000</v>
      </c>
      <c r="V11" s="7">
        <v>162500000</v>
      </c>
    </row>
    <row r="12" spans="1:22" ht="12.75">
      <c r="A12" t="s">
        <v>125</v>
      </c>
      <c r="B12" s="27">
        <v>18735859712</v>
      </c>
      <c r="C12" s="27">
        <v>18735859712</v>
      </c>
      <c r="D12" s="1"/>
      <c r="E12" s="1"/>
      <c r="F12" s="1"/>
      <c r="G12" s="1"/>
      <c r="H12" s="1"/>
      <c r="I12" s="1"/>
      <c r="J12" s="1"/>
      <c r="K12" s="1"/>
      <c r="L12" s="1"/>
      <c r="M12" s="1"/>
      <c r="N12" s="1"/>
      <c r="O12" s="1"/>
      <c r="P12" s="1"/>
      <c r="Q12" s="1"/>
      <c r="R12" s="1"/>
      <c r="S12" s="1"/>
      <c r="T12" s="1"/>
      <c r="U12" s="1"/>
      <c r="V12" s="1"/>
    </row>
    <row r="13" spans="1:22" ht="12.75">
      <c r="A13" s="13" t="s">
        <v>134</v>
      </c>
      <c r="B13" s="7">
        <f aca="true" t="shared" si="0" ref="B13:V13">B11+B12</f>
        <v>19091881898</v>
      </c>
      <c r="C13" s="7">
        <f t="shared" si="0"/>
        <v>18898359712</v>
      </c>
      <c r="D13" s="7">
        <f t="shared" si="0"/>
        <v>162500000</v>
      </c>
      <c r="E13" s="7">
        <f t="shared" si="0"/>
        <v>162500000</v>
      </c>
      <c r="F13" s="7">
        <f t="shared" si="0"/>
        <v>162500000</v>
      </c>
      <c r="G13" s="7">
        <f t="shared" si="0"/>
        <v>162500000</v>
      </c>
      <c r="H13" s="7">
        <f t="shared" si="0"/>
        <v>162500000</v>
      </c>
      <c r="I13" s="7">
        <f t="shared" si="0"/>
        <v>162500000</v>
      </c>
      <c r="J13" s="7">
        <f t="shared" si="0"/>
        <v>162500000</v>
      </c>
      <c r="K13" s="7">
        <f t="shared" si="0"/>
        <v>162500000</v>
      </c>
      <c r="L13" s="7">
        <f t="shared" si="0"/>
        <v>162500000</v>
      </c>
      <c r="M13" s="7">
        <f t="shared" si="0"/>
        <v>162500000</v>
      </c>
      <c r="N13" s="7">
        <f t="shared" si="0"/>
        <v>162500000</v>
      </c>
      <c r="O13" s="7">
        <f t="shared" si="0"/>
        <v>162500000</v>
      </c>
      <c r="P13" s="7">
        <f t="shared" si="0"/>
        <v>162500000</v>
      </c>
      <c r="Q13" s="7">
        <f t="shared" si="0"/>
        <v>162500000</v>
      </c>
      <c r="R13" s="7">
        <f t="shared" si="0"/>
        <v>162500000</v>
      </c>
      <c r="S13" s="7">
        <f t="shared" si="0"/>
        <v>162500000</v>
      </c>
      <c r="T13" s="7">
        <f t="shared" si="0"/>
        <v>162500000</v>
      </c>
      <c r="U13" s="7">
        <f t="shared" si="0"/>
        <v>162500000</v>
      </c>
      <c r="V13" s="7">
        <f t="shared" si="0"/>
        <v>162500000</v>
      </c>
    </row>
    <row r="15" ht="12.75">
      <c r="A15" s="13" t="s">
        <v>133</v>
      </c>
    </row>
    <row r="16" spans="1:22" ht="12.75">
      <c r="A16" s="26" t="s">
        <v>130</v>
      </c>
      <c r="B16" s="7">
        <v>345150016</v>
      </c>
      <c r="C16" s="7">
        <v>345150016</v>
      </c>
      <c r="D16" s="7">
        <v>345150016</v>
      </c>
      <c r="E16" s="7">
        <v>345150016</v>
      </c>
      <c r="F16" s="7">
        <v>345150016</v>
      </c>
      <c r="G16" s="7">
        <v>345150016</v>
      </c>
      <c r="H16" s="7">
        <v>345150016</v>
      </c>
      <c r="I16" s="7">
        <v>345150016</v>
      </c>
      <c r="J16" s="7">
        <v>345150016</v>
      </c>
      <c r="K16" s="7">
        <v>345150016</v>
      </c>
      <c r="L16" s="7">
        <v>345150016</v>
      </c>
      <c r="M16" s="7">
        <v>345150016</v>
      </c>
      <c r="N16" s="7">
        <v>345150016</v>
      </c>
      <c r="O16" s="7">
        <v>345150016</v>
      </c>
      <c r="P16" s="7">
        <v>345150016</v>
      </c>
      <c r="Q16" s="7">
        <v>345150016</v>
      </c>
      <c r="R16" s="7">
        <v>345150016</v>
      </c>
      <c r="S16" s="7">
        <v>345150016</v>
      </c>
      <c r="T16" s="7">
        <v>345150016</v>
      </c>
      <c r="U16" s="7">
        <v>345150016</v>
      </c>
      <c r="V16" s="7">
        <v>345150016</v>
      </c>
    </row>
    <row r="17" spans="1:22" ht="12.75">
      <c r="A17" s="26" t="s">
        <v>160</v>
      </c>
      <c r="B17" s="7"/>
      <c r="C17" s="7"/>
      <c r="D17" s="7">
        <v>136732192</v>
      </c>
      <c r="E17" s="7"/>
      <c r="F17" s="7">
        <v>138195056</v>
      </c>
      <c r="G17" s="7"/>
      <c r="H17" s="7">
        <v>155539696</v>
      </c>
      <c r="J17" s="7">
        <v>175061296</v>
      </c>
      <c r="K17" s="7"/>
      <c r="L17" s="7">
        <v>197032976</v>
      </c>
      <c r="M17" s="7"/>
      <c r="N17" s="7">
        <v>221762336</v>
      </c>
      <c r="O17" s="7">
        <v>121109888</v>
      </c>
      <c r="P17" s="7">
        <v>128485456</v>
      </c>
      <c r="Q17" s="7">
        <v>136310240</v>
      </c>
      <c r="R17" s="7">
        <v>144611472</v>
      </c>
      <c r="S17" s="7">
        <v>153418288</v>
      </c>
      <c r="T17" s="7">
        <v>162761440</v>
      </c>
      <c r="U17" s="7">
        <v>172673616</v>
      </c>
      <c r="V17" s="7">
        <v>183189456</v>
      </c>
    </row>
    <row r="18" spans="1:22" ht="12.75">
      <c r="A18" s="26" t="s">
        <v>129</v>
      </c>
      <c r="B18" s="27">
        <v>10872170</v>
      </c>
      <c r="C18" s="27">
        <v>15820471</v>
      </c>
      <c r="D18" s="27">
        <v>23611064</v>
      </c>
      <c r="E18" s="27">
        <v>27398454</v>
      </c>
      <c r="F18" s="27">
        <v>30518252</v>
      </c>
      <c r="G18" s="27">
        <v>32898054</v>
      </c>
      <c r="H18" s="27">
        <v>34811544</v>
      </c>
      <c r="I18" s="27">
        <v>36263972</v>
      </c>
      <c r="J18" s="27">
        <v>37548376</v>
      </c>
      <c r="K18" s="27">
        <v>38576196</v>
      </c>
      <c r="L18" s="27">
        <v>39654756</v>
      </c>
      <c r="M18" s="27">
        <v>40576308</v>
      </c>
      <c r="N18" s="27">
        <v>41731680</v>
      </c>
      <c r="O18" s="27">
        <v>42685612</v>
      </c>
      <c r="P18" s="27">
        <v>43924108</v>
      </c>
      <c r="Q18" s="27">
        <f aca="true" t="shared" si="1" ref="Q18:V18">P18*(1.028)</f>
        <v>45153983.024000004</v>
      </c>
      <c r="R18" s="27">
        <f t="shared" si="1"/>
        <v>46418294.548672006</v>
      </c>
      <c r="S18" s="27">
        <f t="shared" si="1"/>
        <v>47718006.79603482</v>
      </c>
      <c r="T18" s="27">
        <f t="shared" si="1"/>
        <v>49054110.986323796</v>
      </c>
      <c r="U18" s="27">
        <f t="shared" si="1"/>
        <v>50427626.09394086</v>
      </c>
      <c r="V18" s="27">
        <f t="shared" si="1"/>
        <v>51839599.624571204</v>
      </c>
    </row>
    <row r="19" spans="1:22" ht="12.75">
      <c r="A19" s="13" t="s">
        <v>134</v>
      </c>
      <c r="B19" s="7">
        <f aca="true" t="shared" si="2" ref="B19:V19">SUM(B16:B18)</f>
        <v>356022186</v>
      </c>
      <c r="C19" s="7">
        <f t="shared" si="2"/>
        <v>360970487</v>
      </c>
      <c r="D19" s="7">
        <f t="shared" si="2"/>
        <v>505493272</v>
      </c>
      <c r="E19" s="7">
        <f t="shared" si="2"/>
        <v>372548470</v>
      </c>
      <c r="F19" s="7">
        <f t="shared" si="2"/>
        <v>513863324</v>
      </c>
      <c r="G19" s="7">
        <f t="shared" si="2"/>
        <v>378048070</v>
      </c>
      <c r="H19" s="7">
        <f t="shared" si="2"/>
        <v>535501256</v>
      </c>
      <c r="I19" s="7">
        <f t="shared" si="2"/>
        <v>381413988</v>
      </c>
      <c r="J19" s="7">
        <f t="shared" si="2"/>
        <v>557759688</v>
      </c>
      <c r="K19" s="7">
        <f t="shared" si="2"/>
        <v>383726212</v>
      </c>
      <c r="L19" s="7">
        <f t="shared" si="2"/>
        <v>581837748</v>
      </c>
      <c r="M19" s="7">
        <f t="shared" si="2"/>
        <v>385726324</v>
      </c>
      <c r="N19" s="7">
        <f t="shared" si="2"/>
        <v>608644032</v>
      </c>
      <c r="O19" s="7">
        <f t="shared" si="2"/>
        <v>508945516</v>
      </c>
      <c r="P19" s="7">
        <f t="shared" si="2"/>
        <v>517559580</v>
      </c>
      <c r="Q19" s="7">
        <f t="shared" si="2"/>
        <v>526614239.024</v>
      </c>
      <c r="R19" s="7">
        <f t="shared" si="2"/>
        <v>536179782.548672</v>
      </c>
      <c r="S19" s="7">
        <f t="shared" si="2"/>
        <v>546286310.7960348</v>
      </c>
      <c r="T19" s="7">
        <f t="shared" si="2"/>
        <v>556965566.9863238</v>
      </c>
      <c r="U19" s="7">
        <f t="shared" si="2"/>
        <v>568251258.0939409</v>
      </c>
      <c r="V19" s="7">
        <f t="shared" si="2"/>
        <v>580179071.6245712</v>
      </c>
    </row>
    <row r="21" spans="1:22" ht="12.75">
      <c r="A21" s="13" t="s">
        <v>135</v>
      </c>
      <c r="B21" s="7">
        <f aca="true" t="shared" si="3" ref="B21:V21">B19-B11</f>
        <v>0</v>
      </c>
      <c r="C21" s="7">
        <f t="shared" si="3"/>
        <v>198470487</v>
      </c>
      <c r="D21" s="7">
        <f t="shared" si="3"/>
        <v>342993272</v>
      </c>
      <c r="E21" s="7">
        <f t="shared" si="3"/>
        <v>210048470</v>
      </c>
      <c r="F21" s="7">
        <f t="shared" si="3"/>
        <v>351363324</v>
      </c>
      <c r="G21" s="7">
        <f t="shared" si="3"/>
        <v>215548070</v>
      </c>
      <c r="H21" s="7">
        <f t="shared" si="3"/>
        <v>373001256</v>
      </c>
      <c r="I21" s="7">
        <f t="shared" si="3"/>
        <v>218913988</v>
      </c>
      <c r="J21" s="7">
        <f t="shared" si="3"/>
        <v>395259688</v>
      </c>
      <c r="K21" s="7">
        <f t="shared" si="3"/>
        <v>221226212</v>
      </c>
      <c r="L21" s="7">
        <f t="shared" si="3"/>
        <v>419337748</v>
      </c>
      <c r="M21" s="7">
        <f t="shared" si="3"/>
        <v>223226324</v>
      </c>
      <c r="N21" s="7">
        <f t="shared" si="3"/>
        <v>446144032</v>
      </c>
      <c r="O21" s="7">
        <f t="shared" si="3"/>
        <v>346445516</v>
      </c>
      <c r="P21" s="7">
        <f t="shared" si="3"/>
        <v>355059580</v>
      </c>
      <c r="Q21" s="7">
        <f t="shared" si="3"/>
        <v>364114239.024</v>
      </c>
      <c r="R21" s="7">
        <f t="shared" si="3"/>
        <v>373679782.548672</v>
      </c>
      <c r="S21" s="7">
        <f t="shared" si="3"/>
        <v>383786310.7960348</v>
      </c>
      <c r="T21" s="7">
        <f t="shared" si="3"/>
        <v>394465566.98632383</v>
      </c>
      <c r="U21" s="7">
        <f t="shared" si="3"/>
        <v>405751258.09394085</v>
      </c>
      <c r="V21" s="7">
        <f t="shared" si="3"/>
        <v>417679071.6245712</v>
      </c>
    </row>
    <row r="22" spans="1:22" ht="12.75">
      <c r="A22" s="13" t="s">
        <v>136</v>
      </c>
      <c r="B22" s="7">
        <f aca="true" t="shared" si="4" ref="B22:V22">B21-B12</f>
        <v>-18735859712</v>
      </c>
      <c r="C22" s="7">
        <f t="shared" si="4"/>
        <v>-18537389225</v>
      </c>
      <c r="D22" s="7">
        <f t="shared" si="4"/>
        <v>342993272</v>
      </c>
      <c r="E22" s="7">
        <f t="shared" si="4"/>
        <v>210048470</v>
      </c>
      <c r="F22" s="7">
        <f t="shared" si="4"/>
        <v>351363324</v>
      </c>
      <c r="G22" s="7">
        <f t="shared" si="4"/>
        <v>215548070</v>
      </c>
      <c r="H22" s="7">
        <f t="shared" si="4"/>
        <v>373001256</v>
      </c>
      <c r="I22" s="7">
        <f t="shared" si="4"/>
        <v>218913988</v>
      </c>
      <c r="J22" s="7">
        <f t="shared" si="4"/>
        <v>395259688</v>
      </c>
      <c r="K22" s="7">
        <f t="shared" si="4"/>
        <v>221226212</v>
      </c>
      <c r="L22" s="7">
        <f t="shared" si="4"/>
        <v>419337748</v>
      </c>
      <c r="M22" s="7">
        <f t="shared" si="4"/>
        <v>223226324</v>
      </c>
      <c r="N22" s="7">
        <f t="shared" si="4"/>
        <v>446144032</v>
      </c>
      <c r="O22" s="7">
        <f t="shared" si="4"/>
        <v>346445516</v>
      </c>
      <c r="P22" s="7">
        <f t="shared" si="4"/>
        <v>355059580</v>
      </c>
      <c r="Q22" s="7">
        <f t="shared" si="4"/>
        <v>364114239.024</v>
      </c>
      <c r="R22" s="7">
        <f t="shared" si="4"/>
        <v>373679782.548672</v>
      </c>
      <c r="S22" s="7">
        <f t="shared" si="4"/>
        <v>383786310.7960348</v>
      </c>
      <c r="T22" s="7">
        <f t="shared" si="4"/>
        <v>394465566.98632383</v>
      </c>
      <c r="U22" s="7">
        <f t="shared" si="4"/>
        <v>405751258.09394085</v>
      </c>
      <c r="V22" s="7">
        <f t="shared" si="4"/>
        <v>417679071.6245712</v>
      </c>
    </row>
    <row r="24" spans="1:12" ht="12.75">
      <c r="A24" s="13" t="s">
        <v>150</v>
      </c>
      <c r="H24">
        <f>H18/G18</f>
        <v>1.058164230625921</v>
      </c>
      <c r="I24">
        <f>I18/H18</f>
        <v>1.0417225963892898</v>
      </c>
      <c r="J24">
        <f>J18/I18</f>
        <v>1.0354181830936777</v>
      </c>
      <c r="K24">
        <f>K18/J18</f>
        <v>1.0273732211480997</v>
      </c>
      <c r="L24">
        <f>L18/K18</f>
        <v>1.0279592109081983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U40"/>
  <sheetViews>
    <sheetView zoomScalePageLayoutView="0" workbookViewId="0" topLeftCell="A4">
      <selection activeCell="B25" sqref="B25"/>
    </sheetView>
  </sheetViews>
  <sheetFormatPr defaultColWidth="9.140625" defaultRowHeight="12.75"/>
  <cols>
    <col min="1" max="1" width="63.8515625" style="0" customWidth="1"/>
    <col min="2" max="2" width="11.8515625" style="0" customWidth="1"/>
    <col min="3" max="3" width="9.421875" style="0" customWidth="1"/>
    <col min="5" max="5" width="9.28125" style="0" customWidth="1"/>
    <col min="7" max="10" width="0" style="0" hidden="1" customWidth="1"/>
    <col min="12" max="15" width="0" style="0" hidden="1" customWidth="1"/>
    <col min="17" max="20" width="0" style="0" hidden="1" customWidth="1"/>
  </cols>
  <sheetData>
    <row r="1" ht="15">
      <c r="A1" s="15" t="s">
        <v>69</v>
      </c>
    </row>
    <row r="2" ht="15">
      <c r="A2" s="15" t="s">
        <v>0</v>
      </c>
    </row>
    <row r="3" spans="1:8" ht="15">
      <c r="A3" s="15" t="s">
        <v>70</v>
      </c>
      <c r="D3" s="15" t="s">
        <v>145</v>
      </c>
      <c r="G3" s="28"/>
      <c r="H3" s="13" t="s">
        <v>149</v>
      </c>
    </row>
    <row r="4" spans="1:7" ht="15">
      <c r="A4" s="15" t="s">
        <v>2</v>
      </c>
      <c r="D4" s="15" t="s">
        <v>146</v>
      </c>
      <c r="G4" s="28"/>
    </row>
    <row r="5" spans="1:7" ht="15">
      <c r="A5" s="15" t="s">
        <v>159</v>
      </c>
      <c r="D5" s="15" t="s">
        <v>147</v>
      </c>
      <c r="G5" s="28"/>
    </row>
    <row r="6" spans="1:7" ht="15">
      <c r="A6" s="15" t="s">
        <v>144</v>
      </c>
      <c r="D6" s="15" t="s">
        <v>148</v>
      </c>
      <c r="G6" s="34"/>
    </row>
    <row r="7" spans="1:8" ht="15">
      <c r="A7" s="15" t="s">
        <v>142</v>
      </c>
      <c r="B7">
        <v>67</v>
      </c>
      <c r="F7" s="13" t="s">
        <v>67</v>
      </c>
      <c r="G7" s="28">
        <f>SUM(G3:G6)</f>
        <v>0</v>
      </c>
      <c r="H7" t="s">
        <v>169</v>
      </c>
    </row>
    <row r="9" ht="15">
      <c r="A9" s="15"/>
    </row>
    <row r="10" spans="1:2" ht="15">
      <c r="A10" s="15" t="s">
        <v>131</v>
      </c>
      <c r="B10" s="155">
        <v>0.03</v>
      </c>
    </row>
    <row r="11" spans="1:2" ht="15" hidden="1">
      <c r="A11" s="15" t="s">
        <v>138</v>
      </c>
      <c r="B11" s="9">
        <f>(EntretienTnKol!B12+EntretienTnKol!C12)*1.34/485</f>
        <v>51672552.31076289</v>
      </c>
    </row>
    <row r="12" spans="1:3" ht="15">
      <c r="A12" s="15" t="s">
        <v>263</v>
      </c>
      <c r="B12" s="9">
        <f>B11*1</f>
        <v>51672552.31076289</v>
      </c>
      <c r="C12" t="s">
        <v>262</v>
      </c>
    </row>
    <row r="13" spans="1:5" ht="15">
      <c r="A13" s="15" t="s">
        <v>114</v>
      </c>
      <c r="B13" s="2">
        <f>B12/B7</f>
        <v>771232.1240412372</v>
      </c>
      <c r="C13" s="13"/>
      <c r="E13" s="2"/>
    </row>
    <row r="14" spans="1:3" ht="15">
      <c r="A14" s="15" t="s">
        <v>113</v>
      </c>
      <c r="B14" s="9">
        <f>B12*485</f>
        <v>25061187870.72</v>
      </c>
      <c r="C14" s="13"/>
    </row>
    <row r="15" ht="15">
      <c r="A15" s="15"/>
    </row>
    <row r="16" spans="1:21" ht="15">
      <c r="A16" s="15"/>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row>
    <row r="17" spans="1:4" ht="15">
      <c r="A17" s="15" t="s">
        <v>71</v>
      </c>
      <c r="B17" s="155">
        <v>0.25</v>
      </c>
      <c r="C17" s="155">
        <v>0.3</v>
      </c>
      <c r="D17" s="155">
        <v>0.45</v>
      </c>
    </row>
    <row r="18" spans="1:5" ht="15">
      <c r="A18" s="15"/>
      <c r="B18" s="32"/>
      <c r="C18" s="33"/>
      <c r="D18" s="33"/>
      <c r="E18" s="33"/>
    </row>
    <row r="19" spans="1:21" ht="15">
      <c r="A19" s="24" t="s">
        <v>102</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row>
    <row r="20" spans="1:6" ht="15">
      <c r="A20" s="15" t="s">
        <v>78</v>
      </c>
      <c r="B20" s="9">
        <f>$B14*B17</f>
        <v>6265296967.68</v>
      </c>
      <c r="C20" s="9">
        <f>$B14*C17</f>
        <v>7518356361.216001</v>
      </c>
      <c r="D20" s="9">
        <f>$B14*D17</f>
        <v>11277534541.824001</v>
      </c>
      <c r="E20" s="9">
        <f>$B14*E17</f>
        <v>0</v>
      </c>
      <c r="F20" s="9">
        <f>$B14*F17</f>
        <v>0</v>
      </c>
    </row>
    <row r="21" spans="1:6" ht="15">
      <c r="A21" s="15" t="s">
        <v>103</v>
      </c>
      <c r="B21" s="9">
        <f>B20*0.1</f>
        <v>626529696.768</v>
      </c>
      <c r="C21" s="9">
        <f>C20*0.1</f>
        <v>751835636.1216002</v>
      </c>
      <c r="D21" s="9">
        <f>D20*0.1</f>
        <v>1127753454.1824002</v>
      </c>
      <c r="E21" s="9">
        <f>E20*0.1</f>
        <v>0</v>
      </c>
      <c r="F21" s="9">
        <f>F20*0.1</f>
        <v>0</v>
      </c>
    </row>
    <row r="22" spans="1:21" ht="15">
      <c r="A22" s="15" t="s">
        <v>137</v>
      </c>
      <c r="B22" s="9">
        <f>EntretienKolVel!B21</f>
        <v>0</v>
      </c>
      <c r="C22" s="9">
        <f>EntretienKolVel!C21</f>
        <v>198470487</v>
      </c>
      <c r="D22" s="9">
        <f>EntretienKolVel!D21</f>
        <v>342993272</v>
      </c>
      <c r="E22" s="9">
        <f>EntretienKolVel!E21</f>
        <v>210048470</v>
      </c>
      <c r="F22" s="9">
        <f>EntretienKolVel!F21</f>
        <v>351363324</v>
      </c>
      <c r="G22" s="9">
        <f>EntretienKolVel!G21</f>
        <v>215548070</v>
      </c>
      <c r="H22" s="9">
        <f>EntretienKolVel!H21</f>
        <v>373001256</v>
      </c>
      <c r="I22" s="9">
        <f>EntretienKolVel!I21</f>
        <v>218913988</v>
      </c>
      <c r="J22" s="9">
        <f>EntretienKolVel!J21</f>
        <v>395259688</v>
      </c>
      <c r="K22" s="9">
        <f>EntretienKolVel!K21</f>
        <v>221226212</v>
      </c>
      <c r="L22" s="9">
        <f>EntretienKolVel!L21</f>
        <v>419337748</v>
      </c>
      <c r="M22" s="9">
        <f>EntretienKolVel!M21</f>
        <v>223226324</v>
      </c>
      <c r="N22" s="9">
        <f>EntretienKolVel!N21</f>
        <v>446144032</v>
      </c>
      <c r="O22" s="9">
        <f>EntretienKolVel!O21</f>
        <v>346445516</v>
      </c>
      <c r="P22" s="9">
        <f>EntretienKolVel!P21</f>
        <v>355059580</v>
      </c>
      <c r="Q22" s="9">
        <f>EntretienKolVel!Q21</f>
        <v>364114239.024</v>
      </c>
      <c r="R22" s="9">
        <f>EntretienKolVel!R21</f>
        <v>373679782.548672</v>
      </c>
      <c r="S22" s="9">
        <f>EntretienKolVel!S21</f>
        <v>383786310.7960348</v>
      </c>
      <c r="T22" s="9">
        <f>EntretienKolVel!T21</f>
        <v>394465566.98632383</v>
      </c>
      <c r="U22" s="9">
        <f>EntretienKolVel!U21</f>
        <v>405751258.09394085</v>
      </c>
    </row>
    <row r="23" spans="1:21" ht="15">
      <c r="A23" s="24" t="s">
        <v>79</v>
      </c>
      <c r="B23" s="30"/>
      <c r="C23" s="31"/>
      <c r="D23" s="31"/>
      <c r="E23" s="30">
        <f aca="true" t="shared" si="0" ref="E23:U23">($E28*$E29*$B7)*(1+$B10)^(E19-$E19)</f>
        <v>3826450353.3251233</v>
      </c>
      <c r="F23" s="30">
        <f t="shared" si="0"/>
        <v>3941243863.924877</v>
      </c>
      <c r="G23" s="30">
        <f t="shared" si="0"/>
        <v>4059481179.842623</v>
      </c>
      <c r="H23" s="30">
        <f t="shared" si="0"/>
        <v>4181265615.237902</v>
      </c>
      <c r="I23" s="30">
        <f t="shared" si="0"/>
        <v>4306703583.695039</v>
      </c>
      <c r="J23" s="30">
        <f t="shared" si="0"/>
        <v>4435904691.20589</v>
      </c>
      <c r="K23" s="30">
        <f t="shared" si="0"/>
        <v>4568981831.942066</v>
      </c>
      <c r="L23" s="30">
        <f t="shared" si="0"/>
        <v>4706051286.900329</v>
      </c>
      <c r="M23" s="30">
        <f t="shared" si="0"/>
        <v>4847232825.507339</v>
      </c>
      <c r="N23" s="30">
        <f t="shared" si="0"/>
        <v>4992649810.272558</v>
      </c>
      <c r="O23" s="30">
        <f t="shared" si="0"/>
        <v>5142429304.580735</v>
      </c>
      <c r="P23" s="30">
        <f t="shared" si="0"/>
        <v>5296702183.718158</v>
      </c>
      <c r="Q23" s="30">
        <f t="shared" si="0"/>
        <v>5455603249.229701</v>
      </c>
      <c r="R23" s="30">
        <f t="shared" si="0"/>
        <v>5619271346.706593</v>
      </c>
      <c r="S23" s="30">
        <f t="shared" si="0"/>
        <v>5787849487.107791</v>
      </c>
      <c r="T23" s="30">
        <f t="shared" si="0"/>
        <v>5961484971.7210245</v>
      </c>
      <c r="U23" s="30">
        <f t="shared" si="0"/>
        <v>6140329520.872654</v>
      </c>
    </row>
    <row r="24" spans="1:21" ht="15">
      <c r="A24" s="15" t="s">
        <v>104</v>
      </c>
      <c r="B24" s="9">
        <f aca="true" t="shared" si="1" ref="B24:U24">B22+B23-B20-B21</f>
        <v>-6891826664.448</v>
      </c>
      <c r="C24" s="9">
        <f t="shared" si="1"/>
        <v>-8071721510.337601</v>
      </c>
      <c r="D24" s="9">
        <f t="shared" si="1"/>
        <v>-12062294724.006401</v>
      </c>
      <c r="E24" s="9">
        <f t="shared" si="1"/>
        <v>4036498823.3251233</v>
      </c>
      <c r="F24" s="9">
        <f t="shared" si="1"/>
        <v>4292607187.924877</v>
      </c>
      <c r="G24" s="9">
        <f t="shared" si="1"/>
        <v>4275029249.842623</v>
      </c>
      <c r="H24" s="9">
        <f t="shared" si="1"/>
        <v>4554266871.237902</v>
      </c>
      <c r="I24" s="9">
        <f t="shared" si="1"/>
        <v>4525617571.695039</v>
      </c>
      <c r="J24" s="9">
        <f t="shared" si="1"/>
        <v>4831164379.20589</v>
      </c>
      <c r="K24" s="9">
        <f t="shared" si="1"/>
        <v>4790208043.942066</v>
      </c>
      <c r="L24" s="9">
        <f t="shared" si="1"/>
        <v>5125389034.900329</v>
      </c>
      <c r="M24" s="9">
        <f t="shared" si="1"/>
        <v>5070459149.507339</v>
      </c>
      <c r="N24" s="9">
        <f t="shared" si="1"/>
        <v>5438793842.272558</v>
      </c>
      <c r="O24" s="9">
        <f t="shared" si="1"/>
        <v>5488874820.580735</v>
      </c>
      <c r="P24" s="9">
        <f t="shared" si="1"/>
        <v>5651761763.718158</v>
      </c>
      <c r="Q24" s="9">
        <f t="shared" si="1"/>
        <v>5819717488.253701</v>
      </c>
      <c r="R24" s="9">
        <f t="shared" si="1"/>
        <v>5992951129.255264</v>
      </c>
      <c r="S24" s="9">
        <f t="shared" si="1"/>
        <v>6171635797.903826</v>
      </c>
      <c r="T24" s="9">
        <f t="shared" si="1"/>
        <v>6355950538.707348</v>
      </c>
      <c r="U24" s="9">
        <f t="shared" si="1"/>
        <v>6546080778.966595</v>
      </c>
    </row>
    <row r="25" spans="6:21" ht="12.75">
      <c r="F25" s="9"/>
      <c r="G25" s="9"/>
      <c r="H25" s="9"/>
      <c r="I25" s="9"/>
      <c r="J25" s="9"/>
      <c r="K25" s="9"/>
      <c r="L25" s="9"/>
      <c r="M25" s="9"/>
      <c r="N25" s="9"/>
      <c r="O25" s="9"/>
      <c r="P25" s="9"/>
      <c r="Q25" s="9"/>
      <c r="R25" s="9"/>
      <c r="S25" s="9"/>
      <c r="T25" s="9"/>
      <c r="U25" s="9"/>
    </row>
    <row r="26" spans="1:21" ht="15">
      <c r="A26" s="15" t="s">
        <v>105</v>
      </c>
      <c r="B26" s="156">
        <f>IRR(B24:U24,0.1)</f>
        <v>0.14165841746615881</v>
      </c>
      <c r="C26" s="9"/>
      <c r="D26" s="9"/>
      <c r="E26" s="9"/>
      <c r="F26" s="2">
        <f>E28*(1+B10)</f>
        <v>1482.17</v>
      </c>
      <c r="G26" s="9"/>
      <c r="H26" s="9"/>
      <c r="I26" s="9"/>
      <c r="J26" s="9"/>
      <c r="K26" s="9"/>
      <c r="L26" s="9"/>
      <c r="M26" s="9"/>
      <c r="N26" s="9"/>
      <c r="O26" s="9"/>
      <c r="P26" s="9"/>
      <c r="Q26" s="9"/>
      <c r="R26" s="9"/>
      <c r="S26" s="9"/>
      <c r="T26" s="9"/>
      <c r="U26" s="9"/>
    </row>
    <row r="27" spans="1:21" ht="15">
      <c r="A27" s="15"/>
      <c r="B27" s="159"/>
      <c r="C27" s="9"/>
      <c r="D27" s="9"/>
      <c r="E27" s="9"/>
      <c r="F27" s="9"/>
      <c r="G27" s="9"/>
      <c r="H27" s="9"/>
      <c r="I27" s="9"/>
      <c r="J27" s="9"/>
      <c r="K27" s="9"/>
      <c r="L27" s="9"/>
      <c r="M27" s="9"/>
      <c r="N27" s="9"/>
      <c r="O27" s="9"/>
      <c r="P27" s="9"/>
      <c r="Q27" s="9"/>
      <c r="R27" s="9"/>
      <c r="S27" s="9"/>
      <c r="T27" s="9"/>
      <c r="U27" s="9"/>
    </row>
    <row r="28" spans="1:6" ht="15">
      <c r="A28" s="15" t="s">
        <v>140</v>
      </c>
      <c r="B28" s="9"/>
      <c r="C28" s="9"/>
      <c r="D28" s="9"/>
      <c r="E28" s="2">
        <v>1439</v>
      </c>
      <c r="F28" t="s">
        <v>161</v>
      </c>
    </row>
    <row r="29" spans="1:5" ht="15">
      <c r="A29" s="15" t="s">
        <v>153</v>
      </c>
      <c r="B29" s="9"/>
      <c r="C29" s="9"/>
      <c r="D29" s="9"/>
      <c r="E29" s="29">
        <f>'Vel-MandaFeasSim'!B45</f>
        <v>39688.116263627555</v>
      </c>
    </row>
    <row r="30" spans="1:5" ht="15">
      <c r="A30" s="15"/>
      <c r="B30" s="9"/>
      <c r="C30" s="9"/>
      <c r="D30" s="9"/>
      <c r="E30" s="2">
        <f>E29/485</f>
        <v>81.83116755387125</v>
      </c>
    </row>
    <row r="32" spans="1:21" ht="15">
      <c r="A32" s="15" t="s">
        <v>250</v>
      </c>
      <c r="B32" s="35">
        <f>$B7/RN6ZigTnKolVel!$B$7*RN6ZigTnKolVel!B32</f>
        <v>2338322.635135135</v>
      </c>
      <c r="C32" s="35">
        <f>$B7/RN6ZigTnKolVel!$B7*RN6ZigTnKolVel!C32</f>
        <v>21856033.783783782</v>
      </c>
      <c r="D32" s="35">
        <f>$B7/RN6ZigTnKolVel!$B7*RN6ZigTnKolVel!D32</f>
        <v>14765464.527027026</v>
      </c>
      <c r="E32" s="35">
        <f>$B7/RN6ZigTnKolVel!$B7*RN6ZigTnKolVel!E32</f>
        <v>12295405.405405404</v>
      </c>
      <c r="F32" s="35">
        <f>$B7/RN6ZigTnKolVel!$B7*RN6ZigTnKolVel!F32</f>
        <v>6037922.297297297</v>
      </c>
      <c r="G32" s="1"/>
      <c r="H32" s="1"/>
      <c r="I32" s="1"/>
      <c r="J32" s="1"/>
      <c r="K32" s="1"/>
      <c r="L32" s="1"/>
      <c r="M32" s="1"/>
      <c r="N32" s="1"/>
      <c r="O32" s="1"/>
      <c r="P32" s="1"/>
      <c r="Q32" s="1"/>
      <c r="R32" s="1"/>
      <c r="S32" s="1"/>
      <c r="T32" s="1"/>
      <c r="U32" s="1"/>
    </row>
    <row r="33" spans="1:21" ht="15">
      <c r="A33" s="15" t="s">
        <v>255</v>
      </c>
      <c r="B33" s="9">
        <f aca="true" t="shared" si="2" ref="B33:U33">B24-B32</f>
        <v>-6894164987.083135</v>
      </c>
      <c r="C33" s="9">
        <f t="shared" si="2"/>
        <v>-8093577544.121385</v>
      </c>
      <c r="D33" s="9">
        <f t="shared" si="2"/>
        <v>-12077060188.533428</v>
      </c>
      <c r="E33" s="9">
        <f t="shared" si="2"/>
        <v>4024203417.919718</v>
      </c>
      <c r="F33" s="9">
        <f t="shared" si="2"/>
        <v>4286569265.6275797</v>
      </c>
      <c r="G33" s="9">
        <f t="shared" si="2"/>
        <v>4275029249.842623</v>
      </c>
      <c r="H33" s="9">
        <f t="shared" si="2"/>
        <v>4554266871.237902</v>
      </c>
      <c r="I33" s="9">
        <f t="shared" si="2"/>
        <v>4525617571.695039</v>
      </c>
      <c r="J33" s="9">
        <f t="shared" si="2"/>
        <v>4831164379.20589</v>
      </c>
      <c r="K33" s="9">
        <f t="shared" si="2"/>
        <v>4790208043.942066</v>
      </c>
      <c r="L33" s="9">
        <f t="shared" si="2"/>
        <v>5125389034.900329</v>
      </c>
      <c r="M33" s="9">
        <f t="shared" si="2"/>
        <v>5070459149.507339</v>
      </c>
      <c r="N33" s="9">
        <f t="shared" si="2"/>
        <v>5438793842.272558</v>
      </c>
      <c r="O33" s="9">
        <f t="shared" si="2"/>
        <v>5488874820.580735</v>
      </c>
      <c r="P33" s="9">
        <f t="shared" si="2"/>
        <v>5651761763.718158</v>
      </c>
      <c r="Q33" s="9">
        <f t="shared" si="2"/>
        <v>5819717488.253701</v>
      </c>
      <c r="R33" s="9">
        <f t="shared" si="2"/>
        <v>5992951129.255264</v>
      </c>
      <c r="S33" s="9">
        <f t="shared" si="2"/>
        <v>6171635797.903826</v>
      </c>
      <c r="T33" s="9">
        <f t="shared" si="2"/>
        <v>6355950538.707348</v>
      </c>
      <c r="U33" s="9">
        <f t="shared" si="2"/>
        <v>6546080778.966595</v>
      </c>
    </row>
    <row r="34" ht="15">
      <c r="A34" s="15"/>
    </row>
    <row r="35" spans="1:3" ht="15">
      <c r="A35" s="15" t="s">
        <v>105</v>
      </c>
      <c r="B35" s="156">
        <f>IRR(B33:U33,0.1)</f>
        <v>0.1413679382735067</v>
      </c>
      <c r="C35" t="s">
        <v>252</v>
      </c>
    </row>
    <row r="37" spans="1:21" ht="15">
      <c r="A37" s="44" t="s">
        <v>253</v>
      </c>
      <c r="B37" s="35">
        <f>$B7/RN6ZigTnKolVel!$B$7*RN6ZigTnKolVel!B37</f>
        <v>0</v>
      </c>
      <c r="C37" s="35">
        <f>$B7/RN6ZigTnKolVel!$B7*RN6ZigTnKolVel!C37</f>
        <v>0</v>
      </c>
      <c r="D37" s="35">
        <f>$B7/RN6ZigTnKolVel!$B7*RN6ZigTnKolVel!D37</f>
        <v>109780405.4054054</v>
      </c>
      <c r="E37" s="35">
        <f>$B7/RN6ZigTnKolVel!$B7*RN6ZigTnKolVel!E37</f>
        <v>114720523.64864865</v>
      </c>
      <c r="F37" s="35">
        <f>$B7/RN6ZigTnKolVel!$B7*RN6ZigTnKolVel!F37</f>
        <v>4940118.243243243</v>
      </c>
      <c r="G37" s="1"/>
      <c r="H37" s="1"/>
      <c r="I37" s="1"/>
      <c r="J37" s="1"/>
      <c r="K37" s="1"/>
      <c r="L37" s="1"/>
      <c r="M37" s="1"/>
      <c r="N37" s="1"/>
      <c r="O37" s="1"/>
      <c r="P37" s="1"/>
      <c r="Q37" s="1"/>
      <c r="R37" s="1"/>
      <c r="S37" s="1"/>
      <c r="T37" s="1"/>
      <c r="U37" s="1"/>
    </row>
    <row r="38" spans="1:21" ht="15">
      <c r="A38" s="15" t="s">
        <v>251</v>
      </c>
      <c r="B38" s="9">
        <f aca="true" t="shared" si="3" ref="B38:U38">B33-B37</f>
        <v>-6894164987.083135</v>
      </c>
      <c r="C38" s="9">
        <f t="shared" si="3"/>
        <v>-8093577544.121385</v>
      </c>
      <c r="D38" s="9">
        <f t="shared" si="3"/>
        <v>-12186840593.938833</v>
      </c>
      <c r="E38" s="9">
        <f t="shared" si="3"/>
        <v>3909482894.271069</v>
      </c>
      <c r="F38" s="9">
        <f t="shared" si="3"/>
        <v>4281629147.3843365</v>
      </c>
      <c r="G38" s="9">
        <f t="shared" si="3"/>
        <v>4275029249.842623</v>
      </c>
      <c r="H38" s="9">
        <f t="shared" si="3"/>
        <v>4554266871.237902</v>
      </c>
      <c r="I38" s="9">
        <f t="shared" si="3"/>
        <v>4525617571.695039</v>
      </c>
      <c r="J38" s="9">
        <f t="shared" si="3"/>
        <v>4831164379.20589</v>
      </c>
      <c r="K38" s="9">
        <f t="shared" si="3"/>
        <v>4790208043.942066</v>
      </c>
      <c r="L38" s="9">
        <f t="shared" si="3"/>
        <v>5125389034.900329</v>
      </c>
      <c r="M38" s="9">
        <f t="shared" si="3"/>
        <v>5070459149.507339</v>
      </c>
      <c r="N38" s="9">
        <f t="shared" si="3"/>
        <v>5438793842.272558</v>
      </c>
      <c r="O38" s="9">
        <f t="shared" si="3"/>
        <v>5488874820.580735</v>
      </c>
      <c r="P38" s="9">
        <f t="shared" si="3"/>
        <v>5651761763.718158</v>
      </c>
      <c r="Q38" s="9">
        <f t="shared" si="3"/>
        <v>5819717488.253701</v>
      </c>
      <c r="R38" s="9">
        <f t="shared" si="3"/>
        <v>5992951129.255264</v>
      </c>
      <c r="S38" s="9">
        <f t="shared" si="3"/>
        <v>6171635797.903826</v>
      </c>
      <c r="T38" s="9">
        <f t="shared" si="3"/>
        <v>6355950538.707348</v>
      </c>
      <c r="U38" s="9">
        <f t="shared" si="3"/>
        <v>6546080778.966595</v>
      </c>
    </row>
    <row r="39" ht="15">
      <c r="A39" s="15"/>
    </row>
    <row r="40" spans="1:3" ht="15">
      <c r="A40" s="15" t="s">
        <v>105</v>
      </c>
      <c r="B40" s="156">
        <f>IRR(B38:U38,0.1)</f>
        <v>0.1403042959070251</v>
      </c>
      <c r="C40" t="s">
        <v>254</v>
      </c>
    </row>
    <row r="60" ht="27" customHeight="1"/>
    <row r="66" ht="27" customHeight="1"/>
    <row r="77" ht="27" customHeight="1"/>
    <row r="86" ht="27" customHeight="1"/>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V24"/>
  <sheetViews>
    <sheetView zoomScalePageLayoutView="0" workbookViewId="0" topLeftCell="A1">
      <selection activeCell="B25" sqref="B25"/>
    </sheetView>
  </sheetViews>
  <sheetFormatPr defaultColWidth="9.140625" defaultRowHeight="12.75"/>
  <cols>
    <col min="1" max="1" width="33.28125" style="0" customWidth="1"/>
    <col min="2" max="2" width="10.421875" style="0" customWidth="1"/>
    <col min="3" max="3" width="11.00390625" style="0" customWidth="1"/>
  </cols>
  <sheetData>
    <row r="1" ht="12.75">
      <c r="A1" t="s">
        <v>0</v>
      </c>
    </row>
    <row r="2" ht="12.75">
      <c r="A2" t="s">
        <v>2</v>
      </c>
    </row>
    <row r="3" ht="12.75">
      <c r="A3" t="s">
        <v>156</v>
      </c>
    </row>
    <row r="4" ht="12.75">
      <c r="A4" s="13" t="s">
        <v>158</v>
      </c>
    </row>
    <row r="5" spans="1:2" ht="12.75">
      <c r="A5" s="13" t="s">
        <v>155</v>
      </c>
      <c r="B5">
        <v>67</v>
      </c>
    </row>
    <row r="6" ht="12.75">
      <c r="A6" s="13" t="s">
        <v>157</v>
      </c>
    </row>
    <row r="9" spans="1:2" ht="12.75">
      <c r="A9" s="13" t="s">
        <v>127</v>
      </c>
      <c r="B9" s="13" t="s">
        <v>124</v>
      </c>
    </row>
    <row r="10" spans="1:22" ht="12.75">
      <c r="A10" s="13" t="s">
        <v>132</v>
      </c>
      <c r="B10" s="1">
        <v>2010</v>
      </c>
      <c r="C10" s="1">
        <v>2011</v>
      </c>
      <c r="D10" s="1">
        <v>2012</v>
      </c>
      <c r="E10" s="1">
        <v>2013</v>
      </c>
      <c r="F10" s="1">
        <v>2014</v>
      </c>
      <c r="G10" s="1">
        <v>2015</v>
      </c>
      <c r="H10" s="1">
        <v>2016</v>
      </c>
      <c r="I10" s="1">
        <v>2017</v>
      </c>
      <c r="J10" s="1">
        <v>2018</v>
      </c>
      <c r="K10" s="1">
        <v>2019</v>
      </c>
      <c r="L10" s="1">
        <v>2020</v>
      </c>
      <c r="M10" s="1">
        <v>2021</v>
      </c>
      <c r="N10" s="1">
        <v>2022</v>
      </c>
      <c r="O10" s="1">
        <v>2023</v>
      </c>
      <c r="P10" s="1">
        <v>2024</v>
      </c>
      <c r="Q10" s="1">
        <v>2025</v>
      </c>
      <c r="R10" s="1">
        <v>2026</v>
      </c>
      <c r="S10" s="1">
        <v>2027</v>
      </c>
      <c r="T10" s="1">
        <v>2028</v>
      </c>
      <c r="U10" s="1">
        <v>2029</v>
      </c>
      <c r="V10" s="1">
        <v>2030</v>
      </c>
    </row>
    <row r="11" spans="1:22" ht="12.75">
      <c r="A11" t="s">
        <v>126</v>
      </c>
      <c r="B11" s="7">
        <v>177884992</v>
      </c>
      <c r="C11" s="7">
        <v>83750000</v>
      </c>
      <c r="D11" s="7">
        <v>83750000</v>
      </c>
      <c r="E11" s="7">
        <v>83750000</v>
      </c>
      <c r="F11" s="7">
        <v>83750000</v>
      </c>
      <c r="G11" s="7">
        <v>83750000</v>
      </c>
      <c r="H11" s="7">
        <v>83750000</v>
      </c>
      <c r="I11" s="7">
        <v>83750000</v>
      </c>
      <c r="J11" s="7">
        <v>83750000</v>
      </c>
      <c r="K11" s="7">
        <v>83750000</v>
      </c>
      <c r="L11" s="7">
        <v>83750000</v>
      </c>
      <c r="M11" s="7">
        <v>83750000</v>
      </c>
      <c r="N11" s="7">
        <v>83750000</v>
      </c>
      <c r="O11" s="7">
        <v>83750000</v>
      </c>
      <c r="P11" s="7">
        <v>83750000</v>
      </c>
      <c r="Q11" s="7">
        <v>83750000</v>
      </c>
      <c r="R11" s="7">
        <v>83750000</v>
      </c>
      <c r="S11" s="7">
        <v>83750000</v>
      </c>
      <c r="T11" s="7">
        <v>83750000</v>
      </c>
      <c r="U11" s="7">
        <v>83750000</v>
      </c>
      <c r="V11" s="7">
        <v>83750000</v>
      </c>
    </row>
    <row r="12" spans="1:22" ht="12.75">
      <c r="A12" t="s">
        <v>125</v>
      </c>
      <c r="B12" s="27">
        <v>9351189504</v>
      </c>
      <c r="C12" s="27">
        <v>9351189504</v>
      </c>
      <c r="D12" s="1"/>
      <c r="E12" s="1"/>
      <c r="F12" s="1"/>
      <c r="G12" s="1"/>
      <c r="H12" s="1"/>
      <c r="I12" s="1"/>
      <c r="J12" s="1"/>
      <c r="K12" s="1"/>
      <c r="L12" s="1"/>
      <c r="M12" s="1"/>
      <c r="N12" s="1"/>
      <c r="O12" s="1"/>
      <c r="P12" s="1"/>
      <c r="Q12" s="1"/>
      <c r="R12" s="1"/>
      <c r="S12" s="1"/>
      <c r="T12" s="1"/>
      <c r="U12" s="1"/>
      <c r="V12" s="1"/>
    </row>
    <row r="13" spans="1:22" ht="12.75">
      <c r="A13" s="13" t="s">
        <v>134</v>
      </c>
      <c r="B13" s="7">
        <f aca="true" t="shared" si="0" ref="B13:V13">B11+B12</f>
        <v>9529074496</v>
      </c>
      <c r="C13" s="7">
        <f t="shared" si="0"/>
        <v>9434939504</v>
      </c>
      <c r="D13" s="7">
        <f t="shared" si="0"/>
        <v>83750000</v>
      </c>
      <c r="E13" s="7">
        <f t="shared" si="0"/>
        <v>83750000</v>
      </c>
      <c r="F13" s="7">
        <f t="shared" si="0"/>
        <v>83750000</v>
      </c>
      <c r="G13" s="7">
        <f t="shared" si="0"/>
        <v>83750000</v>
      </c>
      <c r="H13" s="7">
        <f t="shared" si="0"/>
        <v>83750000</v>
      </c>
      <c r="I13" s="7">
        <f t="shared" si="0"/>
        <v>83750000</v>
      </c>
      <c r="J13" s="7">
        <f t="shared" si="0"/>
        <v>83750000</v>
      </c>
      <c r="K13" s="7">
        <f t="shared" si="0"/>
        <v>83750000</v>
      </c>
      <c r="L13" s="7">
        <f t="shared" si="0"/>
        <v>83750000</v>
      </c>
      <c r="M13" s="7">
        <f t="shared" si="0"/>
        <v>83750000</v>
      </c>
      <c r="N13" s="7">
        <f t="shared" si="0"/>
        <v>83750000</v>
      </c>
      <c r="O13" s="7">
        <f t="shared" si="0"/>
        <v>83750000</v>
      </c>
      <c r="P13" s="7">
        <f t="shared" si="0"/>
        <v>83750000</v>
      </c>
      <c r="Q13" s="7">
        <f t="shared" si="0"/>
        <v>83750000</v>
      </c>
      <c r="R13" s="7">
        <f t="shared" si="0"/>
        <v>83750000</v>
      </c>
      <c r="S13" s="7">
        <f t="shared" si="0"/>
        <v>83750000</v>
      </c>
      <c r="T13" s="7">
        <f t="shared" si="0"/>
        <v>83750000</v>
      </c>
      <c r="U13" s="7">
        <f t="shared" si="0"/>
        <v>83750000</v>
      </c>
      <c r="V13" s="7">
        <f t="shared" si="0"/>
        <v>83750000</v>
      </c>
    </row>
    <row r="15" ht="12.75">
      <c r="A15" s="13" t="s">
        <v>133</v>
      </c>
    </row>
    <row r="16" spans="1:22" ht="12.75">
      <c r="A16" s="26" t="s">
        <v>130</v>
      </c>
      <c r="B16" s="7">
        <v>177884992</v>
      </c>
      <c r="C16" s="7">
        <v>177884992</v>
      </c>
      <c r="D16" s="7">
        <v>177884992</v>
      </c>
      <c r="E16" s="7">
        <v>177884992</v>
      </c>
      <c r="F16" s="7">
        <v>177884992</v>
      </c>
      <c r="G16" s="7">
        <v>177884992</v>
      </c>
      <c r="H16" s="7">
        <v>177884992</v>
      </c>
      <c r="I16" s="7">
        <v>177884992</v>
      </c>
      <c r="J16" s="7">
        <v>177884992</v>
      </c>
      <c r="K16" s="7">
        <v>177884992</v>
      </c>
      <c r="L16" s="7">
        <v>177884992</v>
      </c>
      <c r="M16" s="7">
        <v>177884992</v>
      </c>
      <c r="N16" s="7">
        <v>177884992</v>
      </c>
      <c r="O16" s="7">
        <v>177884992</v>
      </c>
      <c r="P16" s="7">
        <v>177884992</v>
      </c>
      <c r="Q16" s="7">
        <v>177884992</v>
      </c>
      <c r="R16" s="7">
        <v>177884992</v>
      </c>
      <c r="S16" s="7">
        <v>177884992</v>
      </c>
      <c r="T16" s="7">
        <v>177884992</v>
      </c>
      <c r="U16" s="7">
        <v>177884992</v>
      </c>
      <c r="V16" s="7">
        <v>177884992</v>
      </c>
    </row>
    <row r="17" spans="1:22" ht="12.75">
      <c r="A17" s="26" t="s">
        <v>160</v>
      </c>
      <c r="C17" s="7">
        <v>60875888</v>
      </c>
      <c r="D17" s="7"/>
      <c r="E17" s="7">
        <v>100868480</v>
      </c>
      <c r="F17" s="7"/>
      <c r="G17" s="7">
        <v>113528336</v>
      </c>
      <c r="H17" s="7">
        <v>62000644</v>
      </c>
      <c r="I17" s="7">
        <v>65776496</v>
      </c>
      <c r="J17" s="7">
        <v>69782248</v>
      </c>
      <c r="K17" s="7">
        <v>74031992</v>
      </c>
      <c r="L17" s="7">
        <v>78540544</v>
      </c>
      <c r="M17" s="7">
        <v>83323648</v>
      </c>
      <c r="N17" s="7">
        <v>88398056</v>
      </c>
      <c r="O17" s="7">
        <v>93781488</v>
      </c>
      <c r="P17" s="7">
        <v>99492792</v>
      </c>
      <c r="Q17" s="7">
        <v>105551912</v>
      </c>
      <c r="R17" s="7">
        <v>144611472</v>
      </c>
      <c r="S17" s="7">
        <v>118799560</v>
      </c>
      <c r="T17" s="7">
        <v>126034448</v>
      </c>
      <c r="U17" s="7">
        <v>133709984</v>
      </c>
      <c r="V17" s="7">
        <v>141852912</v>
      </c>
    </row>
    <row r="18" spans="1:22" ht="12.75">
      <c r="A18" s="26" t="s">
        <v>129</v>
      </c>
      <c r="B18" s="27">
        <v>4394460</v>
      </c>
      <c r="C18" s="27">
        <v>6482040</v>
      </c>
      <c r="D18" s="27">
        <v>9269513</v>
      </c>
      <c r="E18" s="27">
        <v>10756416</v>
      </c>
      <c r="F18" s="27">
        <v>11922603</v>
      </c>
      <c r="G18" s="27">
        <v>12869463</v>
      </c>
      <c r="H18" s="27">
        <v>13555507</v>
      </c>
      <c r="I18" s="27">
        <v>14141687</v>
      </c>
      <c r="J18" s="27">
        <v>14614601</v>
      </c>
      <c r="K18" s="27">
        <v>15022906</v>
      </c>
      <c r="L18" s="27">
        <v>15387659</v>
      </c>
      <c r="M18" s="27">
        <v>15770925</v>
      </c>
      <c r="N18" s="27">
        <v>16154345</v>
      </c>
      <c r="O18" s="27">
        <v>16548076</v>
      </c>
      <c r="P18" s="27">
        <v>16952320</v>
      </c>
      <c r="Q18" s="27">
        <v>17367274</v>
      </c>
      <c r="R18" s="27">
        <v>17793146</v>
      </c>
      <c r="S18" s="27">
        <v>18230110</v>
      </c>
      <c r="T18" s="27">
        <v>18678358</v>
      </c>
      <c r="U18" s="27">
        <v>19138076</v>
      </c>
      <c r="V18" s="27">
        <v>19609420</v>
      </c>
    </row>
    <row r="19" spans="1:22" ht="12.75">
      <c r="A19" s="13" t="s">
        <v>134</v>
      </c>
      <c r="B19" s="7">
        <f aca="true" t="shared" si="1" ref="B19:V19">SUM(B16:B18)</f>
        <v>182279452</v>
      </c>
      <c r="C19" s="7">
        <f t="shared" si="1"/>
        <v>245242920</v>
      </c>
      <c r="D19" s="7">
        <f t="shared" si="1"/>
        <v>187154505</v>
      </c>
      <c r="E19" s="7">
        <f t="shared" si="1"/>
        <v>289509888</v>
      </c>
      <c r="F19" s="7">
        <f t="shared" si="1"/>
        <v>189807595</v>
      </c>
      <c r="G19" s="7">
        <f t="shared" si="1"/>
        <v>304282791</v>
      </c>
      <c r="H19" s="7">
        <f t="shared" si="1"/>
        <v>253441143</v>
      </c>
      <c r="I19" s="7">
        <f t="shared" si="1"/>
        <v>257803175</v>
      </c>
      <c r="J19" s="7">
        <f t="shared" si="1"/>
        <v>262281841</v>
      </c>
      <c r="K19" s="7">
        <f t="shared" si="1"/>
        <v>266939890</v>
      </c>
      <c r="L19" s="7">
        <f t="shared" si="1"/>
        <v>271813195</v>
      </c>
      <c r="M19" s="7">
        <f t="shared" si="1"/>
        <v>276979565</v>
      </c>
      <c r="N19" s="7">
        <f t="shared" si="1"/>
        <v>282437393</v>
      </c>
      <c r="O19" s="7">
        <f t="shared" si="1"/>
        <v>288214556</v>
      </c>
      <c r="P19" s="7">
        <f t="shared" si="1"/>
        <v>294330104</v>
      </c>
      <c r="Q19" s="7">
        <f t="shared" si="1"/>
        <v>300804178</v>
      </c>
      <c r="R19" s="7">
        <f t="shared" si="1"/>
        <v>340289610</v>
      </c>
      <c r="S19" s="7">
        <f t="shared" si="1"/>
        <v>314914662</v>
      </c>
      <c r="T19" s="7">
        <f t="shared" si="1"/>
        <v>322597798</v>
      </c>
      <c r="U19" s="7">
        <f t="shared" si="1"/>
        <v>330733052</v>
      </c>
      <c r="V19" s="7">
        <f t="shared" si="1"/>
        <v>339347324</v>
      </c>
    </row>
    <row r="21" spans="1:22" ht="12.75">
      <c r="A21" s="13" t="s">
        <v>135</v>
      </c>
      <c r="B21" s="7">
        <f aca="true" t="shared" si="2" ref="B21:V21">B19-B11</f>
        <v>4394460</v>
      </c>
      <c r="C21" s="7">
        <f t="shared" si="2"/>
        <v>161492920</v>
      </c>
      <c r="D21" s="7">
        <f t="shared" si="2"/>
        <v>103404505</v>
      </c>
      <c r="E21" s="7">
        <f t="shared" si="2"/>
        <v>205759888</v>
      </c>
      <c r="F21" s="7">
        <f t="shared" si="2"/>
        <v>106057595</v>
      </c>
      <c r="G21" s="7">
        <f t="shared" si="2"/>
        <v>220532791</v>
      </c>
      <c r="H21" s="7">
        <f t="shared" si="2"/>
        <v>169691143</v>
      </c>
      <c r="I21" s="7">
        <f t="shared" si="2"/>
        <v>174053175</v>
      </c>
      <c r="J21" s="7">
        <f t="shared" si="2"/>
        <v>178531841</v>
      </c>
      <c r="K21" s="7">
        <f t="shared" si="2"/>
        <v>183189890</v>
      </c>
      <c r="L21" s="7">
        <f t="shared" si="2"/>
        <v>188063195</v>
      </c>
      <c r="M21" s="7">
        <f t="shared" si="2"/>
        <v>193229565</v>
      </c>
      <c r="N21" s="7">
        <f t="shared" si="2"/>
        <v>198687393</v>
      </c>
      <c r="O21" s="7">
        <f t="shared" si="2"/>
        <v>204464556</v>
      </c>
      <c r="P21" s="7">
        <f t="shared" si="2"/>
        <v>210580104</v>
      </c>
      <c r="Q21" s="7">
        <f t="shared" si="2"/>
        <v>217054178</v>
      </c>
      <c r="R21" s="7">
        <f t="shared" si="2"/>
        <v>256539610</v>
      </c>
      <c r="S21" s="7">
        <f t="shared" si="2"/>
        <v>231164662</v>
      </c>
      <c r="T21" s="7">
        <f t="shared" si="2"/>
        <v>238847798</v>
      </c>
      <c r="U21" s="7">
        <f t="shared" si="2"/>
        <v>246983052</v>
      </c>
      <c r="V21" s="7">
        <f t="shared" si="2"/>
        <v>255597324</v>
      </c>
    </row>
    <row r="22" spans="1:22" ht="12.75">
      <c r="A22" s="13" t="s">
        <v>136</v>
      </c>
      <c r="B22" s="7">
        <f aca="true" t="shared" si="3" ref="B22:V22">B21-B12</f>
        <v>-9346795044</v>
      </c>
      <c r="C22" s="7">
        <f t="shared" si="3"/>
        <v>-9189696584</v>
      </c>
      <c r="D22" s="7">
        <f t="shared" si="3"/>
        <v>103404505</v>
      </c>
      <c r="E22" s="7">
        <f t="shared" si="3"/>
        <v>205759888</v>
      </c>
      <c r="F22" s="7">
        <f t="shared" si="3"/>
        <v>106057595</v>
      </c>
      <c r="G22" s="7">
        <f t="shared" si="3"/>
        <v>220532791</v>
      </c>
      <c r="H22" s="7">
        <f t="shared" si="3"/>
        <v>169691143</v>
      </c>
      <c r="I22" s="7">
        <f t="shared" si="3"/>
        <v>174053175</v>
      </c>
      <c r="J22" s="7">
        <f t="shared" si="3"/>
        <v>178531841</v>
      </c>
      <c r="K22" s="7">
        <f t="shared" si="3"/>
        <v>183189890</v>
      </c>
      <c r="L22" s="7">
        <f t="shared" si="3"/>
        <v>188063195</v>
      </c>
      <c r="M22" s="7">
        <f t="shared" si="3"/>
        <v>193229565</v>
      </c>
      <c r="N22" s="7">
        <f t="shared" si="3"/>
        <v>198687393</v>
      </c>
      <c r="O22" s="7">
        <f t="shared" si="3"/>
        <v>204464556</v>
      </c>
      <c r="P22" s="7">
        <f t="shared" si="3"/>
        <v>210580104</v>
      </c>
      <c r="Q22" s="7">
        <f t="shared" si="3"/>
        <v>217054178</v>
      </c>
      <c r="R22" s="7">
        <f t="shared" si="3"/>
        <v>256539610</v>
      </c>
      <c r="S22" s="7">
        <f t="shared" si="3"/>
        <v>231164662</v>
      </c>
      <c r="T22" s="7">
        <f t="shared" si="3"/>
        <v>238847798</v>
      </c>
      <c r="U22" s="7">
        <f t="shared" si="3"/>
        <v>246983052</v>
      </c>
      <c r="V22" s="7">
        <f t="shared" si="3"/>
        <v>255597324</v>
      </c>
    </row>
    <row r="24" spans="1:12" ht="12.75">
      <c r="A24" s="13" t="s">
        <v>150</v>
      </c>
      <c r="H24">
        <f>H18/G18</f>
        <v>1.053307896374542</v>
      </c>
      <c r="I24">
        <f>I18/H18</f>
        <v>1.0432429417800455</v>
      </c>
      <c r="J24">
        <f>J18/I18</f>
        <v>1.0334411304676734</v>
      </c>
      <c r="K24">
        <f>K18/J18</f>
        <v>1.0279381558210177</v>
      </c>
      <c r="L24">
        <f>L18/K18</f>
        <v>1.0242797898089757</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U40"/>
  <sheetViews>
    <sheetView zoomScalePageLayoutView="0" workbookViewId="0" topLeftCell="A6">
      <selection activeCell="B25" sqref="B25"/>
    </sheetView>
  </sheetViews>
  <sheetFormatPr defaultColWidth="9.140625" defaultRowHeight="12.75"/>
  <cols>
    <col min="1" max="1" width="63.8515625" style="0" customWidth="1"/>
    <col min="2" max="2" width="10.140625" style="0" customWidth="1"/>
    <col min="3" max="3" width="9.421875" style="0" customWidth="1"/>
    <col min="5" max="6" width="9.28125" style="0" customWidth="1"/>
    <col min="7" max="7" width="0" style="0" hidden="1" customWidth="1"/>
    <col min="8" max="8" width="10.00390625" style="0" hidden="1" customWidth="1"/>
    <col min="9" max="10" width="0" style="0" hidden="1" customWidth="1"/>
    <col min="12" max="15" width="0" style="0" hidden="1" customWidth="1"/>
    <col min="17" max="20" width="0" style="0" hidden="1" customWidth="1"/>
  </cols>
  <sheetData>
    <row r="1" ht="15">
      <c r="A1" s="15" t="s">
        <v>69</v>
      </c>
    </row>
    <row r="2" ht="15">
      <c r="A2" s="15" t="s">
        <v>0</v>
      </c>
    </row>
    <row r="3" spans="1:8" ht="15">
      <c r="A3" s="15" t="s">
        <v>70</v>
      </c>
      <c r="D3" s="15" t="s">
        <v>145</v>
      </c>
      <c r="G3" s="28"/>
      <c r="H3" s="13" t="s">
        <v>149</v>
      </c>
    </row>
    <row r="4" spans="1:7" ht="15">
      <c r="A4" s="15" t="s">
        <v>2</v>
      </c>
      <c r="D4" s="15" t="s">
        <v>146</v>
      </c>
      <c r="G4" s="28"/>
    </row>
    <row r="5" spans="1:7" ht="15">
      <c r="A5" s="15" t="s">
        <v>163</v>
      </c>
      <c r="D5" s="15" t="s">
        <v>147</v>
      </c>
      <c r="G5" s="28"/>
    </row>
    <row r="6" spans="1:7" ht="15">
      <c r="A6" s="15" t="s">
        <v>144</v>
      </c>
      <c r="D6" s="15" t="s">
        <v>148</v>
      </c>
      <c r="G6" s="34"/>
    </row>
    <row r="7" spans="1:8" ht="15">
      <c r="A7" s="15" t="s">
        <v>142</v>
      </c>
      <c r="B7">
        <v>117</v>
      </c>
      <c r="F7" s="13" t="s">
        <v>67</v>
      </c>
      <c r="G7" s="28">
        <f>SUM(G3:G6)</f>
        <v>0</v>
      </c>
      <c r="H7" t="s">
        <v>169</v>
      </c>
    </row>
    <row r="9" ht="15">
      <c r="A9" s="15"/>
    </row>
    <row r="10" spans="1:2" ht="15">
      <c r="A10" s="15" t="s">
        <v>131</v>
      </c>
      <c r="B10" s="155">
        <v>0.03</v>
      </c>
    </row>
    <row r="11" spans="1:2" ht="15" hidden="1">
      <c r="A11" s="15" t="s">
        <v>138</v>
      </c>
      <c r="B11" s="9">
        <f>(EntretienZigTn!B12+EntretienZigTn!C12)*1.34/485</f>
        <v>90234090.35876289</v>
      </c>
    </row>
    <row r="12" spans="1:3" ht="15">
      <c r="A12" s="15" t="s">
        <v>263</v>
      </c>
      <c r="B12" s="9">
        <f>B11*1</f>
        <v>90234090.35876289</v>
      </c>
      <c r="C12" t="s">
        <v>261</v>
      </c>
    </row>
    <row r="13" spans="1:8" ht="15">
      <c r="A13" s="15" t="s">
        <v>114</v>
      </c>
      <c r="B13" s="2">
        <f>B12/B7</f>
        <v>771231.5415278879</v>
      </c>
      <c r="C13" s="13"/>
      <c r="E13" s="9"/>
      <c r="H13" s="9"/>
    </row>
    <row r="14" spans="1:5" ht="15">
      <c r="A14" s="15" t="s">
        <v>113</v>
      </c>
      <c r="B14" s="9">
        <f>B12*485</f>
        <v>43763533824</v>
      </c>
      <c r="C14" s="13"/>
      <c r="E14" s="9"/>
    </row>
    <row r="15" ht="15">
      <c r="A15" s="15"/>
    </row>
    <row r="16" spans="1:21" ht="15">
      <c r="A16" s="15"/>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row>
    <row r="17" spans="1:4" ht="15">
      <c r="A17" s="15" t="s">
        <v>71</v>
      </c>
      <c r="B17" s="155">
        <v>0.25</v>
      </c>
      <c r="C17" s="155">
        <v>0.3</v>
      </c>
      <c r="D17" s="155">
        <v>0.45</v>
      </c>
    </row>
    <row r="18" spans="1:5" ht="15">
      <c r="A18" s="15"/>
      <c r="B18" s="32"/>
      <c r="C18" s="33"/>
      <c r="D18" s="33"/>
      <c r="E18" s="33"/>
    </row>
    <row r="19" spans="1:21" ht="15">
      <c r="A19" s="24" t="s">
        <v>102</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row>
    <row r="20" spans="1:6" ht="15">
      <c r="A20" s="15" t="s">
        <v>78</v>
      </c>
      <c r="B20" s="9">
        <f>$B14*B17</f>
        <v>10940883456</v>
      </c>
      <c r="C20" s="9">
        <f>$B14*C17</f>
        <v>13129060147.199999</v>
      </c>
      <c r="D20" s="9">
        <f>$B14*D17</f>
        <v>19693590220.8</v>
      </c>
      <c r="E20" s="9">
        <f>$B14*E17</f>
        <v>0</v>
      </c>
      <c r="F20" s="9">
        <f>$B14*F17</f>
        <v>0</v>
      </c>
    </row>
    <row r="21" spans="1:6" ht="15">
      <c r="A21" s="15" t="s">
        <v>103</v>
      </c>
      <c r="B21" s="9">
        <f>B20*0.1</f>
        <v>1094088345.6000001</v>
      </c>
      <c r="C21" s="9">
        <f>C20*0.1</f>
        <v>1312906014.72</v>
      </c>
      <c r="D21" s="9">
        <f>D20*0.1</f>
        <v>1969359022.08</v>
      </c>
      <c r="E21" s="9">
        <f>E20*0.1</f>
        <v>0</v>
      </c>
      <c r="F21" s="9">
        <f>F20*0.1</f>
        <v>0</v>
      </c>
    </row>
    <row r="22" spans="1:21" ht="15">
      <c r="A22" s="15" t="s">
        <v>137</v>
      </c>
      <c r="B22" s="9">
        <f>EntretienKolVel!B21</f>
        <v>0</v>
      </c>
      <c r="C22" s="9">
        <f>EntretienKolVel!C21</f>
        <v>198470487</v>
      </c>
      <c r="D22" s="9">
        <f>EntretienKolVel!D21</f>
        <v>342993272</v>
      </c>
      <c r="E22" s="9">
        <f>EntretienKolVel!E21</f>
        <v>210048470</v>
      </c>
      <c r="F22" s="9">
        <f>EntretienKolVel!F21</f>
        <v>351363324</v>
      </c>
      <c r="G22" s="9">
        <f>EntretienKolVel!G21</f>
        <v>215548070</v>
      </c>
      <c r="H22" s="9">
        <f>EntretienKolVel!H21</f>
        <v>373001256</v>
      </c>
      <c r="I22" s="9">
        <f>EntretienKolVel!I21</f>
        <v>218913988</v>
      </c>
      <c r="J22" s="9">
        <f>EntretienKolVel!J21</f>
        <v>395259688</v>
      </c>
      <c r="K22" s="9">
        <f>EntretienKolVel!K21</f>
        <v>221226212</v>
      </c>
      <c r="L22" s="9">
        <f>EntretienKolVel!L21</f>
        <v>419337748</v>
      </c>
      <c r="M22" s="9">
        <f>EntretienKolVel!M21</f>
        <v>223226324</v>
      </c>
      <c r="N22" s="9">
        <f>EntretienKolVel!N21</f>
        <v>446144032</v>
      </c>
      <c r="O22" s="9">
        <f>EntretienKolVel!O21</f>
        <v>346445516</v>
      </c>
      <c r="P22" s="9">
        <f>EntretienKolVel!P21</f>
        <v>355059580</v>
      </c>
      <c r="Q22" s="9">
        <f>EntretienKolVel!Q21</f>
        <v>364114239.024</v>
      </c>
      <c r="R22" s="9">
        <f>EntretienKolVel!R21</f>
        <v>373679782.548672</v>
      </c>
      <c r="S22" s="9">
        <f>EntretienKolVel!S21</f>
        <v>383786310.7960348</v>
      </c>
      <c r="T22" s="9">
        <f>EntretienKolVel!T21</f>
        <v>394465566.98632383</v>
      </c>
      <c r="U22" s="9">
        <f>EntretienKolVel!U21</f>
        <v>405751258.09394085</v>
      </c>
    </row>
    <row r="23" spans="1:21" ht="15">
      <c r="A23" s="24" t="s">
        <v>79</v>
      </c>
      <c r="B23" s="30"/>
      <c r="C23" s="31"/>
      <c r="D23" s="31"/>
      <c r="E23" s="30">
        <f aca="true" t="shared" si="0" ref="E23:U23">($E28*$E29*$B7)*(1+$B10)^(E19-$E19)</f>
        <v>3008994222.643187</v>
      </c>
      <c r="F23" s="30">
        <f t="shared" si="0"/>
        <v>3099264049.3224826</v>
      </c>
      <c r="G23" s="30">
        <f t="shared" si="0"/>
        <v>3192241970.802157</v>
      </c>
      <c r="H23" s="30">
        <f t="shared" si="0"/>
        <v>3288009229.926222</v>
      </c>
      <c r="I23" s="30">
        <f t="shared" si="0"/>
        <v>3386649506.8240085</v>
      </c>
      <c r="J23" s="30">
        <f t="shared" si="0"/>
        <v>3488248992.0287285</v>
      </c>
      <c r="K23" s="30">
        <f t="shared" si="0"/>
        <v>3592896461.7895904</v>
      </c>
      <c r="L23" s="30">
        <f t="shared" si="0"/>
        <v>3700683355.643278</v>
      </c>
      <c r="M23" s="30">
        <f t="shared" si="0"/>
        <v>3811703856.3125763</v>
      </c>
      <c r="N23" s="30">
        <f t="shared" si="0"/>
        <v>3926054972.0019536</v>
      </c>
      <c r="O23" s="30">
        <f t="shared" si="0"/>
        <v>4043836621.162012</v>
      </c>
      <c r="P23" s="30">
        <f t="shared" si="0"/>
        <v>4165151719.7968726</v>
      </c>
      <c r="Q23" s="30">
        <f t="shared" si="0"/>
        <v>4290106271.390778</v>
      </c>
      <c r="R23" s="30">
        <f t="shared" si="0"/>
        <v>4418809459.532501</v>
      </c>
      <c r="S23" s="30">
        <f t="shared" si="0"/>
        <v>4551373743.318477</v>
      </c>
      <c r="T23" s="30">
        <f t="shared" si="0"/>
        <v>4687914955.6180315</v>
      </c>
      <c r="U23" s="30">
        <f t="shared" si="0"/>
        <v>4828552404.2865715</v>
      </c>
    </row>
    <row r="24" spans="1:21" ht="15">
      <c r="A24" s="15" t="s">
        <v>104</v>
      </c>
      <c r="B24" s="9">
        <f aca="true" t="shared" si="1" ref="B24:U24">B22+B23-B20-B21</f>
        <v>-12034971801.6</v>
      </c>
      <c r="C24" s="9">
        <f t="shared" si="1"/>
        <v>-14243495674.919998</v>
      </c>
      <c r="D24" s="9">
        <f t="shared" si="1"/>
        <v>-21319955970.879997</v>
      </c>
      <c r="E24" s="9">
        <f t="shared" si="1"/>
        <v>3219042692.643187</v>
      </c>
      <c r="F24" s="9">
        <f t="shared" si="1"/>
        <v>3450627373.3224826</v>
      </c>
      <c r="G24" s="9">
        <f t="shared" si="1"/>
        <v>3407790040.802157</v>
      </c>
      <c r="H24" s="9">
        <f t="shared" si="1"/>
        <v>3661010485.926222</v>
      </c>
      <c r="I24" s="9">
        <f t="shared" si="1"/>
        <v>3605563494.8240085</v>
      </c>
      <c r="J24" s="9">
        <f t="shared" si="1"/>
        <v>3883508680.0287285</v>
      </c>
      <c r="K24" s="9">
        <f t="shared" si="1"/>
        <v>3814122673.7895904</v>
      </c>
      <c r="L24" s="9">
        <f t="shared" si="1"/>
        <v>4120021103.643278</v>
      </c>
      <c r="M24" s="9">
        <f t="shared" si="1"/>
        <v>4034930180.3125763</v>
      </c>
      <c r="N24" s="9">
        <f t="shared" si="1"/>
        <v>4372199004.001953</v>
      </c>
      <c r="O24" s="9">
        <f t="shared" si="1"/>
        <v>4390282137.162012</v>
      </c>
      <c r="P24" s="9">
        <f t="shared" si="1"/>
        <v>4520211299.796873</v>
      </c>
      <c r="Q24" s="9">
        <f t="shared" si="1"/>
        <v>4654220510.414778</v>
      </c>
      <c r="R24" s="9">
        <f t="shared" si="1"/>
        <v>4792489242.081173</v>
      </c>
      <c r="S24" s="9">
        <f t="shared" si="1"/>
        <v>4935160054.1145115</v>
      </c>
      <c r="T24" s="9">
        <f t="shared" si="1"/>
        <v>5082380522.604355</v>
      </c>
      <c r="U24" s="9">
        <f t="shared" si="1"/>
        <v>5234303662.380512</v>
      </c>
    </row>
    <row r="25" spans="6:21" ht="12.75">
      <c r="F25" s="9"/>
      <c r="G25" s="9"/>
      <c r="H25" s="9"/>
      <c r="I25" s="9"/>
      <c r="J25" s="9"/>
      <c r="K25" s="9"/>
      <c r="L25" s="9"/>
      <c r="M25" s="9"/>
      <c r="N25" s="9"/>
      <c r="O25" s="9"/>
      <c r="P25" s="9"/>
      <c r="Q25" s="9"/>
      <c r="R25" s="9"/>
      <c r="S25" s="9"/>
      <c r="T25" s="9"/>
      <c r="U25" s="9"/>
    </row>
    <row r="26" spans="1:21" ht="15">
      <c r="A26" s="15" t="s">
        <v>105</v>
      </c>
      <c r="B26" s="156">
        <f>IRR(B24:U24,0.1)</f>
        <v>0.040887167257157575</v>
      </c>
      <c r="C26" s="9"/>
      <c r="D26" s="9"/>
      <c r="E26" s="9"/>
      <c r="F26" s="2">
        <f>E28*(1+B10)</f>
        <v>667.44</v>
      </c>
      <c r="G26" s="9"/>
      <c r="H26" s="9"/>
      <c r="I26" s="9"/>
      <c r="J26" s="9"/>
      <c r="K26" s="9"/>
      <c r="L26" s="9"/>
      <c r="M26" s="9"/>
      <c r="N26" s="9"/>
      <c r="O26" s="9"/>
      <c r="P26" s="9"/>
      <c r="Q26" s="9"/>
      <c r="R26" s="9"/>
      <c r="S26" s="9"/>
      <c r="T26" s="9"/>
      <c r="U26" s="9"/>
    </row>
    <row r="27" spans="1:21" ht="15">
      <c r="A27" s="15"/>
      <c r="B27" s="156"/>
      <c r="C27" s="9"/>
      <c r="D27" s="9"/>
      <c r="E27" s="9"/>
      <c r="F27" s="9"/>
      <c r="G27" s="9"/>
      <c r="H27" s="9"/>
      <c r="I27" s="9"/>
      <c r="J27" s="9"/>
      <c r="K27" s="9"/>
      <c r="L27" s="9"/>
      <c r="M27" s="9"/>
      <c r="N27" s="9"/>
      <c r="O27" s="9"/>
      <c r="P27" s="9"/>
      <c r="Q27" s="9"/>
      <c r="R27" s="9"/>
      <c r="S27" s="9"/>
      <c r="T27" s="9"/>
      <c r="U27" s="9"/>
    </row>
    <row r="28" spans="1:6" ht="15">
      <c r="A28" s="15" t="s">
        <v>140</v>
      </c>
      <c r="B28" s="9"/>
      <c r="C28" s="9"/>
      <c r="D28" s="9"/>
      <c r="E28" s="2">
        <v>648</v>
      </c>
      <c r="F28" t="s">
        <v>161</v>
      </c>
    </row>
    <row r="29" spans="1:5" ht="15">
      <c r="A29" s="15" t="s">
        <v>153</v>
      </c>
      <c r="B29" s="9"/>
      <c r="C29" s="9"/>
      <c r="D29" s="9"/>
      <c r="E29" s="29">
        <f>'Vel-MandaFeasSim'!B45</f>
        <v>39688.116263627555</v>
      </c>
    </row>
    <row r="30" spans="1:5" ht="15">
      <c r="A30" s="15"/>
      <c r="B30" s="9"/>
      <c r="C30" s="9"/>
      <c r="D30" s="9"/>
      <c r="E30" s="2">
        <f>E29/485</f>
        <v>81.83116755387125</v>
      </c>
    </row>
    <row r="32" spans="1:21" ht="15">
      <c r="A32" s="15" t="s">
        <v>250</v>
      </c>
      <c r="B32" s="35">
        <f>$B7/RN6ZigTnKolVel!$B$7*RN6ZigTnKolVel!B32</f>
        <v>4083339.527027027</v>
      </c>
      <c r="C32" s="35">
        <f>$B7/RN6ZigTnKolVel!$B7*RN6ZigTnKolVel!C32</f>
        <v>38166506.75675676</v>
      </c>
      <c r="D32" s="35">
        <f>$B7/RN6ZigTnKolVel!$B7*RN6ZigTnKolVel!D32</f>
        <v>25784467.905405406</v>
      </c>
      <c r="E32" s="35">
        <f>$B7/RN6ZigTnKolVel!$B7*RN6ZigTnKolVel!E32</f>
        <v>21471081.08108108</v>
      </c>
      <c r="F32" s="35">
        <f>$B7/RN6ZigTnKolVel!$B7*RN6ZigTnKolVel!F32</f>
        <v>10543834.45945946</v>
      </c>
      <c r="G32" s="1"/>
      <c r="H32" s="1"/>
      <c r="I32" s="1"/>
      <c r="J32" s="1"/>
      <c r="K32" s="1"/>
      <c r="L32" s="1"/>
      <c r="M32" s="1"/>
      <c r="N32" s="1"/>
      <c r="O32" s="1"/>
      <c r="P32" s="1"/>
      <c r="Q32" s="1"/>
      <c r="R32" s="1"/>
      <c r="S32" s="1"/>
      <c r="T32" s="1"/>
      <c r="U32" s="1"/>
    </row>
    <row r="33" spans="1:21" ht="15">
      <c r="A33" s="15" t="s">
        <v>255</v>
      </c>
      <c r="B33" s="9">
        <f aca="true" t="shared" si="2" ref="B33:U33">B24-B32</f>
        <v>-12039055141.127028</v>
      </c>
      <c r="C33" s="9">
        <f t="shared" si="2"/>
        <v>-14281662181.676754</v>
      </c>
      <c r="D33" s="9">
        <f t="shared" si="2"/>
        <v>-21345740438.785404</v>
      </c>
      <c r="E33" s="9">
        <f t="shared" si="2"/>
        <v>3197571611.562106</v>
      </c>
      <c r="F33" s="9">
        <f t="shared" si="2"/>
        <v>3440083538.8630233</v>
      </c>
      <c r="G33" s="9">
        <f t="shared" si="2"/>
        <v>3407790040.802157</v>
      </c>
      <c r="H33" s="9">
        <f t="shared" si="2"/>
        <v>3661010485.926222</v>
      </c>
      <c r="I33" s="9">
        <f t="shared" si="2"/>
        <v>3605563494.8240085</v>
      </c>
      <c r="J33" s="9">
        <f t="shared" si="2"/>
        <v>3883508680.0287285</v>
      </c>
      <c r="K33" s="9">
        <f t="shared" si="2"/>
        <v>3814122673.7895904</v>
      </c>
      <c r="L33" s="9">
        <f t="shared" si="2"/>
        <v>4120021103.643278</v>
      </c>
      <c r="M33" s="9">
        <f t="shared" si="2"/>
        <v>4034930180.3125763</v>
      </c>
      <c r="N33" s="9">
        <f t="shared" si="2"/>
        <v>4372199004.001953</v>
      </c>
      <c r="O33" s="9">
        <f t="shared" si="2"/>
        <v>4390282137.162012</v>
      </c>
      <c r="P33" s="9">
        <f t="shared" si="2"/>
        <v>4520211299.796873</v>
      </c>
      <c r="Q33" s="9">
        <f t="shared" si="2"/>
        <v>4654220510.414778</v>
      </c>
      <c r="R33" s="9">
        <f t="shared" si="2"/>
        <v>4792489242.081173</v>
      </c>
      <c r="S33" s="9">
        <f t="shared" si="2"/>
        <v>4935160054.1145115</v>
      </c>
      <c r="T33" s="9">
        <f t="shared" si="2"/>
        <v>5082380522.604355</v>
      </c>
      <c r="U33" s="9">
        <f t="shared" si="2"/>
        <v>5234303662.380512</v>
      </c>
    </row>
    <row r="34" ht="15">
      <c r="A34" s="15"/>
    </row>
    <row r="35" spans="1:3" ht="15">
      <c r="A35" s="15" t="s">
        <v>105</v>
      </c>
      <c r="B35" s="156">
        <f>IRR(B33:U33,0.1)</f>
        <v>0.040665766033473494</v>
      </c>
      <c r="C35" t="s">
        <v>252</v>
      </c>
    </row>
    <row r="37" spans="1:21" ht="15">
      <c r="A37" s="44" t="s">
        <v>253</v>
      </c>
      <c r="B37" s="35">
        <f>$B7/RN6ZigTnKolVel!$B$7*RN6ZigTnKolVel!B37</f>
        <v>0</v>
      </c>
      <c r="C37" s="35">
        <f>$B7/RN6ZigTnKolVel!$B7*RN6ZigTnKolVel!C37</f>
        <v>0</v>
      </c>
      <c r="D37" s="35">
        <f>$B7/RN6ZigTnKolVel!$B7*RN6ZigTnKolVel!D37</f>
        <v>191706081.0810811</v>
      </c>
      <c r="E37" s="35">
        <f>$B7/RN6ZigTnKolVel!$B7*RN6ZigTnKolVel!E37</f>
        <v>200332854.72972974</v>
      </c>
      <c r="F37" s="35">
        <f>$B7/RN6ZigTnKolVel!$B7*RN6ZigTnKolVel!F37</f>
        <v>8626773.64864865</v>
      </c>
      <c r="G37" s="1"/>
      <c r="H37" s="1"/>
      <c r="I37" s="1"/>
      <c r="J37" s="1"/>
      <c r="K37" s="1"/>
      <c r="L37" s="1"/>
      <c r="M37" s="1"/>
      <c r="N37" s="1"/>
      <c r="O37" s="1"/>
      <c r="P37" s="1"/>
      <c r="Q37" s="1"/>
      <c r="R37" s="1"/>
      <c r="S37" s="1"/>
      <c r="T37" s="1"/>
      <c r="U37" s="1"/>
    </row>
    <row r="38" spans="1:21" ht="15">
      <c r="A38" s="15" t="s">
        <v>251</v>
      </c>
      <c r="B38" s="9">
        <f aca="true" t="shared" si="3" ref="B38:U38">B33-B37</f>
        <v>-12039055141.127028</v>
      </c>
      <c r="C38" s="9">
        <f t="shared" si="3"/>
        <v>-14281662181.676754</v>
      </c>
      <c r="D38" s="9">
        <f t="shared" si="3"/>
        <v>-21537446519.866486</v>
      </c>
      <c r="E38" s="9">
        <f t="shared" si="3"/>
        <v>2997238756.8323765</v>
      </c>
      <c r="F38" s="9">
        <f t="shared" si="3"/>
        <v>3431456765.2143745</v>
      </c>
      <c r="G38" s="9">
        <f t="shared" si="3"/>
        <v>3407790040.802157</v>
      </c>
      <c r="H38" s="9">
        <f t="shared" si="3"/>
        <v>3661010485.926222</v>
      </c>
      <c r="I38" s="9">
        <f t="shared" si="3"/>
        <v>3605563494.8240085</v>
      </c>
      <c r="J38" s="9">
        <f t="shared" si="3"/>
        <v>3883508680.0287285</v>
      </c>
      <c r="K38" s="9">
        <f t="shared" si="3"/>
        <v>3814122673.7895904</v>
      </c>
      <c r="L38" s="9">
        <f t="shared" si="3"/>
        <v>4120021103.643278</v>
      </c>
      <c r="M38" s="9">
        <f t="shared" si="3"/>
        <v>4034930180.3125763</v>
      </c>
      <c r="N38" s="9">
        <f t="shared" si="3"/>
        <v>4372199004.001953</v>
      </c>
      <c r="O38" s="9">
        <f t="shared" si="3"/>
        <v>4390282137.162012</v>
      </c>
      <c r="P38" s="9">
        <f t="shared" si="3"/>
        <v>4520211299.796873</v>
      </c>
      <c r="Q38" s="9">
        <f t="shared" si="3"/>
        <v>4654220510.414778</v>
      </c>
      <c r="R38" s="9">
        <f t="shared" si="3"/>
        <v>4792489242.081173</v>
      </c>
      <c r="S38" s="9">
        <f t="shared" si="3"/>
        <v>4935160054.1145115</v>
      </c>
      <c r="T38" s="9">
        <f t="shared" si="3"/>
        <v>5082380522.604355</v>
      </c>
      <c r="U38" s="9">
        <f t="shared" si="3"/>
        <v>5234303662.380512</v>
      </c>
    </row>
    <row r="39" ht="15">
      <c r="A39" s="15"/>
    </row>
    <row r="40" spans="1:3" ht="15">
      <c r="A40" s="15" t="s">
        <v>105</v>
      </c>
      <c r="B40" s="156">
        <f>IRR(B38:U38,0.1)</f>
        <v>0.03980475805654016</v>
      </c>
      <c r="C40" t="s">
        <v>254</v>
      </c>
    </row>
    <row r="60" ht="27" customHeight="1"/>
    <row r="66" ht="27" customHeight="1"/>
    <row r="77" ht="27" customHeight="1"/>
    <row r="86" ht="27" customHeight="1"/>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V24"/>
  <sheetViews>
    <sheetView zoomScalePageLayoutView="0" workbookViewId="0" topLeftCell="A1">
      <selection activeCell="B25" sqref="B25"/>
    </sheetView>
  </sheetViews>
  <sheetFormatPr defaultColWidth="9.140625" defaultRowHeight="12.75"/>
  <cols>
    <col min="1" max="1" width="33.28125" style="0" customWidth="1"/>
    <col min="2" max="2" width="10.421875" style="0" customWidth="1"/>
    <col min="3" max="3" width="11.00390625" style="0" customWidth="1"/>
  </cols>
  <sheetData>
    <row r="1" ht="12.75">
      <c r="A1" t="s">
        <v>0</v>
      </c>
    </row>
    <row r="2" ht="12.75">
      <c r="A2" t="s">
        <v>2</v>
      </c>
    </row>
    <row r="3" ht="12.75">
      <c r="A3" t="s">
        <v>156</v>
      </c>
    </row>
    <row r="4" ht="12.75">
      <c r="A4" s="13" t="s">
        <v>162</v>
      </c>
    </row>
    <row r="5" spans="1:2" ht="12.75">
      <c r="A5" s="13" t="s">
        <v>155</v>
      </c>
      <c r="B5">
        <v>117</v>
      </c>
    </row>
    <row r="6" ht="12.75">
      <c r="A6" s="13" t="s">
        <v>157</v>
      </c>
    </row>
    <row r="9" spans="1:2" ht="12.75">
      <c r="A9" s="13" t="s">
        <v>127</v>
      </c>
      <c r="B9" s="13" t="s">
        <v>124</v>
      </c>
    </row>
    <row r="10" spans="1:22" ht="12.75">
      <c r="A10" s="13" t="s">
        <v>132</v>
      </c>
      <c r="B10" s="1">
        <v>2010</v>
      </c>
      <c r="C10" s="1">
        <v>2011</v>
      </c>
      <c r="D10" s="1">
        <v>2012</v>
      </c>
      <c r="E10" s="1">
        <v>2013</v>
      </c>
      <c r="F10" s="1">
        <v>2014</v>
      </c>
      <c r="G10" s="1">
        <v>2015</v>
      </c>
      <c r="H10" s="1">
        <v>2016</v>
      </c>
      <c r="I10" s="1">
        <v>2017</v>
      </c>
      <c r="J10" s="1">
        <v>2018</v>
      </c>
      <c r="K10" s="1">
        <v>2019</v>
      </c>
      <c r="L10" s="1">
        <v>2020</v>
      </c>
      <c r="M10" s="1">
        <v>2021</v>
      </c>
      <c r="N10" s="1">
        <v>2022</v>
      </c>
      <c r="O10" s="1">
        <v>2023</v>
      </c>
      <c r="P10" s="1">
        <v>2024</v>
      </c>
      <c r="Q10" s="1">
        <v>2025</v>
      </c>
      <c r="R10" s="1">
        <v>2026</v>
      </c>
      <c r="S10" s="1">
        <v>2027</v>
      </c>
      <c r="T10" s="1">
        <v>2028</v>
      </c>
      <c r="U10" s="1">
        <v>2029</v>
      </c>
      <c r="V10" s="1">
        <v>2030</v>
      </c>
    </row>
    <row r="11" spans="1:22" ht="12.75">
      <c r="A11" t="s">
        <v>126</v>
      </c>
      <c r="B11" s="7">
        <v>310635008</v>
      </c>
      <c r="C11" s="7">
        <v>146250000</v>
      </c>
      <c r="D11" s="7">
        <v>146250000</v>
      </c>
      <c r="E11" s="7">
        <v>146250000</v>
      </c>
      <c r="F11" s="7">
        <v>146250000</v>
      </c>
      <c r="G11" s="7">
        <v>146250000</v>
      </c>
      <c r="H11" s="7">
        <v>146250000</v>
      </c>
      <c r="I11" s="7">
        <v>146250000</v>
      </c>
      <c r="J11" s="7">
        <v>146250000</v>
      </c>
      <c r="K11" s="7">
        <v>146250000</v>
      </c>
      <c r="L11" s="7">
        <v>146250000</v>
      </c>
      <c r="M11" s="7">
        <v>146250000</v>
      </c>
      <c r="N11" s="7">
        <v>146250000</v>
      </c>
      <c r="O11" s="7">
        <v>146250000</v>
      </c>
      <c r="P11" s="7">
        <v>146250000</v>
      </c>
      <c r="Q11" s="7">
        <v>146250000</v>
      </c>
      <c r="R11" s="7">
        <v>146250000</v>
      </c>
      <c r="S11" s="7">
        <v>146250000</v>
      </c>
      <c r="T11" s="7">
        <v>146250000</v>
      </c>
      <c r="U11" s="7">
        <v>146250000</v>
      </c>
      <c r="V11" s="7">
        <v>146250000</v>
      </c>
    </row>
    <row r="12" spans="1:22" ht="12.75">
      <c r="A12" t="s">
        <v>125</v>
      </c>
      <c r="B12" s="27">
        <v>16329676800</v>
      </c>
      <c r="C12" s="27">
        <v>16329676800</v>
      </c>
      <c r="D12" s="1"/>
      <c r="E12" s="1"/>
      <c r="F12" s="1"/>
      <c r="G12" s="1"/>
      <c r="H12" s="1"/>
      <c r="I12" s="1"/>
      <c r="J12" s="1"/>
      <c r="K12" s="1"/>
      <c r="L12" s="1"/>
      <c r="M12" s="1"/>
      <c r="N12" s="1"/>
      <c r="O12" s="1"/>
      <c r="P12" s="1"/>
      <c r="Q12" s="1"/>
      <c r="R12" s="1"/>
      <c r="S12" s="1"/>
      <c r="T12" s="1"/>
      <c r="U12" s="1"/>
      <c r="V12" s="1"/>
    </row>
    <row r="13" spans="1:22" ht="12.75">
      <c r="A13" s="13" t="s">
        <v>134</v>
      </c>
      <c r="B13" s="7">
        <f aca="true" t="shared" si="0" ref="B13:V13">B11+B12</f>
        <v>16640311808</v>
      </c>
      <c r="C13" s="7">
        <f t="shared" si="0"/>
        <v>16475926800</v>
      </c>
      <c r="D13" s="7">
        <f t="shared" si="0"/>
        <v>146250000</v>
      </c>
      <c r="E13" s="7">
        <f t="shared" si="0"/>
        <v>146250000</v>
      </c>
      <c r="F13" s="7">
        <f t="shared" si="0"/>
        <v>146250000</v>
      </c>
      <c r="G13" s="7">
        <f t="shared" si="0"/>
        <v>146250000</v>
      </c>
      <c r="H13" s="7">
        <f t="shared" si="0"/>
        <v>146250000</v>
      </c>
      <c r="I13" s="7">
        <f t="shared" si="0"/>
        <v>146250000</v>
      </c>
      <c r="J13" s="7">
        <f t="shared" si="0"/>
        <v>146250000</v>
      </c>
      <c r="K13" s="7">
        <f t="shared" si="0"/>
        <v>146250000</v>
      </c>
      <c r="L13" s="7">
        <f t="shared" si="0"/>
        <v>146250000</v>
      </c>
      <c r="M13" s="7">
        <f t="shared" si="0"/>
        <v>146250000</v>
      </c>
      <c r="N13" s="7">
        <f t="shared" si="0"/>
        <v>146250000</v>
      </c>
      <c r="O13" s="7">
        <f t="shared" si="0"/>
        <v>146250000</v>
      </c>
      <c r="P13" s="7">
        <f t="shared" si="0"/>
        <v>146250000</v>
      </c>
      <c r="Q13" s="7">
        <f t="shared" si="0"/>
        <v>146250000</v>
      </c>
      <c r="R13" s="7">
        <f t="shared" si="0"/>
        <v>146250000</v>
      </c>
      <c r="S13" s="7">
        <f t="shared" si="0"/>
        <v>146250000</v>
      </c>
      <c r="T13" s="7">
        <f t="shared" si="0"/>
        <v>146250000</v>
      </c>
      <c r="U13" s="7">
        <f t="shared" si="0"/>
        <v>146250000</v>
      </c>
      <c r="V13" s="7">
        <f t="shared" si="0"/>
        <v>146250000</v>
      </c>
    </row>
    <row r="15" ht="12.75">
      <c r="A15" s="13" t="s">
        <v>133</v>
      </c>
    </row>
    <row r="16" spans="1:22" ht="12.75">
      <c r="A16" s="26" t="s">
        <v>130</v>
      </c>
      <c r="B16" s="7">
        <v>310635008</v>
      </c>
      <c r="C16" s="7">
        <v>310635008</v>
      </c>
      <c r="D16" s="7">
        <v>310635008</v>
      </c>
      <c r="E16" s="7">
        <v>310635008</v>
      </c>
      <c r="F16" s="7">
        <v>310635008</v>
      </c>
      <c r="G16" s="7">
        <v>310635008</v>
      </c>
      <c r="H16" s="7">
        <v>310635008</v>
      </c>
      <c r="I16" s="7">
        <v>310635008</v>
      </c>
      <c r="J16" s="7">
        <v>310635008</v>
      </c>
      <c r="K16" s="7">
        <v>310635008</v>
      </c>
      <c r="L16" s="7">
        <v>310635008</v>
      </c>
      <c r="M16" s="7">
        <v>310635008</v>
      </c>
      <c r="N16" s="7">
        <v>310635008</v>
      </c>
      <c r="O16" s="7">
        <v>310635008</v>
      </c>
      <c r="P16" s="7">
        <v>310635008</v>
      </c>
      <c r="Q16" s="7">
        <v>310635008</v>
      </c>
      <c r="R16" s="7">
        <v>310635008</v>
      </c>
      <c r="S16" s="7">
        <v>310635008</v>
      </c>
      <c r="T16" s="7">
        <v>310635008</v>
      </c>
      <c r="U16" s="7">
        <v>310635008</v>
      </c>
      <c r="V16" s="7">
        <v>310635008</v>
      </c>
    </row>
    <row r="17" spans="1:22" ht="12.75">
      <c r="A17" s="26" t="s">
        <v>160</v>
      </c>
      <c r="C17" s="7"/>
      <c r="D17" s="7"/>
      <c r="E17" s="7"/>
      <c r="F17" s="7"/>
      <c r="G17" s="7"/>
      <c r="H17" s="7"/>
      <c r="I17" s="7"/>
      <c r="J17" s="7"/>
      <c r="K17" s="7"/>
      <c r="L17" s="7"/>
      <c r="M17" s="7">
        <v>115389616</v>
      </c>
      <c r="N17" s="7"/>
      <c r="O17" s="7"/>
      <c r="P17" s="7"/>
      <c r="Q17" s="7"/>
      <c r="R17" s="7"/>
      <c r="S17" s="7"/>
      <c r="T17" s="7">
        <v>119158560</v>
      </c>
      <c r="U17" s="7"/>
      <c r="V17" s="7"/>
    </row>
    <row r="18" spans="1:22" ht="12.75">
      <c r="A18" s="26" t="s">
        <v>129</v>
      </c>
      <c r="B18" s="27">
        <v>5048649</v>
      </c>
      <c r="C18" s="27">
        <v>7086367</v>
      </c>
      <c r="D18" s="27">
        <v>9615349</v>
      </c>
      <c r="E18" s="27">
        <v>11128916</v>
      </c>
      <c r="F18" s="27">
        <v>12331307</v>
      </c>
      <c r="G18" s="27">
        <v>13252366</v>
      </c>
      <c r="H18" s="27">
        <v>13946443</v>
      </c>
      <c r="I18" s="27">
        <v>14476260</v>
      </c>
      <c r="J18" s="27">
        <v>14909895</v>
      </c>
      <c r="K18" s="27">
        <v>15269181</v>
      </c>
      <c r="L18" s="27">
        <v>15588513</v>
      </c>
      <c r="M18" s="27">
        <v>15916324</v>
      </c>
      <c r="N18" s="27">
        <v>16252645</v>
      </c>
      <c r="O18" s="27">
        <v>16672594</v>
      </c>
      <c r="P18" s="27">
        <v>17074556</v>
      </c>
      <c r="Q18" s="27">
        <v>17481448</v>
      </c>
      <c r="R18" s="27">
        <v>17857562</v>
      </c>
      <c r="S18" s="27">
        <v>18242334</v>
      </c>
      <c r="T18" s="27">
        <v>18636446</v>
      </c>
      <c r="U18" s="27">
        <v>19039982</v>
      </c>
      <c r="V18" s="27">
        <v>19547658</v>
      </c>
    </row>
    <row r="19" spans="1:22" ht="12.75">
      <c r="A19" s="13" t="s">
        <v>134</v>
      </c>
      <c r="B19" s="7">
        <f aca="true" t="shared" si="1" ref="B19:V19">SUM(B16:B18)</f>
        <v>315683657</v>
      </c>
      <c r="C19" s="7">
        <f t="shared" si="1"/>
        <v>317721375</v>
      </c>
      <c r="D19" s="7">
        <f t="shared" si="1"/>
        <v>320250357</v>
      </c>
      <c r="E19" s="7">
        <f t="shared" si="1"/>
        <v>321763924</v>
      </c>
      <c r="F19" s="7">
        <f t="shared" si="1"/>
        <v>322966315</v>
      </c>
      <c r="G19" s="7">
        <f t="shared" si="1"/>
        <v>323887374</v>
      </c>
      <c r="H19" s="7">
        <f t="shared" si="1"/>
        <v>324581451</v>
      </c>
      <c r="I19" s="7">
        <f t="shared" si="1"/>
        <v>325111268</v>
      </c>
      <c r="J19" s="7">
        <f t="shared" si="1"/>
        <v>325544903</v>
      </c>
      <c r="K19" s="7">
        <f t="shared" si="1"/>
        <v>325904189</v>
      </c>
      <c r="L19" s="7">
        <f t="shared" si="1"/>
        <v>326223521</v>
      </c>
      <c r="M19" s="7">
        <f t="shared" si="1"/>
        <v>441940948</v>
      </c>
      <c r="N19" s="7">
        <f t="shared" si="1"/>
        <v>326887653</v>
      </c>
      <c r="O19" s="7">
        <f t="shared" si="1"/>
        <v>327307602</v>
      </c>
      <c r="P19" s="7">
        <f t="shared" si="1"/>
        <v>327709564</v>
      </c>
      <c r="Q19" s="7">
        <f t="shared" si="1"/>
        <v>328116456</v>
      </c>
      <c r="R19" s="7">
        <f t="shared" si="1"/>
        <v>328492570</v>
      </c>
      <c r="S19" s="7">
        <f t="shared" si="1"/>
        <v>328877342</v>
      </c>
      <c r="T19" s="7">
        <f t="shared" si="1"/>
        <v>448430014</v>
      </c>
      <c r="U19" s="7">
        <f t="shared" si="1"/>
        <v>329674990</v>
      </c>
      <c r="V19" s="7">
        <f t="shared" si="1"/>
        <v>330182666</v>
      </c>
    </row>
    <row r="21" spans="1:22" ht="12.75">
      <c r="A21" s="13" t="s">
        <v>135</v>
      </c>
      <c r="B21" s="7">
        <f aca="true" t="shared" si="2" ref="B21:V21">B19-B11</f>
        <v>5048649</v>
      </c>
      <c r="C21" s="7">
        <f t="shared" si="2"/>
        <v>171471375</v>
      </c>
      <c r="D21" s="7">
        <f t="shared" si="2"/>
        <v>174000357</v>
      </c>
      <c r="E21" s="7">
        <f t="shared" si="2"/>
        <v>175513924</v>
      </c>
      <c r="F21" s="7">
        <f t="shared" si="2"/>
        <v>176716315</v>
      </c>
      <c r="G21" s="7">
        <f t="shared" si="2"/>
        <v>177637374</v>
      </c>
      <c r="H21" s="7">
        <f t="shared" si="2"/>
        <v>178331451</v>
      </c>
      <c r="I21" s="7">
        <f t="shared" si="2"/>
        <v>178861268</v>
      </c>
      <c r="J21" s="7">
        <f t="shared" si="2"/>
        <v>179294903</v>
      </c>
      <c r="K21" s="7">
        <f t="shared" si="2"/>
        <v>179654189</v>
      </c>
      <c r="L21" s="7">
        <f t="shared" si="2"/>
        <v>179973521</v>
      </c>
      <c r="M21" s="7">
        <f t="shared" si="2"/>
        <v>295690948</v>
      </c>
      <c r="N21" s="7">
        <f t="shared" si="2"/>
        <v>180637653</v>
      </c>
      <c r="O21" s="7">
        <f t="shared" si="2"/>
        <v>181057602</v>
      </c>
      <c r="P21" s="7">
        <f t="shared" si="2"/>
        <v>181459564</v>
      </c>
      <c r="Q21" s="7">
        <f t="shared" si="2"/>
        <v>181866456</v>
      </c>
      <c r="R21" s="7">
        <f t="shared" si="2"/>
        <v>182242570</v>
      </c>
      <c r="S21" s="7">
        <f t="shared" si="2"/>
        <v>182627342</v>
      </c>
      <c r="T21" s="7">
        <f t="shared" si="2"/>
        <v>302180014</v>
      </c>
      <c r="U21" s="7">
        <f t="shared" si="2"/>
        <v>183424990</v>
      </c>
      <c r="V21" s="7">
        <f t="shared" si="2"/>
        <v>183932666</v>
      </c>
    </row>
    <row r="22" spans="1:22" ht="12.75">
      <c r="A22" s="13" t="s">
        <v>136</v>
      </c>
      <c r="B22" s="7">
        <f aca="true" t="shared" si="3" ref="B22:V22">B21-B12</f>
        <v>-16324628151</v>
      </c>
      <c r="C22" s="7">
        <f t="shared" si="3"/>
        <v>-16158205425</v>
      </c>
      <c r="D22" s="7">
        <f t="shared" si="3"/>
        <v>174000357</v>
      </c>
      <c r="E22" s="7">
        <f t="shared" si="3"/>
        <v>175513924</v>
      </c>
      <c r="F22" s="7">
        <f t="shared" si="3"/>
        <v>176716315</v>
      </c>
      <c r="G22" s="7">
        <f t="shared" si="3"/>
        <v>177637374</v>
      </c>
      <c r="H22" s="7">
        <f t="shared" si="3"/>
        <v>178331451</v>
      </c>
      <c r="I22" s="7">
        <f t="shared" si="3"/>
        <v>178861268</v>
      </c>
      <c r="J22" s="7">
        <f t="shared" si="3"/>
        <v>179294903</v>
      </c>
      <c r="K22" s="7">
        <f t="shared" si="3"/>
        <v>179654189</v>
      </c>
      <c r="L22" s="7">
        <f t="shared" si="3"/>
        <v>179973521</v>
      </c>
      <c r="M22" s="7">
        <f t="shared" si="3"/>
        <v>295690948</v>
      </c>
      <c r="N22" s="7">
        <f t="shared" si="3"/>
        <v>180637653</v>
      </c>
      <c r="O22" s="7">
        <f t="shared" si="3"/>
        <v>181057602</v>
      </c>
      <c r="P22" s="7">
        <f t="shared" si="3"/>
        <v>181459564</v>
      </c>
      <c r="Q22" s="7">
        <f t="shared" si="3"/>
        <v>181866456</v>
      </c>
      <c r="R22" s="7">
        <f t="shared" si="3"/>
        <v>182242570</v>
      </c>
      <c r="S22" s="7">
        <f t="shared" si="3"/>
        <v>182627342</v>
      </c>
      <c r="T22" s="7">
        <f t="shared" si="3"/>
        <v>302180014</v>
      </c>
      <c r="U22" s="7">
        <f t="shared" si="3"/>
        <v>183424990</v>
      </c>
      <c r="V22" s="7">
        <f t="shared" si="3"/>
        <v>183932666</v>
      </c>
    </row>
    <row r="24" spans="1:12" ht="12.75">
      <c r="A24" s="13" t="s">
        <v>150</v>
      </c>
      <c r="H24">
        <f>H18/G18</f>
        <v>1.052373817626226</v>
      </c>
      <c r="I24">
        <f>I18/H18</f>
        <v>1.037989399877804</v>
      </c>
      <c r="J24">
        <f>J18/I18</f>
        <v>1.0299549054797303</v>
      </c>
      <c r="K24">
        <f>K18/J18</f>
        <v>1.0240971515895987</v>
      </c>
      <c r="L24">
        <f>L18/K18</f>
        <v>1.0209134988968958</v>
      </c>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V102"/>
  <sheetViews>
    <sheetView zoomScalePageLayoutView="0" workbookViewId="0" topLeftCell="A55">
      <selection activeCell="B25" sqref="B25"/>
    </sheetView>
  </sheetViews>
  <sheetFormatPr defaultColWidth="9.140625" defaultRowHeight="12.75"/>
  <cols>
    <col min="1" max="1" width="63.8515625" style="0" customWidth="1"/>
    <col min="2" max="2" width="10.140625" style="0" customWidth="1"/>
    <col min="7" max="10" width="0" style="0" hidden="1" customWidth="1"/>
    <col min="12" max="15" width="0" style="0" hidden="1" customWidth="1"/>
    <col min="17" max="20" width="0" style="0" hidden="1" customWidth="1"/>
  </cols>
  <sheetData>
    <row r="1" ht="15">
      <c r="A1" s="15" t="s">
        <v>69</v>
      </c>
    </row>
    <row r="2" ht="15">
      <c r="A2" s="15" t="s">
        <v>0</v>
      </c>
    </row>
    <row r="3" ht="15">
      <c r="A3" s="15" t="s">
        <v>70</v>
      </c>
    </row>
    <row r="4" ht="15">
      <c r="A4" s="15" t="s">
        <v>2</v>
      </c>
    </row>
    <row r="5" ht="15">
      <c r="A5" s="15" t="s">
        <v>164</v>
      </c>
    </row>
    <row r="6" ht="15">
      <c r="A6" s="15" t="s">
        <v>144</v>
      </c>
    </row>
    <row r="7" spans="1:8" ht="15">
      <c r="A7" s="15" t="s">
        <v>246</v>
      </c>
      <c r="B7">
        <v>296</v>
      </c>
      <c r="D7" s="13"/>
      <c r="H7" s="13"/>
    </row>
    <row r="8" ht="6.75" customHeight="1"/>
    <row r="9" spans="1:2" ht="12.75" customHeight="1">
      <c r="A9" s="15" t="s">
        <v>265</v>
      </c>
      <c r="B9" s="28">
        <v>21500000</v>
      </c>
    </row>
    <row r="11" spans="1:21" ht="15">
      <c r="A11" s="24" t="s">
        <v>102</v>
      </c>
      <c r="B11" s="1">
        <v>1</v>
      </c>
      <c r="C11" s="1">
        <v>2</v>
      </c>
      <c r="D11" s="1">
        <v>3</v>
      </c>
      <c r="E11" s="1">
        <v>4</v>
      </c>
      <c r="F11" s="1">
        <v>5</v>
      </c>
      <c r="G11" s="1">
        <v>6</v>
      </c>
      <c r="H11" s="1">
        <v>7</v>
      </c>
      <c r="I11" s="1">
        <v>8</v>
      </c>
      <c r="J11" s="1">
        <v>9</v>
      </c>
      <c r="K11" s="1">
        <v>10</v>
      </c>
      <c r="L11" s="1">
        <v>11</v>
      </c>
      <c r="M11" s="1">
        <v>12</v>
      </c>
      <c r="N11" s="1">
        <v>13</v>
      </c>
      <c r="O11" s="1">
        <v>14</v>
      </c>
      <c r="P11" s="1">
        <v>15</v>
      </c>
      <c r="Q11" s="1">
        <v>16</v>
      </c>
      <c r="R11" s="1">
        <v>17</v>
      </c>
      <c r="S11" s="1">
        <v>18</v>
      </c>
      <c r="T11" s="1">
        <v>19</v>
      </c>
      <c r="U11" s="1">
        <v>20</v>
      </c>
    </row>
    <row r="12" spans="1:4" ht="15">
      <c r="A12" s="15" t="s">
        <v>78</v>
      </c>
      <c r="B12" s="9">
        <f>'Kol-VelFeasDD'!B20+'Tn-KolFeasDD'!B20+ZigTnFeasDD!B20</f>
        <v>28447798874.25678</v>
      </c>
      <c r="C12" s="9">
        <f>'Kol-VelFeasDD'!C20+'Tn-KolFeasDD'!C20+ZigTnFeasDD!C20</f>
        <v>34137358649.10813</v>
      </c>
      <c r="D12" s="9">
        <f>'Kol-VelFeasDD'!D20+'Tn-KolFeasDD'!D20+ZigTnFeasDD!D20</f>
        <v>51206037973.6622</v>
      </c>
    </row>
    <row r="13" spans="1:6" ht="15">
      <c r="A13" s="15" t="s">
        <v>103</v>
      </c>
      <c r="B13" s="9">
        <f>$B9*485*1/9</f>
        <v>1158611111.1111112</v>
      </c>
      <c r="C13" s="9">
        <f>$B9*485*2/9</f>
        <v>2317222222.2222223</v>
      </c>
      <c r="D13" s="9">
        <f>$B9*485*2/9</f>
        <v>2317222222.2222223</v>
      </c>
      <c r="E13" s="9">
        <f>$B9*485*2/9</f>
        <v>2317222222.2222223</v>
      </c>
      <c r="F13" s="9">
        <f>$B9*485*2/9</f>
        <v>2317222222.2222223</v>
      </c>
    </row>
    <row r="14" spans="1:21" ht="15">
      <c r="A14" s="15" t="s">
        <v>137</v>
      </c>
      <c r="B14" s="9">
        <f>'Kol-VelFeasDD'!B22+'Tn-KolFeasDD'!B22+ZigTnFeasDD!B22</f>
        <v>0</v>
      </c>
      <c r="C14" s="9">
        <f>'Kol-VelFeasDD'!C22+'Tn-KolFeasDD'!C22+ZigTnFeasDD!C22</f>
        <v>595411461</v>
      </c>
      <c r="D14" s="9">
        <f>'Kol-VelFeasDD'!D22+'Tn-KolFeasDD'!D22+ZigTnFeasDD!D22</f>
        <v>1028979816</v>
      </c>
      <c r="E14" s="9">
        <f>'Kol-VelFeasDD'!E22+'Tn-KolFeasDD'!E22+ZigTnFeasDD!E22</f>
        <v>630145410</v>
      </c>
      <c r="F14" s="9">
        <f>'Kol-VelFeasDD'!F22+'Tn-KolFeasDD'!F22+ZigTnFeasDD!F22</f>
        <v>1054089972</v>
      </c>
      <c r="G14" s="9">
        <f>'Kol-VelFeasDD'!G22+'Tn-KolFeasDD'!G22+ZigTnFeasDD!G22</f>
        <v>646644210</v>
      </c>
      <c r="H14" s="9">
        <f>'Kol-VelFeasDD'!H22+'Tn-KolFeasDD'!H22+ZigTnFeasDD!H22</f>
        <v>1119003768</v>
      </c>
      <c r="I14" s="9">
        <f>'Kol-VelFeasDD'!I22+'Tn-KolFeasDD'!I22+ZigTnFeasDD!I22</f>
        <v>656741964</v>
      </c>
      <c r="J14" s="9">
        <f>'Kol-VelFeasDD'!J22+'Tn-KolFeasDD'!J22+ZigTnFeasDD!J22</f>
        <v>1185779064</v>
      </c>
      <c r="K14" s="9">
        <f>'Kol-VelFeasDD'!K22+'Tn-KolFeasDD'!K22+ZigTnFeasDD!K22</f>
        <v>663678636</v>
      </c>
      <c r="L14" s="9">
        <f>'Kol-VelFeasDD'!L22+'Tn-KolFeasDD'!L22+ZigTnFeasDD!L22</f>
        <v>1258013244</v>
      </c>
      <c r="M14" s="9">
        <f>'Kol-VelFeasDD'!M22+'Tn-KolFeasDD'!M22+ZigTnFeasDD!M22</f>
        <v>669678972</v>
      </c>
      <c r="N14" s="9">
        <f>'Kol-VelFeasDD'!N22+'Tn-KolFeasDD'!N22+ZigTnFeasDD!N22</f>
        <v>1338432096</v>
      </c>
      <c r="O14" s="9">
        <f>'Kol-VelFeasDD'!O22+'Tn-KolFeasDD'!O22+ZigTnFeasDD!O22</f>
        <v>1039336548</v>
      </c>
      <c r="P14" s="9">
        <f>'Kol-VelFeasDD'!P22+'Tn-KolFeasDD'!P22+ZigTnFeasDD!P22</f>
        <v>1065178740</v>
      </c>
      <c r="Q14" s="9">
        <f>'Kol-VelFeasDD'!Q22+'Tn-KolFeasDD'!Q22+ZigTnFeasDD!Q22</f>
        <v>1092342717.072</v>
      </c>
      <c r="R14" s="9">
        <f>'Kol-VelFeasDD'!R22+'Tn-KolFeasDD'!R22+ZigTnFeasDD!R22</f>
        <v>1121039347.6460161</v>
      </c>
      <c r="S14" s="9">
        <f>'Kol-VelFeasDD'!S22+'Tn-KolFeasDD'!S22+ZigTnFeasDD!S22</f>
        <v>1151358932.3881044</v>
      </c>
      <c r="T14" s="9">
        <f>'Kol-VelFeasDD'!T22+'Tn-KolFeasDD'!T22+ZigTnFeasDD!T22</f>
        <v>1183396700.9589715</v>
      </c>
      <c r="U14" s="9">
        <f>'Kol-VelFeasDD'!U22+'Tn-KolFeasDD'!U22+ZigTnFeasDD!U22</f>
        <v>1217253774.2818227</v>
      </c>
    </row>
    <row r="15" spans="1:21" ht="15">
      <c r="A15" s="24" t="s">
        <v>79</v>
      </c>
      <c r="B15" s="35">
        <f>'Kol-VelFeasDD'!B23+'Tn-KolFeasDD'!B23+ZigTnFeasDD!B23</f>
        <v>0</v>
      </c>
      <c r="C15" s="35">
        <f>'Kol-VelFeasDD'!C23+'Tn-KolFeasDD'!C23+ZigTnFeasDD!C23</f>
        <v>0</v>
      </c>
      <c r="D15" s="35">
        <f>'Kol-VelFeasDD'!D23+'Tn-KolFeasDD'!D23+ZigTnFeasDD!D23</f>
        <v>0</v>
      </c>
      <c r="E15" s="35">
        <f>'Kol-VelFeasDD'!E23+'Tn-KolFeasDD'!E23+ZigTnFeasDD!E23</f>
        <v>15652953366.258442</v>
      </c>
      <c r="F15" s="35">
        <f>'Kol-VelFeasDD'!F23+'Tn-KolFeasDD'!F23+ZigTnFeasDD!F23</f>
        <v>16122541967.246197</v>
      </c>
      <c r="G15" s="35">
        <f>'Kol-VelFeasDD'!G23+'Tn-KolFeasDD'!G23+ZigTnFeasDD!G23</f>
        <v>16606218226.26358</v>
      </c>
      <c r="H15" s="35">
        <f>'Kol-VelFeasDD'!H23+'Tn-KolFeasDD'!H23+ZigTnFeasDD!H23</f>
        <v>17104404773.051489</v>
      </c>
      <c r="I15" s="35">
        <f>'Kol-VelFeasDD'!I23+'Tn-KolFeasDD'!I23+ZigTnFeasDD!I23</f>
        <v>17617536916.243034</v>
      </c>
      <c r="J15" s="35">
        <f>'Kol-VelFeasDD'!J23+'Tn-KolFeasDD'!J23+ZigTnFeasDD!J23</f>
        <v>18146063023.730324</v>
      </c>
      <c r="K15" s="35">
        <f>'Kol-VelFeasDD'!K23+'Tn-KolFeasDD'!K23+ZigTnFeasDD!K23</f>
        <v>18690444914.442234</v>
      </c>
      <c r="L15" s="35">
        <f>'Kol-VelFeasDD'!L23+'Tn-KolFeasDD'!L23+ZigTnFeasDD!L23</f>
        <v>19251158261.875504</v>
      </c>
      <c r="M15" s="35">
        <f>'Kol-VelFeasDD'!M23+'Tn-KolFeasDD'!M23+ZigTnFeasDD!M23</f>
        <v>19828693009.731766</v>
      </c>
      <c r="N15" s="35">
        <f>'Kol-VelFeasDD'!N23+'Tn-KolFeasDD'!N23+ZigTnFeasDD!N23</f>
        <v>20423553800.02372</v>
      </c>
      <c r="O15" s="35">
        <f>'Kol-VelFeasDD'!O23+'Tn-KolFeasDD'!O23+ZigTnFeasDD!O23</f>
        <v>21036260414.02443</v>
      </c>
      <c r="P15" s="35">
        <f>'Kol-VelFeasDD'!P23+'Tn-KolFeasDD'!P23+ZigTnFeasDD!P23</f>
        <v>21667348226.445164</v>
      </c>
      <c r="Q15" s="35">
        <f>'Kol-VelFeasDD'!Q23+'Tn-KolFeasDD'!Q23+ZigTnFeasDD!Q23</f>
        <v>22317368673.238514</v>
      </c>
      <c r="R15" s="35">
        <f>'Kol-VelFeasDD'!R23+'Tn-KolFeasDD'!R23+ZigTnFeasDD!R23</f>
        <v>22986889733.43567</v>
      </c>
      <c r="S15" s="35">
        <f>'Kol-VelFeasDD'!S23+'Tn-KolFeasDD'!S23+ZigTnFeasDD!S23</f>
        <v>23676496425.438744</v>
      </c>
      <c r="T15" s="35">
        <f>'Kol-VelFeasDD'!T23+'Tn-KolFeasDD'!T23+ZigTnFeasDD!T23</f>
        <v>24386791318.201904</v>
      </c>
      <c r="U15" s="35">
        <f>'Kol-VelFeasDD'!U23+'Tn-KolFeasDD'!U23+ZigTnFeasDD!U23</f>
        <v>25118395057.74796</v>
      </c>
    </row>
    <row r="16" spans="1:21" ht="15">
      <c r="A16" s="15" t="s">
        <v>104</v>
      </c>
      <c r="B16" s="9">
        <f aca="true" t="shared" si="0" ref="B16:U16">B14+B15-B12-B13</f>
        <v>-29606409985.36789</v>
      </c>
      <c r="C16" s="9">
        <f t="shared" si="0"/>
        <v>-35859169410.33035</v>
      </c>
      <c r="D16" s="9">
        <f t="shared" si="0"/>
        <v>-52494280379.88442</v>
      </c>
      <c r="E16" s="9">
        <f t="shared" si="0"/>
        <v>13965876554.03622</v>
      </c>
      <c r="F16" s="9">
        <f t="shared" si="0"/>
        <v>14859409717.023975</v>
      </c>
      <c r="G16" s="9">
        <f t="shared" si="0"/>
        <v>17252862436.26358</v>
      </c>
      <c r="H16" s="9">
        <f t="shared" si="0"/>
        <v>18223408541.05149</v>
      </c>
      <c r="I16" s="9">
        <f t="shared" si="0"/>
        <v>18274278880.243034</v>
      </c>
      <c r="J16" s="9">
        <f t="shared" si="0"/>
        <v>19331842087.730324</v>
      </c>
      <c r="K16" s="9">
        <f t="shared" si="0"/>
        <v>19354123550.442234</v>
      </c>
      <c r="L16" s="9">
        <f t="shared" si="0"/>
        <v>20509171505.875504</v>
      </c>
      <c r="M16" s="9">
        <f t="shared" si="0"/>
        <v>20498371981.731766</v>
      </c>
      <c r="N16" s="9">
        <f t="shared" si="0"/>
        <v>21761985896.02372</v>
      </c>
      <c r="O16" s="9">
        <f t="shared" si="0"/>
        <v>22075596962.02443</v>
      </c>
      <c r="P16" s="9">
        <f t="shared" si="0"/>
        <v>22732526966.445164</v>
      </c>
      <c r="Q16" s="9">
        <f t="shared" si="0"/>
        <v>23409711390.310513</v>
      </c>
      <c r="R16" s="9">
        <f t="shared" si="0"/>
        <v>24107929081.081684</v>
      </c>
      <c r="S16" s="9">
        <f t="shared" si="0"/>
        <v>24827855357.826847</v>
      </c>
      <c r="T16" s="9">
        <f t="shared" si="0"/>
        <v>25570188019.160877</v>
      </c>
      <c r="U16" s="9">
        <f t="shared" si="0"/>
        <v>26335648832.02978</v>
      </c>
    </row>
    <row r="17" spans="1:2" ht="15">
      <c r="A17" s="15" t="s">
        <v>258</v>
      </c>
      <c r="B17" s="2">
        <f>SUM(B12:D12)/485/B7</f>
        <v>792638.5866329556</v>
      </c>
    </row>
    <row r="18" spans="1:3" ht="15">
      <c r="A18" s="15" t="s">
        <v>105</v>
      </c>
      <c r="B18" s="156">
        <f>IRR(B16:U16,0.015)</f>
        <v>0.1252760244688329</v>
      </c>
      <c r="C18" t="s">
        <v>165</v>
      </c>
    </row>
    <row r="19" ht="14.25" customHeight="1"/>
    <row r="20" spans="1:2" ht="15">
      <c r="A20" s="15" t="s">
        <v>257</v>
      </c>
      <c r="B20" s="13" t="s">
        <v>149</v>
      </c>
    </row>
    <row r="21" spans="1:2" ht="15">
      <c r="A21" s="15" t="s">
        <v>145</v>
      </c>
      <c r="B21" s="2">
        <f>3.12486387161049*1000000</f>
        <v>3124863.87161049</v>
      </c>
    </row>
    <row r="22" spans="1:2" ht="15">
      <c r="A22" s="15" t="s">
        <v>146</v>
      </c>
      <c r="B22" s="2">
        <f>0.24*1000000</f>
        <v>240000</v>
      </c>
    </row>
    <row r="23" spans="1:2" ht="15">
      <c r="A23" s="15" t="s">
        <v>147</v>
      </c>
      <c r="B23" s="2">
        <f>0.24*1000000</f>
        <v>240000</v>
      </c>
    </row>
    <row r="24" spans="1:2" ht="15">
      <c r="A24" s="15" t="s">
        <v>148</v>
      </c>
      <c r="B24" s="2">
        <f>0.22*1000000</f>
        <v>220000</v>
      </c>
    </row>
    <row r="25" spans="1:3" ht="15">
      <c r="A25" s="15" t="s">
        <v>167</v>
      </c>
      <c r="B25" s="36">
        <f>0.9*1000000</f>
        <v>900000</v>
      </c>
      <c r="C25" s="13" t="s">
        <v>256</v>
      </c>
    </row>
    <row r="26" spans="1:2" ht="15">
      <c r="A26" s="15" t="s">
        <v>67</v>
      </c>
      <c r="B26" s="2">
        <f>SUM(B21:B25)</f>
        <v>4724863.871610491</v>
      </c>
    </row>
    <row r="28" spans="1:21" ht="15">
      <c r="A28" s="15" t="s">
        <v>168</v>
      </c>
      <c r="B28" s="9">
        <f>B16-$B26*485*0.25</f>
        <v>-30179299729.800663</v>
      </c>
      <c r="C28" s="9">
        <f>C16-$B26*485*0.3</f>
        <v>-36546637103.64968</v>
      </c>
      <c r="D28" s="9">
        <f>D16-$B26*485*0.45</f>
        <v>-53525481919.86341</v>
      </c>
      <c r="E28" s="9">
        <f aca="true" t="shared" si="1" ref="E28:U28">E16</f>
        <v>13965876554.03622</v>
      </c>
      <c r="F28" s="9">
        <f t="shared" si="1"/>
        <v>14859409717.023975</v>
      </c>
      <c r="G28" s="9">
        <f t="shared" si="1"/>
        <v>17252862436.26358</v>
      </c>
      <c r="H28" s="9">
        <f t="shared" si="1"/>
        <v>18223408541.05149</v>
      </c>
      <c r="I28" s="9">
        <f t="shared" si="1"/>
        <v>18274278880.243034</v>
      </c>
      <c r="J28" s="9">
        <f t="shared" si="1"/>
        <v>19331842087.730324</v>
      </c>
      <c r="K28" s="9">
        <f t="shared" si="1"/>
        <v>19354123550.442234</v>
      </c>
      <c r="L28" s="9">
        <f t="shared" si="1"/>
        <v>20509171505.875504</v>
      </c>
      <c r="M28" s="9">
        <f t="shared" si="1"/>
        <v>20498371981.731766</v>
      </c>
      <c r="N28" s="9">
        <f t="shared" si="1"/>
        <v>21761985896.02372</v>
      </c>
      <c r="O28" s="9">
        <f t="shared" si="1"/>
        <v>22075596962.02443</v>
      </c>
      <c r="P28" s="9">
        <f t="shared" si="1"/>
        <v>22732526966.445164</v>
      </c>
      <c r="Q28" s="9">
        <f t="shared" si="1"/>
        <v>23409711390.310513</v>
      </c>
      <c r="R28" s="9">
        <f t="shared" si="1"/>
        <v>24107929081.081684</v>
      </c>
      <c r="S28" s="9">
        <f t="shared" si="1"/>
        <v>24827855357.826847</v>
      </c>
      <c r="T28" s="9">
        <f t="shared" si="1"/>
        <v>25570188019.160877</v>
      </c>
      <c r="U28" s="9">
        <f t="shared" si="1"/>
        <v>26335648832.02978</v>
      </c>
    </row>
    <row r="30" spans="1:3" ht="15">
      <c r="A30" s="15" t="s">
        <v>105</v>
      </c>
      <c r="B30" s="160">
        <f>IRR(B28:U28,0.11)</f>
        <v>0.12258326592480473</v>
      </c>
      <c r="C30" t="s">
        <v>170</v>
      </c>
    </row>
    <row r="31" spans="1:2" ht="15">
      <c r="A31" s="15"/>
      <c r="B31" s="2"/>
    </row>
    <row r="32" spans="1:21" ht="15">
      <c r="A32" s="15" t="s">
        <v>250</v>
      </c>
      <c r="B32" s="35">
        <f>21300*485</f>
        <v>10330500</v>
      </c>
      <c r="C32" s="35">
        <f>199500*484</f>
        <v>96558000</v>
      </c>
      <c r="D32" s="35">
        <f>134500*485</f>
        <v>65232500</v>
      </c>
      <c r="E32" s="35">
        <f>112000*485</f>
        <v>54320000</v>
      </c>
      <c r="F32" s="35">
        <f>55000*485</f>
        <v>26675000</v>
      </c>
      <c r="G32" s="1"/>
      <c r="H32" s="1"/>
      <c r="I32" s="1"/>
      <c r="J32" s="1"/>
      <c r="K32" s="1"/>
      <c r="L32" s="1"/>
      <c r="M32" s="1"/>
      <c r="N32" s="1"/>
      <c r="O32" s="1"/>
      <c r="P32" s="1"/>
      <c r="Q32" s="1"/>
      <c r="R32" s="1"/>
      <c r="S32" s="1"/>
      <c r="T32" s="1"/>
      <c r="U32" s="1"/>
    </row>
    <row r="33" spans="1:21" ht="15">
      <c r="A33" s="15" t="s">
        <v>251</v>
      </c>
      <c r="B33" s="9">
        <f aca="true" t="shared" si="2" ref="B33:U33">B28-B32</f>
        <v>-30189630229.800663</v>
      </c>
      <c r="C33" s="9">
        <f t="shared" si="2"/>
        <v>-36643195103.64968</v>
      </c>
      <c r="D33" s="9">
        <f t="shared" si="2"/>
        <v>-53590714419.86341</v>
      </c>
      <c r="E33" s="9">
        <f t="shared" si="2"/>
        <v>13911556554.03622</v>
      </c>
      <c r="F33" s="9">
        <f t="shared" si="2"/>
        <v>14832734717.023975</v>
      </c>
      <c r="G33" s="9">
        <f t="shared" si="2"/>
        <v>17252862436.26358</v>
      </c>
      <c r="H33" s="9">
        <f t="shared" si="2"/>
        <v>18223408541.05149</v>
      </c>
      <c r="I33" s="9">
        <f t="shared" si="2"/>
        <v>18274278880.243034</v>
      </c>
      <c r="J33" s="9">
        <f t="shared" si="2"/>
        <v>19331842087.730324</v>
      </c>
      <c r="K33" s="9">
        <f t="shared" si="2"/>
        <v>19354123550.442234</v>
      </c>
      <c r="L33" s="9">
        <f t="shared" si="2"/>
        <v>20509171505.875504</v>
      </c>
      <c r="M33" s="9">
        <f t="shared" si="2"/>
        <v>20498371981.731766</v>
      </c>
      <c r="N33" s="9">
        <f t="shared" si="2"/>
        <v>21761985896.02372</v>
      </c>
      <c r="O33" s="9">
        <f t="shared" si="2"/>
        <v>22075596962.02443</v>
      </c>
      <c r="P33" s="9">
        <f t="shared" si="2"/>
        <v>22732526966.445164</v>
      </c>
      <c r="Q33" s="9">
        <f t="shared" si="2"/>
        <v>23409711390.310513</v>
      </c>
      <c r="R33" s="9">
        <f t="shared" si="2"/>
        <v>24107929081.081684</v>
      </c>
      <c r="S33" s="9">
        <f t="shared" si="2"/>
        <v>24827855357.826847</v>
      </c>
      <c r="T33" s="9">
        <f t="shared" si="2"/>
        <v>25570188019.160877</v>
      </c>
      <c r="U33" s="9">
        <f t="shared" si="2"/>
        <v>26335648832.02978</v>
      </c>
    </row>
    <row r="34" spans="1:2" ht="15">
      <c r="A34" s="15"/>
      <c r="B34" s="2"/>
    </row>
    <row r="35" spans="1:3" ht="15">
      <c r="A35" s="15" t="s">
        <v>105</v>
      </c>
      <c r="B35" s="160">
        <f>IRR(B33:U33,0.05)</f>
        <v>0.12231411898575884</v>
      </c>
      <c r="C35" t="s">
        <v>252</v>
      </c>
    </row>
    <row r="36" spans="1:2" ht="15">
      <c r="A36" s="15"/>
      <c r="B36" s="2"/>
    </row>
    <row r="37" spans="1:21" ht="15">
      <c r="A37" s="44" t="s">
        <v>253</v>
      </c>
      <c r="B37" s="35"/>
      <c r="C37" s="35"/>
      <c r="D37" s="35">
        <f>1000000*485</f>
        <v>485000000</v>
      </c>
      <c r="E37" s="35">
        <f>1045000*485</f>
        <v>506825000</v>
      </c>
      <c r="F37" s="35">
        <f>45000*485</f>
        <v>21825000</v>
      </c>
      <c r="G37" s="1"/>
      <c r="H37" s="1"/>
      <c r="I37" s="1"/>
      <c r="J37" s="1"/>
      <c r="K37" s="1"/>
      <c r="L37" s="1"/>
      <c r="M37" s="1"/>
      <c r="N37" s="1"/>
      <c r="O37" s="1"/>
      <c r="P37" s="1"/>
      <c r="Q37" s="1"/>
      <c r="R37" s="1"/>
      <c r="S37" s="1"/>
      <c r="T37" s="1"/>
      <c r="U37" s="1"/>
    </row>
    <row r="38" spans="1:21" ht="15">
      <c r="A38" s="15" t="s">
        <v>251</v>
      </c>
      <c r="B38" s="9">
        <f aca="true" t="shared" si="3" ref="B38:U38">B33-B37</f>
        <v>-30189630229.800663</v>
      </c>
      <c r="C38" s="9">
        <f t="shared" si="3"/>
        <v>-36643195103.64968</v>
      </c>
      <c r="D38" s="9">
        <f t="shared" si="3"/>
        <v>-54075714419.86341</v>
      </c>
      <c r="E38" s="9">
        <f t="shared" si="3"/>
        <v>13404731554.03622</v>
      </c>
      <c r="F38" s="9">
        <f t="shared" si="3"/>
        <v>14810909717.023975</v>
      </c>
      <c r="G38" s="9">
        <f t="shared" si="3"/>
        <v>17252862436.26358</v>
      </c>
      <c r="H38" s="9">
        <f t="shared" si="3"/>
        <v>18223408541.05149</v>
      </c>
      <c r="I38" s="9">
        <f t="shared" si="3"/>
        <v>18274278880.243034</v>
      </c>
      <c r="J38" s="9">
        <f t="shared" si="3"/>
        <v>19331842087.730324</v>
      </c>
      <c r="K38" s="9">
        <f t="shared" si="3"/>
        <v>19354123550.442234</v>
      </c>
      <c r="L38" s="9">
        <f t="shared" si="3"/>
        <v>20509171505.875504</v>
      </c>
      <c r="M38" s="9">
        <f t="shared" si="3"/>
        <v>20498371981.731766</v>
      </c>
      <c r="N38" s="9">
        <f t="shared" si="3"/>
        <v>21761985896.02372</v>
      </c>
      <c r="O38" s="9">
        <f t="shared" si="3"/>
        <v>22075596962.02443</v>
      </c>
      <c r="P38" s="9">
        <f t="shared" si="3"/>
        <v>22732526966.445164</v>
      </c>
      <c r="Q38" s="9">
        <f t="shared" si="3"/>
        <v>23409711390.310513</v>
      </c>
      <c r="R38" s="9">
        <f t="shared" si="3"/>
        <v>24107929081.081684</v>
      </c>
      <c r="S38" s="9">
        <f t="shared" si="3"/>
        <v>24827855357.826847</v>
      </c>
      <c r="T38" s="9">
        <f t="shared" si="3"/>
        <v>25570188019.160877</v>
      </c>
      <c r="U38" s="9">
        <f t="shared" si="3"/>
        <v>26335648832.02978</v>
      </c>
    </row>
    <row r="39" spans="1:21" ht="15">
      <c r="A39" s="15"/>
      <c r="B39" s="9"/>
      <c r="C39" s="9"/>
      <c r="D39" s="9"/>
      <c r="E39" s="9"/>
      <c r="F39" s="9"/>
      <c r="G39" s="9"/>
      <c r="H39" s="9"/>
      <c r="I39" s="9"/>
      <c r="J39" s="9"/>
      <c r="K39" s="9"/>
      <c r="L39" s="9"/>
      <c r="M39" s="9"/>
      <c r="N39" s="9"/>
      <c r="O39" s="9"/>
      <c r="P39" s="9"/>
      <c r="Q39" s="9"/>
      <c r="R39" s="9"/>
      <c r="S39" s="9"/>
      <c r="T39" s="9"/>
      <c r="U39" s="9"/>
    </row>
    <row r="40" spans="1:21" ht="15">
      <c r="A40" s="15" t="s">
        <v>105</v>
      </c>
      <c r="B40" s="160">
        <f>IRR(B38:U38,0.05)</f>
        <v>0.12131711122761968</v>
      </c>
      <c r="C40" s="9" t="s">
        <v>254</v>
      </c>
      <c r="D40" s="9"/>
      <c r="E40" s="9"/>
      <c r="F40" s="9"/>
      <c r="G40" s="9"/>
      <c r="H40" s="9"/>
      <c r="I40" s="9"/>
      <c r="J40" s="9"/>
      <c r="K40" s="9"/>
      <c r="L40" s="9"/>
      <c r="M40" s="9"/>
      <c r="N40" s="9"/>
      <c r="O40" s="9"/>
      <c r="P40" s="9"/>
      <c r="Q40" s="9"/>
      <c r="R40" s="9"/>
      <c r="S40" s="9"/>
      <c r="T40" s="9"/>
      <c r="U40" s="9"/>
    </row>
    <row r="41" spans="1:2" ht="15">
      <c r="A41" s="15"/>
      <c r="B41" s="2"/>
    </row>
    <row r="42" spans="1:2" ht="15">
      <c r="A42" s="15" t="s">
        <v>259</v>
      </c>
      <c r="B42" s="9">
        <f>SUM(B12:D12)+B26*485+0</f>
        <v>116082754474.75821</v>
      </c>
    </row>
    <row r="43" ht="12.75">
      <c r="B43" s="2"/>
    </row>
    <row r="44" spans="1:2" ht="15">
      <c r="A44" s="15" t="s">
        <v>81</v>
      </c>
      <c r="B44" s="2">
        <v>289.5780115175572</v>
      </c>
    </row>
    <row r="46" spans="1:5" ht="12.75">
      <c r="A46" s="19" t="s">
        <v>72</v>
      </c>
      <c r="B46" s="198" t="s">
        <v>91</v>
      </c>
      <c r="C46" s="199"/>
      <c r="D46" s="199"/>
      <c r="E46" s="199"/>
    </row>
    <row r="47" spans="2:5" ht="12.75">
      <c r="B47" s="18" t="s">
        <v>38</v>
      </c>
      <c r="C47" s="18" t="s">
        <v>39</v>
      </c>
      <c r="D47" s="18" t="s">
        <v>40</v>
      </c>
      <c r="E47" s="18" t="s">
        <v>41</v>
      </c>
    </row>
    <row r="48" spans="1:5" ht="15">
      <c r="A48" s="15" t="s">
        <v>73</v>
      </c>
      <c r="B48" s="155">
        <v>0.335</v>
      </c>
      <c r="C48" s="155">
        <v>0.2686</v>
      </c>
      <c r="D48" s="155">
        <v>0.2894</v>
      </c>
      <c r="E48" s="155">
        <v>0.10699999999999998</v>
      </c>
    </row>
    <row r="49" spans="1:5" ht="12.75">
      <c r="A49" s="19" t="s">
        <v>74</v>
      </c>
      <c r="B49" s="3">
        <v>0.46161417322834647</v>
      </c>
      <c r="C49" s="3">
        <v>0.3701181102362205</v>
      </c>
      <c r="D49" s="3">
        <v>0.17</v>
      </c>
      <c r="E49" s="3">
        <v>-0.0017322834645669971</v>
      </c>
    </row>
    <row r="50" spans="1:5" ht="12.75">
      <c r="A50" s="13" t="s">
        <v>107</v>
      </c>
      <c r="C50" s="3"/>
      <c r="D50" s="3"/>
      <c r="E50" s="3"/>
    </row>
    <row r="51" ht="12.75">
      <c r="A51" s="13" t="s">
        <v>108</v>
      </c>
    </row>
    <row r="52" spans="1:2" ht="12.75">
      <c r="A52" s="19" t="s">
        <v>75</v>
      </c>
      <c r="B52" s="155">
        <v>0.65</v>
      </c>
    </row>
    <row r="53" spans="1:2" ht="12.75">
      <c r="A53" s="19"/>
      <c r="B53" s="155"/>
    </row>
    <row r="54" spans="1:5" ht="12.75">
      <c r="A54" s="19"/>
      <c r="B54" s="198" t="s">
        <v>91</v>
      </c>
      <c r="C54" s="199"/>
      <c r="D54" s="199"/>
      <c r="E54" s="199"/>
    </row>
    <row r="55" spans="1:5" ht="12.75">
      <c r="A55" s="19" t="s">
        <v>76</v>
      </c>
      <c r="B55" s="18" t="s">
        <v>38</v>
      </c>
      <c r="C55" s="18" t="s">
        <v>39</v>
      </c>
      <c r="D55" s="18" t="s">
        <v>40</v>
      </c>
      <c r="E55" s="18" t="s">
        <v>41</v>
      </c>
    </row>
    <row r="56" spans="1:5" ht="12.75">
      <c r="A56" s="19" t="s">
        <v>77</v>
      </c>
      <c r="B56" s="3">
        <f>$B52*B49+(1-$B52)*B48</f>
        <v>0.4172992125984252</v>
      </c>
      <c r="C56" s="3">
        <f>$B52*C49+(1-$B52)*C48</f>
        <v>0.33458677165354334</v>
      </c>
      <c r="D56" s="3">
        <f>$B52*D49+(1-$B52)*D48</f>
        <v>0.21179</v>
      </c>
      <c r="E56" s="3">
        <f>$B52*E49+(1-$B52)*E48</f>
        <v>0.036324015748031444</v>
      </c>
    </row>
    <row r="58" spans="1:2" ht="12.75">
      <c r="A58" s="19" t="s">
        <v>80</v>
      </c>
      <c r="B58" s="9">
        <f>NPV(0.1,B14:U14)+NPV(0.1,B15:U15)</f>
        <v>120031814159.77722</v>
      </c>
    </row>
    <row r="59" spans="1:2" ht="12.75">
      <c r="A59" s="19" t="s">
        <v>82</v>
      </c>
      <c r="B59" s="9" t="e">
        <f>B58/PPP_exrate</f>
        <v>#REF!</v>
      </c>
    </row>
    <row r="61" spans="1:5" ht="12.75">
      <c r="A61" s="19" t="s">
        <v>109</v>
      </c>
      <c r="B61">
        <v>52190</v>
      </c>
      <c r="C61" s="13" t="s">
        <v>85</v>
      </c>
      <c r="E61" s="2">
        <f>RN6_Pop!H47</f>
        <v>44453</v>
      </c>
    </row>
    <row r="62" spans="1:5" ht="12.75">
      <c r="A62" s="19" t="s">
        <v>88</v>
      </c>
      <c r="B62">
        <v>548372</v>
      </c>
      <c r="E62" s="2">
        <f>RN6_Pop!I47</f>
        <v>473525</v>
      </c>
    </row>
    <row r="63" spans="1:5" ht="12.75">
      <c r="A63" s="19" t="s">
        <v>110</v>
      </c>
      <c r="B63" s="2">
        <f>B62/B7</f>
        <v>1852.6081081081081</v>
      </c>
      <c r="E63" s="2">
        <f>E62/(B7-40)</f>
        <v>1849.70703125</v>
      </c>
    </row>
    <row r="64" spans="1:5" ht="12.75">
      <c r="A64" s="19" t="s">
        <v>111</v>
      </c>
      <c r="B64" s="2">
        <f>B63/10</f>
        <v>185.26081081081082</v>
      </c>
      <c r="E64" s="2">
        <f>E63/10</f>
        <v>184.970703125</v>
      </c>
    </row>
    <row r="65" spans="1:5" ht="12.75">
      <c r="A65" s="19" t="s">
        <v>112</v>
      </c>
      <c r="B65" s="2">
        <f>B64/11</f>
        <v>16.841891891891894</v>
      </c>
      <c r="E65" s="2">
        <f>E64/11</f>
        <v>16.81551846590909</v>
      </c>
    </row>
    <row r="66" spans="1:5" ht="12.75">
      <c r="A66" s="19" t="s">
        <v>86</v>
      </c>
      <c r="B66" s="2">
        <f>B61*(1-B52)</f>
        <v>18266.5</v>
      </c>
      <c r="E66" s="2">
        <f>E61*(1-B52)</f>
        <v>15558.55</v>
      </c>
    </row>
    <row r="67" spans="1:5" ht="12.75">
      <c r="A67" s="20" t="s">
        <v>87</v>
      </c>
      <c r="B67" s="36">
        <f>B66*11</f>
        <v>200931.5</v>
      </c>
      <c r="E67" s="36">
        <f>E66*11</f>
        <v>171144.05</v>
      </c>
    </row>
    <row r="68" spans="1:5" ht="12.75">
      <c r="A68" s="19" t="s">
        <v>89</v>
      </c>
      <c r="B68" s="2">
        <f>B61+B66</f>
        <v>70456.5</v>
      </c>
      <c r="E68" s="2">
        <f>E61+E66</f>
        <v>60011.55</v>
      </c>
    </row>
    <row r="69" spans="1:5" ht="12.75">
      <c r="A69" s="19" t="s">
        <v>90</v>
      </c>
      <c r="B69" s="2">
        <f>B62+B67</f>
        <v>749303.5</v>
      </c>
      <c r="E69" s="2">
        <f>E62+E67</f>
        <v>644669.05</v>
      </c>
    </row>
    <row r="71" spans="1:2" ht="12.75">
      <c r="A71" s="19" t="s">
        <v>83</v>
      </c>
      <c r="B71" s="21">
        <f>B58/B69</f>
        <v>160191.18309173416</v>
      </c>
    </row>
    <row r="72" spans="1:2" ht="12.75">
      <c r="A72" s="19" t="s">
        <v>84</v>
      </c>
      <c r="B72" s="2" t="e">
        <f>B59/B69</f>
        <v>#REF!</v>
      </c>
    </row>
    <row r="74" spans="2:5" ht="12.75">
      <c r="B74" s="198" t="s">
        <v>91</v>
      </c>
      <c r="C74" s="199"/>
      <c r="D74" s="199"/>
      <c r="E74" s="199"/>
    </row>
    <row r="75" spans="2:5" ht="12.75">
      <c r="B75" s="22" t="s">
        <v>38</v>
      </c>
      <c r="C75" s="22" t="s">
        <v>63</v>
      </c>
      <c r="D75" s="22" t="s">
        <v>40</v>
      </c>
      <c r="E75" s="22" t="s">
        <v>41</v>
      </c>
    </row>
    <row r="76" spans="1:5" ht="12.75">
      <c r="A76" s="19" t="s">
        <v>92</v>
      </c>
      <c r="B76" s="2">
        <f>$B69*B56</f>
        <v>312683.76054724405</v>
      </c>
      <c r="C76" s="2">
        <f>B76+$B69*C56</f>
        <v>563390.7996009449</v>
      </c>
      <c r="D76" s="2">
        <f>$B69*D56</f>
        <v>158694.988265</v>
      </c>
      <c r="E76" s="2">
        <f>$B69*E56</f>
        <v>27217.71213405508</v>
      </c>
    </row>
    <row r="77" spans="1:5" ht="12.75">
      <c r="A77" s="19" t="s">
        <v>94</v>
      </c>
      <c r="B77" s="9" t="e">
        <f>$B59*B56</f>
        <v>#REF!</v>
      </c>
      <c r="C77" s="9" t="e">
        <f>B77+$B59*C56</f>
        <v>#REF!</v>
      </c>
      <c r="D77" s="9" t="e">
        <f>$B59*D56</f>
        <v>#REF!</v>
      </c>
      <c r="E77" s="9" t="e">
        <f>$B59*E56</f>
        <v>#REF!</v>
      </c>
    </row>
    <row r="78" spans="1:5" ht="12.75">
      <c r="A78" s="19" t="s">
        <v>115</v>
      </c>
      <c r="B78" s="2" t="e">
        <f>B77/B76</f>
        <v>#REF!</v>
      </c>
      <c r="C78" s="2" t="e">
        <f>C77/C76</f>
        <v>#REF!</v>
      </c>
      <c r="D78" s="2" t="e">
        <f>D77/D76</f>
        <v>#REF!</v>
      </c>
      <c r="E78" s="2" t="e">
        <f>E77/E76</f>
        <v>#REF!</v>
      </c>
    </row>
    <row r="80" spans="1:5" ht="12.75">
      <c r="A80" s="19" t="s">
        <v>97</v>
      </c>
      <c r="B80" s="198" t="s">
        <v>91</v>
      </c>
      <c r="C80" s="199"/>
      <c r="D80" s="199"/>
      <c r="E80" s="199"/>
    </row>
    <row r="81" spans="2:5" ht="12.75">
      <c r="B81" s="5" t="s">
        <v>38</v>
      </c>
      <c r="C81" s="5" t="s">
        <v>39</v>
      </c>
      <c r="D81" s="6" t="s">
        <v>40</v>
      </c>
      <c r="E81" s="5" t="s">
        <v>41</v>
      </c>
    </row>
    <row r="82" spans="1:5" ht="12.75">
      <c r="A82" t="s">
        <v>95</v>
      </c>
      <c r="B82" s="5">
        <v>38</v>
      </c>
      <c r="C82" s="2">
        <v>49.427083333333336</v>
      </c>
      <c r="D82" s="2">
        <v>91.25</v>
      </c>
      <c r="E82" s="8">
        <v>135.0106113707165</v>
      </c>
    </row>
    <row r="83" spans="1:5" ht="12.75">
      <c r="A83" t="s">
        <v>96</v>
      </c>
      <c r="B83" s="2">
        <v>456</v>
      </c>
      <c r="C83" s="2">
        <v>593.125</v>
      </c>
      <c r="D83" s="2">
        <v>1095</v>
      </c>
      <c r="E83" s="2">
        <v>1620.127336448598</v>
      </c>
    </row>
    <row r="85" spans="1:22" ht="25.5" hidden="1">
      <c r="A85" s="13" t="s">
        <v>99</v>
      </c>
      <c r="B85" s="16" t="s">
        <v>98</v>
      </c>
      <c r="C85" s="1">
        <v>1</v>
      </c>
      <c r="D85" s="1">
        <v>2</v>
      </c>
      <c r="E85" s="1">
        <v>3</v>
      </c>
      <c r="F85" s="1">
        <v>4</v>
      </c>
      <c r="G85" s="1">
        <v>5</v>
      </c>
      <c r="H85" s="1">
        <v>6</v>
      </c>
      <c r="I85" s="1">
        <v>7</v>
      </c>
      <c r="J85" s="1">
        <v>8</v>
      </c>
      <c r="K85" s="1">
        <v>9</v>
      </c>
      <c r="L85" s="1">
        <v>10</v>
      </c>
      <c r="M85" s="1">
        <v>11</v>
      </c>
      <c r="N85" s="1">
        <v>12</v>
      </c>
      <c r="O85" s="1">
        <v>13</v>
      </c>
      <c r="P85" s="1">
        <v>14</v>
      </c>
      <c r="Q85" s="1">
        <v>15</v>
      </c>
      <c r="R85" s="1">
        <v>16</v>
      </c>
      <c r="S85" s="1">
        <v>17</v>
      </c>
      <c r="T85" s="1">
        <v>18</v>
      </c>
      <c r="U85" s="1">
        <v>19</v>
      </c>
      <c r="V85" s="1">
        <v>20</v>
      </c>
    </row>
    <row r="86" spans="1:22" ht="12.75" hidden="1">
      <c r="A86" s="5" t="s">
        <v>38</v>
      </c>
      <c r="B86" s="23">
        <f>NPV(0.1,C86:V86)</f>
        <v>3882.185056209903</v>
      </c>
      <c r="C86" s="2">
        <f>B83</f>
        <v>456</v>
      </c>
      <c r="D86" s="2">
        <f aca="true" t="shared" si="4" ref="D86:V86">C86</f>
        <v>456</v>
      </c>
      <c r="E86" s="2">
        <f t="shared" si="4"/>
        <v>456</v>
      </c>
      <c r="F86" s="2">
        <f t="shared" si="4"/>
        <v>456</v>
      </c>
      <c r="G86" s="2">
        <f t="shared" si="4"/>
        <v>456</v>
      </c>
      <c r="H86" s="2">
        <f t="shared" si="4"/>
        <v>456</v>
      </c>
      <c r="I86" s="2">
        <f t="shared" si="4"/>
        <v>456</v>
      </c>
      <c r="J86" s="2">
        <f t="shared" si="4"/>
        <v>456</v>
      </c>
      <c r="K86" s="2">
        <f t="shared" si="4"/>
        <v>456</v>
      </c>
      <c r="L86" s="2">
        <f t="shared" si="4"/>
        <v>456</v>
      </c>
      <c r="M86" s="2">
        <f t="shared" si="4"/>
        <v>456</v>
      </c>
      <c r="N86" s="2">
        <f t="shared" si="4"/>
        <v>456</v>
      </c>
      <c r="O86" s="2">
        <f t="shared" si="4"/>
        <v>456</v>
      </c>
      <c r="P86" s="2">
        <f t="shared" si="4"/>
        <v>456</v>
      </c>
      <c r="Q86" s="2">
        <f t="shared" si="4"/>
        <v>456</v>
      </c>
      <c r="R86" s="2">
        <f t="shared" si="4"/>
        <v>456</v>
      </c>
      <c r="S86" s="2">
        <f t="shared" si="4"/>
        <v>456</v>
      </c>
      <c r="T86" s="2">
        <f t="shared" si="4"/>
        <v>456</v>
      </c>
      <c r="U86" s="2">
        <f t="shared" si="4"/>
        <v>456</v>
      </c>
      <c r="V86" s="2">
        <f t="shared" si="4"/>
        <v>456</v>
      </c>
    </row>
    <row r="87" spans="1:22" ht="12.75" hidden="1">
      <c r="A87" s="5" t="s">
        <v>39</v>
      </c>
      <c r="B87" s="23">
        <f>NPV(0.1,C87:V87)</f>
        <v>5049.607481281794</v>
      </c>
      <c r="C87" s="2">
        <f>C83</f>
        <v>593.125</v>
      </c>
      <c r="D87" s="2">
        <f aca="true" t="shared" si="5" ref="D87:V87">C87</f>
        <v>593.125</v>
      </c>
      <c r="E87" s="2">
        <f t="shared" si="5"/>
        <v>593.125</v>
      </c>
      <c r="F87" s="2">
        <f t="shared" si="5"/>
        <v>593.125</v>
      </c>
      <c r="G87" s="2">
        <f t="shared" si="5"/>
        <v>593.125</v>
      </c>
      <c r="H87" s="2">
        <f t="shared" si="5"/>
        <v>593.125</v>
      </c>
      <c r="I87" s="2">
        <f t="shared" si="5"/>
        <v>593.125</v>
      </c>
      <c r="J87" s="2">
        <f t="shared" si="5"/>
        <v>593.125</v>
      </c>
      <c r="K87" s="2">
        <f t="shared" si="5"/>
        <v>593.125</v>
      </c>
      <c r="L87" s="2">
        <f t="shared" si="5"/>
        <v>593.125</v>
      </c>
      <c r="M87" s="2">
        <f t="shared" si="5"/>
        <v>593.125</v>
      </c>
      <c r="N87" s="2">
        <f t="shared" si="5"/>
        <v>593.125</v>
      </c>
      <c r="O87" s="2">
        <f t="shared" si="5"/>
        <v>593.125</v>
      </c>
      <c r="P87" s="2">
        <f t="shared" si="5"/>
        <v>593.125</v>
      </c>
      <c r="Q87" s="2">
        <f t="shared" si="5"/>
        <v>593.125</v>
      </c>
      <c r="R87" s="2">
        <f t="shared" si="5"/>
        <v>593.125</v>
      </c>
      <c r="S87" s="2">
        <f t="shared" si="5"/>
        <v>593.125</v>
      </c>
      <c r="T87" s="2">
        <f t="shared" si="5"/>
        <v>593.125</v>
      </c>
      <c r="U87" s="2">
        <f t="shared" si="5"/>
        <v>593.125</v>
      </c>
      <c r="V87" s="2">
        <f t="shared" si="5"/>
        <v>593.125</v>
      </c>
    </row>
    <row r="88" spans="1:22" ht="12.75" hidden="1">
      <c r="A88" s="6" t="s">
        <v>40</v>
      </c>
      <c r="B88" s="23">
        <f>NPV(0.1,C88:V88)</f>
        <v>9322.352273135617</v>
      </c>
      <c r="C88" s="2">
        <f>D83</f>
        <v>1095</v>
      </c>
      <c r="D88" s="2">
        <f aca="true" t="shared" si="6" ref="D88:V88">C88</f>
        <v>1095</v>
      </c>
      <c r="E88" s="2">
        <f t="shared" si="6"/>
        <v>1095</v>
      </c>
      <c r="F88" s="2">
        <f t="shared" si="6"/>
        <v>1095</v>
      </c>
      <c r="G88" s="2">
        <f t="shared" si="6"/>
        <v>1095</v>
      </c>
      <c r="H88" s="2">
        <f t="shared" si="6"/>
        <v>1095</v>
      </c>
      <c r="I88" s="2">
        <f t="shared" si="6"/>
        <v>1095</v>
      </c>
      <c r="J88" s="2">
        <f t="shared" si="6"/>
        <v>1095</v>
      </c>
      <c r="K88" s="2">
        <f t="shared" si="6"/>
        <v>1095</v>
      </c>
      <c r="L88" s="2">
        <f t="shared" si="6"/>
        <v>1095</v>
      </c>
      <c r="M88" s="2">
        <f t="shared" si="6"/>
        <v>1095</v>
      </c>
      <c r="N88" s="2">
        <f t="shared" si="6"/>
        <v>1095</v>
      </c>
      <c r="O88" s="2">
        <f t="shared" si="6"/>
        <v>1095</v>
      </c>
      <c r="P88" s="2">
        <f t="shared" si="6"/>
        <v>1095</v>
      </c>
      <c r="Q88" s="2">
        <f t="shared" si="6"/>
        <v>1095</v>
      </c>
      <c r="R88" s="2">
        <f t="shared" si="6"/>
        <v>1095</v>
      </c>
      <c r="S88" s="2">
        <f t="shared" si="6"/>
        <v>1095</v>
      </c>
      <c r="T88" s="2">
        <f t="shared" si="6"/>
        <v>1095</v>
      </c>
      <c r="U88" s="2">
        <f t="shared" si="6"/>
        <v>1095</v>
      </c>
      <c r="V88" s="2">
        <f t="shared" si="6"/>
        <v>1095</v>
      </c>
    </row>
    <row r="89" spans="1:22" ht="12.75" hidden="1">
      <c r="A89" s="5" t="s">
        <v>41</v>
      </c>
      <c r="B89" s="23">
        <f>NPV(0.1,C89:V89)</f>
        <v>13793.05731297785</v>
      </c>
      <c r="C89" s="2">
        <f>E83</f>
        <v>1620.127336448598</v>
      </c>
      <c r="D89" s="2">
        <f aca="true" t="shared" si="7" ref="D89:V89">C89</f>
        <v>1620.127336448598</v>
      </c>
      <c r="E89" s="2">
        <f t="shared" si="7"/>
        <v>1620.127336448598</v>
      </c>
      <c r="F89" s="2">
        <f t="shared" si="7"/>
        <v>1620.127336448598</v>
      </c>
      <c r="G89" s="2">
        <f t="shared" si="7"/>
        <v>1620.127336448598</v>
      </c>
      <c r="H89" s="2">
        <f t="shared" si="7"/>
        <v>1620.127336448598</v>
      </c>
      <c r="I89" s="2">
        <f t="shared" si="7"/>
        <v>1620.127336448598</v>
      </c>
      <c r="J89" s="2">
        <f t="shared" si="7"/>
        <v>1620.127336448598</v>
      </c>
      <c r="K89" s="2">
        <f t="shared" si="7"/>
        <v>1620.127336448598</v>
      </c>
      <c r="L89" s="2">
        <f t="shared" si="7"/>
        <v>1620.127336448598</v>
      </c>
      <c r="M89" s="2">
        <f t="shared" si="7"/>
        <v>1620.127336448598</v>
      </c>
      <c r="N89" s="2">
        <f t="shared" si="7"/>
        <v>1620.127336448598</v>
      </c>
      <c r="O89" s="2">
        <f t="shared" si="7"/>
        <v>1620.127336448598</v>
      </c>
      <c r="P89" s="2">
        <f t="shared" si="7"/>
        <v>1620.127336448598</v>
      </c>
      <c r="Q89" s="2">
        <f t="shared" si="7"/>
        <v>1620.127336448598</v>
      </c>
      <c r="R89" s="2">
        <f t="shared" si="7"/>
        <v>1620.127336448598</v>
      </c>
      <c r="S89" s="2">
        <f t="shared" si="7"/>
        <v>1620.127336448598</v>
      </c>
      <c r="T89" s="2">
        <f t="shared" si="7"/>
        <v>1620.127336448598</v>
      </c>
      <c r="U89" s="2">
        <f t="shared" si="7"/>
        <v>1620.127336448598</v>
      </c>
      <c r="V89" s="2">
        <f t="shared" si="7"/>
        <v>1620.127336448598</v>
      </c>
    </row>
    <row r="90" ht="12.75" hidden="1"/>
    <row r="91" spans="2:5" ht="12.75">
      <c r="B91" s="198" t="s">
        <v>91</v>
      </c>
      <c r="C91" s="199"/>
      <c r="D91" s="199"/>
      <c r="E91" s="199"/>
    </row>
    <row r="92" spans="2:5" ht="12.75">
      <c r="B92" s="22" t="s">
        <v>38</v>
      </c>
      <c r="C92" s="22" t="s">
        <v>63</v>
      </c>
      <c r="D92" s="22" t="s">
        <v>40</v>
      </c>
      <c r="E92" s="22" t="s">
        <v>41</v>
      </c>
    </row>
    <row r="93" spans="1:5" ht="12.75">
      <c r="A93" s="13" t="s">
        <v>101</v>
      </c>
      <c r="B93" s="9">
        <f>B86*B76</f>
        <v>1213896222.5160265</v>
      </c>
      <c r="C93" s="9">
        <f>B87*C76</f>
        <v>2844902396.5502634</v>
      </c>
      <c r="D93" s="9">
        <f>B88*D76</f>
        <v>1479410584.5874527</v>
      </c>
      <c r="E93" s="9">
        <f>B89*E76</f>
        <v>375415463.3931544</v>
      </c>
    </row>
    <row r="94" spans="1:5" ht="12.75">
      <c r="A94" s="13"/>
      <c r="B94" s="9"/>
      <c r="C94" s="9"/>
      <c r="D94" s="9"/>
      <c r="E94" s="9"/>
    </row>
    <row r="95" spans="1:5" ht="12.75">
      <c r="A95" s="19" t="s">
        <v>100</v>
      </c>
      <c r="B95" s="155" t="e">
        <f>B77/B93</f>
        <v>#REF!</v>
      </c>
      <c r="C95" s="155" t="e">
        <f>C77/C93</f>
        <v>#REF!</v>
      </c>
      <c r="D95" s="155" t="e">
        <f>D77/D93</f>
        <v>#REF!</v>
      </c>
      <c r="E95" s="155" t="e">
        <f>E77/E93</f>
        <v>#REF!</v>
      </c>
    </row>
    <row r="97" spans="1:2" ht="12.75">
      <c r="A97" s="19" t="s">
        <v>106</v>
      </c>
      <c r="B97" s="9">
        <f>NPV(0.1,B12:F12)+NPV(0.1,B13:F13)+NPV(0.1,B32:F32)+NPV(0.1,B37:F37)</f>
        <v>101345031223.68355</v>
      </c>
    </row>
    <row r="98" spans="1:2" ht="12.75">
      <c r="A98" s="19" t="s">
        <v>172</v>
      </c>
      <c r="B98" s="9">
        <f>B97/485</f>
        <v>208958827.26532692</v>
      </c>
    </row>
    <row r="100" spans="2:5" ht="12.75">
      <c r="B100" s="198" t="s">
        <v>91</v>
      </c>
      <c r="C100" s="199"/>
      <c r="D100" s="199"/>
      <c r="E100" s="199"/>
    </row>
    <row r="101" spans="2:5" ht="12.75">
      <c r="B101" s="22" t="s">
        <v>38</v>
      </c>
      <c r="C101" s="22" t="s">
        <v>63</v>
      </c>
      <c r="D101" s="22" t="s">
        <v>40</v>
      </c>
      <c r="E101" s="22" t="s">
        <v>41</v>
      </c>
    </row>
    <row r="102" spans="1:5" ht="12.75">
      <c r="A102" s="19" t="s">
        <v>93</v>
      </c>
      <c r="B102" s="154" t="e">
        <f>B77/$B98</f>
        <v>#REF!</v>
      </c>
      <c r="C102" s="154" t="e">
        <f>C77/$B98</f>
        <v>#REF!</v>
      </c>
      <c r="D102" s="154" t="e">
        <f>D77/$B98</f>
        <v>#REF!</v>
      </c>
      <c r="E102" s="154" t="e">
        <f>E77/$B98</f>
        <v>#REF!</v>
      </c>
    </row>
  </sheetData>
  <sheetProtection/>
  <mergeCells count="6">
    <mergeCell ref="B91:E91"/>
    <mergeCell ref="B100:E100"/>
    <mergeCell ref="B46:E46"/>
    <mergeCell ref="B54:E54"/>
    <mergeCell ref="B74:E74"/>
    <mergeCell ref="B80:E80"/>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V112"/>
  <sheetViews>
    <sheetView zoomScalePageLayoutView="0" workbookViewId="0" topLeftCell="A19">
      <selection activeCell="B25" sqref="B25"/>
    </sheetView>
  </sheetViews>
  <sheetFormatPr defaultColWidth="9.140625" defaultRowHeight="12.75"/>
  <cols>
    <col min="1" max="1" width="55.7109375" style="0" customWidth="1"/>
    <col min="2" max="2" width="10.140625" style="0" customWidth="1"/>
    <col min="7" max="10" width="0" style="0" hidden="1" customWidth="1"/>
    <col min="12" max="15" width="0" style="0" hidden="1" customWidth="1"/>
    <col min="17" max="20" width="0" style="0" hidden="1" customWidth="1"/>
  </cols>
  <sheetData>
    <row r="1" ht="15">
      <c r="A1" s="15" t="s">
        <v>69</v>
      </c>
    </row>
    <row r="2" ht="15">
      <c r="A2" s="15" t="s">
        <v>0</v>
      </c>
    </row>
    <row r="3" ht="15">
      <c r="A3" s="15" t="s">
        <v>70</v>
      </c>
    </row>
    <row r="4" ht="15">
      <c r="A4" s="15" t="s">
        <v>2</v>
      </c>
    </row>
    <row r="5" ht="15">
      <c r="A5" s="15" t="s">
        <v>365</v>
      </c>
    </row>
    <row r="6" ht="15">
      <c r="A6" s="15" t="s">
        <v>144</v>
      </c>
    </row>
    <row r="7" spans="1:8" ht="15">
      <c r="A7" s="15" t="s">
        <v>246</v>
      </c>
      <c r="B7">
        <f>296-40</f>
        <v>256</v>
      </c>
      <c r="D7" s="13"/>
      <c r="H7" s="13"/>
    </row>
    <row r="8" ht="6.75" customHeight="1"/>
    <row r="9" spans="1:2" ht="12.75" customHeight="1">
      <c r="A9" s="15" t="s">
        <v>265</v>
      </c>
      <c r="B9" s="28">
        <v>21500000</v>
      </c>
    </row>
    <row r="11" spans="1:21" ht="15">
      <c r="A11" s="24" t="s">
        <v>102</v>
      </c>
      <c r="B11" s="1">
        <v>1</v>
      </c>
      <c r="C11" s="1">
        <v>2</v>
      </c>
      <c r="D11" s="1">
        <v>3</v>
      </c>
      <c r="E11" s="1">
        <v>4</v>
      </c>
      <c r="F11" s="1">
        <v>5</v>
      </c>
      <c r="G11" s="1">
        <v>6</v>
      </c>
      <c r="H11" s="1">
        <v>7</v>
      </c>
      <c r="I11" s="1">
        <v>8</v>
      </c>
      <c r="J11" s="1">
        <v>9</v>
      </c>
      <c r="K11" s="1">
        <v>10</v>
      </c>
      <c r="L11" s="1">
        <v>11</v>
      </c>
      <c r="M11" s="1">
        <v>12</v>
      </c>
      <c r="N11" s="1">
        <v>13</v>
      </c>
      <c r="O11" s="1">
        <v>14</v>
      </c>
      <c r="P11" s="1">
        <v>15</v>
      </c>
      <c r="Q11" s="1">
        <v>16</v>
      </c>
      <c r="R11" s="1">
        <v>17</v>
      </c>
      <c r="S11" s="1">
        <v>18</v>
      </c>
      <c r="T11" s="1">
        <v>19</v>
      </c>
      <c r="U11" s="1">
        <v>20</v>
      </c>
    </row>
    <row r="12" spans="1:4" ht="15">
      <c r="A12" s="15" t="s">
        <v>78</v>
      </c>
      <c r="B12" s="9">
        <f>'Kol-KounFeasDD'!B20+'Tn-KolFeasDD'!B20+ZigTnFeasDD!B20</f>
        <v>24988839351.002388</v>
      </c>
      <c r="C12" s="9">
        <f>'Kol-KounFeasDD'!C20+'Tn-KolFeasDD'!C20+ZigTnFeasDD!C20</f>
        <v>29986607221.202866</v>
      </c>
      <c r="D12" s="9">
        <f>'Kol-KounFeasDD'!D20+'Tn-KolFeasDD'!D20+ZigTnFeasDD!D20</f>
        <v>44979910831.80429</v>
      </c>
    </row>
    <row r="13" spans="1:6" ht="15">
      <c r="A13" s="15" t="s">
        <v>103</v>
      </c>
      <c r="B13" s="9">
        <f>$B9*485*1/9</f>
        <v>1158611111.1111112</v>
      </c>
      <c r="C13" s="9">
        <f>$B9*485*2/9</f>
        <v>2317222222.2222223</v>
      </c>
      <c r="D13" s="9">
        <f>$B9*485*2/9</f>
        <v>2317222222.2222223</v>
      </c>
      <c r="E13" s="9">
        <f>$B9*485*2/9</f>
        <v>2317222222.2222223</v>
      </c>
      <c r="F13" s="9">
        <f>$B9*485*2/9</f>
        <v>2317222222.2222223</v>
      </c>
    </row>
    <row r="14" spans="1:21" ht="15">
      <c r="A14" s="15" t="s">
        <v>137</v>
      </c>
      <c r="B14" s="9">
        <f>'Kol-KounFeasDD'!B22+'Tn-KolFeasDD'!B22+ZigTnFeasDD!B22</f>
        <v>0</v>
      </c>
      <c r="C14" s="9">
        <f>'Kol-KounFeasDD'!C22+'Tn-KolFeasDD'!C22+ZigTnFeasDD!C22</f>
        <v>534343618.84615386</v>
      </c>
      <c r="D14" s="9">
        <f>'Kol-KounFeasDD'!D22+'Tn-KolFeasDD'!D22+ZigTnFeasDD!D22</f>
        <v>923443424.6153846</v>
      </c>
      <c r="E14" s="9">
        <f>'Kol-KounFeasDD'!E22+'Tn-KolFeasDD'!E22+ZigTnFeasDD!E22</f>
        <v>565515111.5384616</v>
      </c>
      <c r="F14" s="9">
        <f>'Kol-KounFeasDD'!F22+'Tn-KolFeasDD'!F22+ZigTnFeasDD!F22</f>
        <v>945978180</v>
      </c>
      <c r="G14" s="9">
        <f>'Kol-KounFeasDD'!G22+'Tn-KolFeasDD'!G22+ZigTnFeasDD!G22</f>
        <v>580321726.9230769</v>
      </c>
      <c r="H14" s="9">
        <f>'Kol-KounFeasDD'!H22+'Tn-KolFeasDD'!H22+ZigTnFeasDD!H22</f>
        <v>1004234150.7692308</v>
      </c>
      <c r="I14" s="9">
        <f>'Kol-KounFeasDD'!I22+'Tn-KolFeasDD'!I22+ZigTnFeasDD!I22</f>
        <v>589383813.8461539</v>
      </c>
      <c r="J14" s="9">
        <f>'Kol-KounFeasDD'!J22+'Tn-KolFeasDD'!J22+ZigTnFeasDD!J22</f>
        <v>1064160698.4615384</v>
      </c>
      <c r="K14" s="9">
        <f>'Kol-KounFeasDD'!K22+'Tn-KolFeasDD'!K22+ZigTnFeasDD!K22</f>
        <v>595609032.3076923</v>
      </c>
      <c r="L14" s="9">
        <f>'Kol-KounFeasDD'!L22+'Tn-KolFeasDD'!L22+ZigTnFeasDD!L22</f>
        <v>1128986244.6153846</v>
      </c>
      <c r="M14" s="9">
        <f>'Kol-KounFeasDD'!M22+'Tn-KolFeasDD'!M22+ZigTnFeasDD!M22</f>
        <v>600993949.2307692</v>
      </c>
      <c r="N14" s="9">
        <f>'Kol-KounFeasDD'!N22+'Tn-KolFeasDD'!N22+ZigTnFeasDD!N22</f>
        <v>1201157009.2307692</v>
      </c>
      <c r="O14" s="9">
        <f>'Kol-KounFeasDD'!O22+'Tn-KolFeasDD'!O22+ZigTnFeasDD!O22</f>
        <v>932737927.6923077</v>
      </c>
      <c r="P14" s="9">
        <f>'Kol-KounFeasDD'!P22+'Tn-KolFeasDD'!P22+ZigTnFeasDD!P22</f>
        <v>955929638.4615384</v>
      </c>
      <c r="Q14" s="9">
        <f>'Kol-KounFeasDD'!Q22+'Tn-KolFeasDD'!Q22+ZigTnFeasDD!Q22</f>
        <v>980307566.6030769</v>
      </c>
      <c r="R14" s="9">
        <f>'Kol-KounFeasDD'!R22+'Tn-KolFeasDD'!R22+ZigTnFeasDD!R22</f>
        <v>1006060953.0156555</v>
      </c>
      <c r="S14" s="9">
        <f>'Kol-KounFeasDD'!S22+'Tn-KolFeasDD'!S22+ZigTnFeasDD!S22</f>
        <v>1033270836.7585553</v>
      </c>
      <c r="T14" s="9">
        <f>'Kol-KounFeasDD'!T22+'Tn-KolFeasDD'!T22+ZigTnFeasDD!T22</f>
        <v>1062022680.3477949</v>
      </c>
      <c r="U14" s="9">
        <f>'Kol-KounFeasDD'!U22+'Tn-KolFeasDD'!U22+ZigTnFeasDD!U22</f>
        <v>1092407233.3298407</v>
      </c>
    </row>
    <row r="15" spans="1:21" ht="15">
      <c r="A15" s="24" t="s">
        <v>79</v>
      </c>
      <c r="B15" s="35">
        <f>'Kol-KounFeasDD'!B23+'Tn-KolFeasDD'!B23+ZigTnFeasDD!B23</f>
        <v>0</v>
      </c>
      <c r="C15" s="35">
        <f>'Kol-KounFeasDD'!C23+'Tn-KolFeasDD'!C23+ZigTnFeasDD!C23</f>
        <v>0</v>
      </c>
      <c r="D15" s="35">
        <f>'Kol-KounFeasDD'!D23+'Tn-KolFeasDD'!D23+ZigTnFeasDD!D23</f>
        <v>0</v>
      </c>
      <c r="E15" s="35">
        <f>'Kol-KounFeasDD'!E23+'Tn-KolFeasDD'!E23+ZigTnFeasDD!E23</f>
        <v>12939873738.476864</v>
      </c>
      <c r="F15" s="35">
        <f>'Kol-KounFeasDD'!F23+'Tn-KolFeasDD'!F23+ZigTnFeasDD!F23</f>
        <v>13328069950.63117</v>
      </c>
      <c r="G15" s="35">
        <f>'Kol-KounFeasDD'!G23+'Tn-KolFeasDD'!G23+ZigTnFeasDD!G23</f>
        <v>13727912049.150105</v>
      </c>
      <c r="H15" s="35">
        <f>'Kol-KounFeasDD'!H23+'Tn-KolFeasDD'!H23+ZigTnFeasDD!H23</f>
        <v>14139749410.624609</v>
      </c>
      <c r="I15" s="35">
        <f>'Kol-KounFeasDD'!I23+'Tn-KolFeasDD'!I23+ZigTnFeasDD!I23</f>
        <v>14563941892.943346</v>
      </c>
      <c r="J15" s="35">
        <f>'Kol-KounFeasDD'!J23+'Tn-KolFeasDD'!J23+ZigTnFeasDD!J23</f>
        <v>15000860149.731644</v>
      </c>
      <c r="K15" s="35">
        <f>'Kol-KounFeasDD'!K23+'Tn-KolFeasDD'!K23+ZigTnFeasDD!K23</f>
        <v>15450885954.223595</v>
      </c>
      <c r="L15" s="35">
        <f>'Kol-KounFeasDD'!L23+'Tn-KolFeasDD'!L23+ZigTnFeasDD!L23</f>
        <v>15914412532.850304</v>
      </c>
      <c r="M15" s="35">
        <f>'Kol-KounFeasDD'!M23+'Tn-KolFeasDD'!M23+ZigTnFeasDD!M23</f>
        <v>16391844908.835812</v>
      </c>
      <c r="N15" s="35">
        <f>'Kol-KounFeasDD'!N23+'Tn-KolFeasDD'!N23+ZigTnFeasDD!N23</f>
        <v>16883600256.100885</v>
      </c>
      <c r="O15" s="35">
        <f>'Kol-KounFeasDD'!O23+'Tn-KolFeasDD'!O23+ZigTnFeasDD!O23</f>
        <v>17390108263.783913</v>
      </c>
      <c r="P15" s="35">
        <f>'Kol-KounFeasDD'!P23+'Tn-KolFeasDD'!P23+ZigTnFeasDD!P23</f>
        <v>17911811511.69743</v>
      </c>
      <c r="Q15" s="35">
        <f>'Kol-KounFeasDD'!Q23+'Tn-KolFeasDD'!Q23+ZigTnFeasDD!Q23</f>
        <v>18449165857.048347</v>
      </c>
      <c r="R15" s="35">
        <f>'Kol-KounFeasDD'!R23+'Tn-KolFeasDD'!R23+ZigTnFeasDD!R23</f>
        <v>19002640832.7598</v>
      </c>
      <c r="S15" s="35">
        <f>'Kol-KounFeasDD'!S23+'Tn-KolFeasDD'!S23+ZigTnFeasDD!S23</f>
        <v>19572720057.742596</v>
      </c>
      <c r="T15" s="35">
        <f>'Kol-KounFeasDD'!T23+'Tn-KolFeasDD'!T23+ZigTnFeasDD!T23</f>
        <v>20159901659.474873</v>
      </c>
      <c r="U15" s="35">
        <f>'Kol-KounFeasDD'!U23+'Tn-KolFeasDD'!U23+ZigTnFeasDD!U23</f>
        <v>20764698709.259117</v>
      </c>
    </row>
    <row r="16" spans="1:21" ht="15">
      <c r="A16" s="15" t="s">
        <v>104</v>
      </c>
      <c r="B16" s="9">
        <f aca="true" t="shared" si="0" ref="B16:U16">B14+B15-B12-B13</f>
        <v>-26147450462.1135</v>
      </c>
      <c r="C16" s="9">
        <f t="shared" si="0"/>
        <v>-31769485824.578934</v>
      </c>
      <c r="D16" s="9">
        <f t="shared" si="0"/>
        <v>-46373689629.411125</v>
      </c>
      <c r="E16" s="9">
        <f t="shared" si="0"/>
        <v>11188166627.793102</v>
      </c>
      <c r="F16" s="9">
        <f t="shared" si="0"/>
        <v>11956825908.408947</v>
      </c>
      <c r="G16" s="9">
        <f t="shared" si="0"/>
        <v>14308233776.073181</v>
      </c>
      <c r="H16" s="9">
        <f t="shared" si="0"/>
        <v>15143983561.39384</v>
      </c>
      <c r="I16" s="9">
        <f t="shared" si="0"/>
        <v>15153325706.7895</v>
      </c>
      <c r="J16" s="9">
        <f t="shared" si="0"/>
        <v>16065020848.193182</v>
      </c>
      <c r="K16" s="9">
        <f t="shared" si="0"/>
        <v>16046494986.531286</v>
      </c>
      <c r="L16" s="9">
        <f t="shared" si="0"/>
        <v>17043398777.465689</v>
      </c>
      <c r="M16" s="9">
        <f t="shared" si="0"/>
        <v>16992838858.066582</v>
      </c>
      <c r="N16" s="9">
        <f t="shared" si="0"/>
        <v>18084757265.331654</v>
      </c>
      <c r="O16" s="9">
        <f t="shared" si="0"/>
        <v>18322846191.47622</v>
      </c>
      <c r="P16" s="9">
        <f t="shared" si="0"/>
        <v>18867741150.15897</v>
      </c>
      <c r="Q16" s="9">
        <f t="shared" si="0"/>
        <v>19429473423.651424</v>
      </c>
      <c r="R16" s="9">
        <f t="shared" si="0"/>
        <v>20008701785.775455</v>
      </c>
      <c r="S16" s="9">
        <f t="shared" si="0"/>
        <v>20605990894.501152</v>
      </c>
      <c r="T16" s="9">
        <f t="shared" si="0"/>
        <v>21221924339.822666</v>
      </c>
      <c r="U16" s="9">
        <f t="shared" si="0"/>
        <v>21857105942.58896</v>
      </c>
    </row>
    <row r="17" spans="1:2" ht="15">
      <c r="A17" s="15" t="s">
        <v>258</v>
      </c>
      <c r="B17" s="2">
        <f>SUM(B12:D12)/485/B7</f>
        <v>805052.8141431182</v>
      </c>
    </row>
    <row r="18" spans="1:3" ht="15">
      <c r="A18" s="15" t="s">
        <v>105</v>
      </c>
      <c r="B18" s="156">
        <f>IRR(B16:U16,0.015)</f>
        <v>0.11572847416006038</v>
      </c>
      <c r="C18" t="s">
        <v>165</v>
      </c>
    </row>
    <row r="19" ht="14.25" customHeight="1"/>
    <row r="20" spans="1:2" ht="15">
      <c r="A20" s="15" t="s">
        <v>257</v>
      </c>
      <c r="B20" s="13" t="s">
        <v>149</v>
      </c>
    </row>
    <row r="21" spans="1:2" ht="15">
      <c r="A21" s="15" t="s">
        <v>145</v>
      </c>
      <c r="B21" s="2">
        <f>3.12486387161049*1000000</f>
        <v>3124863.87161049</v>
      </c>
    </row>
    <row r="22" spans="1:2" ht="15">
      <c r="A22" s="15" t="s">
        <v>146</v>
      </c>
      <c r="B22" s="2">
        <f>0.24*1000000</f>
        <v>240000</v>
      </c>
    </row>
    <row r="23" spans="1:2" ht="15">
      <c r="A23" s="15" t="s">
        <v>147</v>
      </c>
      <c r="B23" s="2">
        <f>0.24*1000000</f>
        <v>240000</v>
      </c>
    </row>
    <row r="24" spans="1:2" ht="15">
      <c r="A24" s="15" t="s">
        <v>148</v>
      </c>
      <c r="B24" s="2">
        <f>0.22*1000000</f>
        <v>220000</v>
      </c>
    </row>
    <row r="25" spans="1:3" ht="15">
      <c r="A25" s="15" t="s">
        <v>167</v>
      </c>
      <c r="B25" s="36">
        <f>0.9*1000000</f>
        <v>900000</v>
      </c>
      <c r="C25" s="13" t="s">
        <v>256</v>
      </c>
    </row>
    <row r="26" spans="1:2" ht="15">
      <c r="A26" s="15" t="s">
        <v>67</v>
      </c>
      <c r="B26" s="2">
        <f>SUM(B21:B25)</f>
        <v>4724863.871610491</v>
      </c>
    </row>
    <row r="28" spans="1:21" ht="15">
      <c r="A28" s="15" t="s">
        <v>168</v>
      </c>
      <c r="B28" s="9">
        <f>B16-$B26*485*0.25</f>
        <v>-26720340206.546272</v>
      </c>
      <c r="C28" s="9">
        <f>C16-$B26*485*0.3</f>
        <v>-32456953517.898262</v>
      </c>
      <c r="D28" s="9">
        <f>D16-$B26*485*0.45</f>
        <v>-47404891169.390114</v>
      </c>
      <c r="E28" s="9">
        <f aca="true" t="shared" si="1" ref="E28:U28">E16</f>
        <v>11188166627.793102</v>
      </c>
      <c r="F28" s="9">
        <f t="shared" si="1"/>
        <v>11956825908.408947</v>
      </c>
      <c r="G28" s="9">
        <f t="shared" si="1"/>
        <v>14308233776.073181</v>
      </c>
      <c r="H28" s="9">
        <f t="shared" si="1"/>
        <v>15143983561.39384</v>
      </c>
      <c r="I28" s="9">
        <f t="shared" si="1"/>
        <v>15153325706.7895</v>
      </c>
      <c r="J28" s="9">
        <f t="shared" si="1"/>
        <v>16065020848.193182</v>
      </c>
      <c r="K28" s="9">
        <f t="shared" si="1"/>
        <v>16046494986.531286</v>
      </c>
      <c r="L28" s="9">
        <f t="shared" si="1"/>
        <v>17043398777.465689</v>
      </c>
      <c r="M28" s="9">
        <f t="shared" si="1"/>
        <v>16992838858.066582</v>
      </c>
      <c r="N28" s="9">
        <f t="shared" si="1"/>
        <v>18084757265.331654</v>
      </c>
      <c r="O28" s="9">
        <f t="shared" si="1"/>
        <v>18322846191.47622</v>
      </c>
      <c r="P28" s="9">
        <f t="shared" si="1"/>
        <v>18867741150.15897</v>
      </c>
      <c r="Q28" s="9">
        <f t="shared" si="1"/>
        <v>19429473423.651424</v>
      </c>
      <c r="R28" s="9">
        <f t="shared" si="1"/>
        <v>20008701785.775455</v>
      </c>
      <c r="S28" s="9">
        <f t="shared" si="1"/>
        <v>20605990894.501152</v>
      </c>
      <c r="T28" s="9">
        <f t="shared" si="1"/>
        <v>21221924339.822666</v>
      </c>
      <c r="U28" s="9">
        <f t="shared" si="1"/>
        <v>21857105942.58896</v>
      </c>
    </row>
    <row r="30" spans="1:3" ht="15">
      <c r="A30" s="15" t="s">
        <v>105</v>
      </c>
      <c r="B30" s="160">
        <f>IRR(B28:U28,0.11)</f>
        <v>0.11279073668899953</v>
      </c>
      <c r="C30" t="s">
        <v>170</v>
      </c>
    </row>
    <row r="31" spans="1:2" ht="15">
      <c r="A31" s="15"/>
      <c r="B31" s="2"/>
    </row>
    <row r="32" spans="1:21" ht="15">
      <c r="A32" s="15" t="s">
        <v>250</v>
      </c>
      <c r="B32" s="35">
        <f>21300*485</f>
        <v>10330500</v>
      </c>
      <c r="C32" s="35">
        <f>199500*484</f>
        <v>96558000</v>
      </c>
      <c r="D32" s="35">
        <f>134500*485</f>
        <v>65232500</v>
      </c>
      <c r="E32" s="35">
        <f>112000*485</f>
        <v>54320000</v>
      </c>
      <c r="F32" s="35">
        <f>55000*485</f>
        <v>26675000</v>
      </c>
      <c r="G32" s="1"/>
      <c r="H32" s="1"/>
      <c r="I32" s="1"/>
      <c r="J32" s="1"/>
      <c r="K32" s="1"/>
      <c r="L32" s="1"/>
      <c r="M32" s="1"/>
      <c r="N32" s="1"/>
      <c r="O32" s="1"/>
      <c r="P32" s="1"/>
      <c r="Q32" s="1"/>
      <c r="R32" s="1"/>
      <c r="S32" s="1"/>
      <c r="T32" s="1"/>
      <c r="U32" s="1"/>
    </row>
    <row r="33" spans="1:21" ht="15">
      <c r="A33" s="15" t="s">
        <v>251</v>
      </c>
      <c r="B33" s="9">
        <f aca="true" t="shared" si="2" ref="B33:U33">B28-B32</f>
        <v>-26730670706.546272</v>
      </c>
      <c r="C33" s="9">
        <f t="shared" si="2"/>
        <v>-32553511517.898262</v>
      </c>
      <c r="D33" s="9">
        <f t="shared" si="2"/>
        <v>-47470123669.390114</v>
      </c>
      <c r="E33" s="9">
        <f t="shared" si="2"/>
        <v>11133846627.793102</v>
      </c>
      <c r="F33" s="9">
        <f t="shared" si="2"/>
        <v>11930150908.408947</v>
      </c>
      <c r="G33" s="9">
        <f t="shared" si="2"/>
        <v>14308233776.073181</v>
      </c>
      <c r="H33" s="9">
        <f t="shared" si="2"/>
        <v>15143983561.39384</v>
      </c>
      <c r="I33" s="9">
        <f t="shared" si="2"/>
        <v>15153325706.7895</v>
      </c>
      <c r="J33" s="9">
        <f t="shared" si="2"/>
        <v>16065020848.193182</v>
      </c>
      <c r="K33" s="9">
        <f t="shared" si="2"/>
        <v>16046494986.531286</v>
      </c>
      <c r="L33" s="9">
        <f t="shared" si="2"/>
        <v>17043398777.465689</v>
      </c>
      <c r="M33" s="9">
        <f t="shared" si="2"/>
        <v>16992838858.066582</v>
      </c>
      <c r="N33" s="9">
        <f t="shared" si="2"/>
        <v>18084757265.331654</v>
      </c>
      <c r="O33" s="9">
        <f t="shared" si="2"/>
        <v>18322846191.47622</v>
      </c>
      <c r="P33" s="9">
        <f t="shared" si="2"/>
        <v>18867741150.15897</v>
      </c>
      <c r="Q33" s="9">
        <f t="shared" si="2"/>
        <v>19429473423.651424</v>
      </c>
      <c r="R33" s="9">
        <f t="shared" si="2"/>
        <v>20008701785.775455</v>
      </c>
      <c r="S33" s="9">
        <f t="shared" si="2"/>
        <v>20605990894.501152</v>
      </c>
      <c r="T33" s="9">
        <f t="shared" si="2"/>
        <v>21221924339.822666</v>
      </c>
      <c r="U33" s="9">
        <f t="shared" si="2"/>
        <v>21857105942.58896</v>
      </c>
    </row>
    <row r="34" spans="1:2" ht="15">
      <c r="A34" s="15"/>
      <c r="B34" s="2"/>
    </row>
    <row r="35" spans="1:3" ht="15">
      <c r="A35" s="15" t="s">
        <v>105</v>
      </c>
      <c r="B35" s="160" t="e">
        <f>IRR(B33:U33,0.1)</f>
        <v>#NUM!</v>
      </c>
      <c r="C35" t="s">
        <v>252</v>
      </c>
    </row>
    <row r="36" spans="1:2" ht="15">
      <c r="A36" s="15"/>
      <c r="B36" s="2"/>
    </row>
    <row r="37" spans="1:21" ht="15">
      <c r="A37" s="44" t="s">
        <v>253</v>
      </c>
      <c r="B37" s="35"/>
      <c r="C37" s="35"/>
      <c r="D37" s="35">
        <f>1000000*485</f>
        <v>485000000</v>
      </c>
      <c r="E37" s="35">
        <f>1045000*485</f>
        <v>506825000</v>
      </c>
      <c r="F37" s="35">
        <f>45000*485</f>
        <v>21825000</v>
      </c>
      <c r="G37" s="1"/>
      <c r="H37" s="1"/>
      <c r="I37" s="1"/>
      <c r="J37" s="1"/>
      <c r="K37" s="1"/>
      <c r="L37" s="1"/>
      <c r="M37" s="1"/>
      <c r="N37" s="1"/>
      <c r="O37" s="1"/>
      <c r="P37" s="1"/>
      <c r="Q37" s="1"/>
      <c r="R37" s="1"/>
      <c r="S37" s="1"/>
      <c r="T37" s="1"/>
      <c r="U37" s="1"/>
    </row>
    <row r="38" spans="1:21" ht="15">
      <c r="A38" s="15" t="s">
        <v>251</v>
      </c>
      <c r="B38" s="9">
        <f aca="true" t="shared" si="3" ref="B38:U38">B33-B37</f>
        <v>-26730670706.546272</v>
      </c>
      <c r="C38" s="9">
        <f t="shared" si="3"/>
        <v>-32553511517.898262</v>
      </c>
      <c r="D38" s="9">
        <f t="shared" si="3"/>
        <v>-47955123669.390114</v>
      </c>
      <c r="E38" s="9">
        <f t="shared" si="3"/>
        <v>10627021627.793102</v>
      </c>
      <c r="F38" s="9">
        <f t="shared" si="3"/>
        <v>11908325908.408947</v>
      </c>
      <c r="G38" s="9">
        <f t="shared" si="3"/>
        <v>14308233776.073181</v>
      </c>
      <c r="H38" s="9">
        <f t="shared" si="3"/>
        <v>15143983561.39384</v>
      </c>
      <c r="I38" s="9">
        <f t="shared" si="3"/>
        <v>15153325706.7895</v>
      </c>
      <c r="J38" s="9">
        <f t="shared" si="3"/>
        <v>16065020848.193182</v>
      </c>
      <c r="K38" s="9">
        <f t="shared" si="3"/>
        <v>16046494986.531286</v>
      </c>
      <c r="L38" s="9">
        <f t="shared" si="3"/>
        <v>17043398777.465689</v>
      </c>
      <c r="M38" s="9">
        <f t="shared" si="3"/>
        <v>16992838858.066582</v>
      </c>
      <c r="N38" s="9">
        <f t="shared" si="3"/>
        <v>18084757265.331654</v>
      </c>
      <c r="O38" s="9">
        <f t="shared" si="3"/>
        <v>18322846191.47622</v>
      </c>
      <c r="P38" s="9">
        <f t="shared" si="3"/>
        <v>18867741150.15897</v>
      </c>
      <c r="Q38" s="9">
        <f t="shared" si="3"/>
        <v>19429473423.651424</v>
      </c>
      <c r="R38" s="9">
        <f t="shared" si="3"/>
        <v>20008701785.775455</v>
      </c>
      <c r="S38" s="9">
        <f t="shared" si="3"/>
        <v>20605990894.501152</v>
      </c>
      <c r="T38" s="9">
        <f t="shared" si="3"/>
        <v>21221924339.822666</v>
      </c>
      <c r="U38" s="9">
        <f t="shared" si="3"/>
        <v>21857105942.58896</v>
      </c>
    </row>
    <row r="39" spans="1:21" ht="15">
      <c r="A39" s="15"/>
      <c r="B39" s="9"/>
      <c r="C39" s="9"/>
      <c r="D39" s="9"/>
      <c r="E39" s="9"/>
      <c r="F39" s="9"/>
      <c r="G39" s="9"/>
      <c r="H39" s="9"/>
      <c r="I39" s="9"/>
      <c r="J39" s="9"/>
      <c r="K39" s="9"/>
      <c r="L39" s="9"/>
      <c r="M39" s="9"/>
      <c r="N39" s="9"/>
      <c r="O39" s="9"/>
      <c r="P39" s="9"/>
      <c r="Q39" s="9"/>
      <c r="R39" s="9"/>
      <c r="S39" s="9"/>
      <c r="T39" s="9"/>
      <c r="U39" s="9"/>
    </row>
    <row r="40" spans="1:21" ht="15">
      <c r="A40" s="15" t="s">
        <v>105</v>
      </c>
      <c r="B40" s="160">
        <f>IRR(B38:U38,0.05)</f>
        <v>0.11139750809617999</v>
      </c>
      <c r="C40" s="9" t="s">
        <v>254</v>
      </c>
      <c r="D40" s="9"/>
      <c r="E40" s="9"/>
      <c r="F40" s="9"/>
      <c r="G40" s="9"/>
      <c r="H40" s="9"/>
      <c r="I40" s="9"/>
      <c r="J40" s="9"/>
      <c r="K40" s="9"/>
      <c r="L40" s="9"/>
      <c r="M40" s="9"/>
      <c r="N40" s="9"/>
      <c r="O40" s="9"/>
      <c r="P40" s="9"/>
      <c r="Q40" s="9"/>
      <c r="R40" s="9"/>
      <c r="S40" s="9"/>
      <c r="T40" s="9"/>
      <c r="U40" s="9"/>
    </row>
    <row r="41" spans="1:2" ht="15">
      <c r="A41" s="15"/>
      <c r="B41" s="2"/>
    </row>
    <row r="42" spans="1:2" ht="15">
      <c r="A42" s="15" t="s">
        <v>259</v>
      </c>
      <c r="B42" s="9">
        <f>SUM(B12:D12)+B26*485+0</f>
        <v>102246916381.74065</v>
      </c>
    </row>
    <row r="43" ht="12.75">
      <c r="B43" s="2"/>
    </row>
    <row r="44" spans="1:2" ht="15">
      <c r="A44" s="15" t="s">
        <v>81</v>
      </c>
      <c r="B44" s="2">
        <v>289.5780115175572</v>
      </c>
    </row>
    <row r="46" spans="1:5" ht="12.75">
      <c r="A46" s="19" t="s">
        <v>72</v>
      </c>
      <c r="B46" s="198" t="s">
        <v>91</v>
      </c>
      <c r="C46" s="199"/>
      <c r="D46" s="199"/>
      <c r="E46" s="199"/>
    </row>
    <row r="47" spans="2:5" ht="12.75">
      <c r="B47" s="18" t="s">
        <v>38</v>
      </c>
      <c r="C47" s="18" t="s">
        <v>39</v>
      </c>
      <c r="D47" s="18" t="s">
        <v>40</v>
      </c>
      <c r="E47" s="18" t="s">
        <v>41</v>
      </c>
    </row>
    <row r="48" spans="1:5" ht="15">
      <c r="A48" s="15" t="s">
        <v>73</v>
      </c>
      <c r="B48" s="155">
        <v>0.335</v>
      </c>
      <c r="C48" s="155">
        <v>0.2686</v>
      </c>
      <c r="D48" s="155">
        <v>0.2894</v>
      </c>
      <c r="E48" s="155">
        <v>0.10699999999999998</v>
      </c>
    </row>
    <row r="49" spans="1:5" ht="12.75">
      <c r="A49" s="19" t="s">
        <v>74</v>
      </c>
      <c r="B49" s="3">
        <v>0.46161417322834647</v>
      </c>
      <c r="C49" s="3">
        <v>0.3701181102362205</v>
      </c>
      <c r="D49" s="3">
        <v>0.17</v>
      </c>
      <c r="E49" s="3">
        <v>-0.0017322834645669971</v>
      </c>
    </row>
    <row r="50" spans="1:5" ht="12.75">
      <c r="A50" s="13" t="s">
        <v>107</v>
      </c>
      <c r="C50" s="3"/>
      <c r="D50" s="3"/>
      <c r="E50" s="3"/>
    </row>
    <row r="51" ht="12.75">
      <c r="A51" s="13" t="s">
        <v>108</v>
      </c>
    </row>
    <row r="52" spans="1:2" ht="12.75">
      <c r="A52" s="19" t="s">
        <v>75</v>
      </c>
      <c r="B52" s="155">
        <v>0.65</v>
      </c>
    </row>
    <row r="53" spans="1:2" ht="12.75">
      <c r="A53" s="19"/>
      <c r="B53" s="155"/>
    </row>
    <row r="54" spans="1:2" ht="12.75">
      <c r="A54" s="19" t="s">
        <v>364</v>
      </c>
      <c r="B54" s="155"/>
    </row>
    <row r="55" spans="1:6" ht="12.75">
      <c r="A55" s="19" t="s">
        <v>363</v>
      </c>
      <c r="B55" s="2">
        <f>B49*$B72</f>
        <v>218585.85137795276</v>
      </c>
      <c r="C55" s="2">
        <f>C49*$B72</f>
        <v>175260.1781496063</v>
      </c>
      <c r="D55" s="2">
        <f>D49*$B72</f>
        <v>80499.25</v>
      </c>
      <c r="E55" s="2">
        <v>0</v>
      </c>
      <c r="F55" s="2"/>
    </row>
    <row r="56" spans="1:6" ht="12.75">
      <c r="A56" s="19" t="s">
        <v>362</v>
      </c>
      <c r="B56" s="2">
        <f>B55*1</f>
        <v>218585.85137795276</v>
      </c>
      <c r="C56" s="2">
        <f>C55*1.62</f>
        <v>283921.4886023622</v>
      </c>
      <c r="D56" s="2">
        <f>D55*3</f>
        <v>241497.75</v>
      </c>
      <c r="E56" s="2"/>
      <c r="F56" s="2"/>
    </row>
    <row r="57" spans="1:6" ht="12.75">
      <c r="A57" s="19" t="s">
        <v>361</v>
      </c>
      <c r="B57" s="155">
        <f>B56/SUM($B56:$E56)</f>
        <v>0.2937961773671954</v>
      </c>
      <c r="C57" s="155">
        <f>C56/SUM($B56:$E56)</f>
        <v>0.38161229328400736</v>
      </c>
      <c r="D57" s="155">
        <f>D56/SUM($B56:$E56)</f>
        <v>0.3245915293487973</v>
      </c>
      <c r="E57" s="155">
        <f>E56/SUM($B56:$E56)</f>
        <v>0</v>
      </c>
      <c r="F57" s="2"/>
    </row>
    <row r="58" spans="1:6" ht="12.75">
      <c r="A58" s="19"/>
      <c r="B58" s="155"/>
      <c r="C58" s="155"/>
      <c r="D58" s="155"/>
      <c r="E58" s="155"/>
      <c r="F58" s="2"/>
    </row>
    <row r="59" spans="1:6" ht="12.75">
      <c r="A59" s="19" t="s">
        <v>360</v>
      </c>
      <c r="F59" s="2"/>
    </row>
    <row r="60" spans="1:6" ht="12.75">
      <c r="A60" s="19" t="s">
        <v>359</v>
      </c>
      <c r="B60">
        <v>1764</v>
      </c>
      <c r="C60" s="13" t="s">
        <v>358</v>
      </c>
      <c r="F60" s="2"/>
    </row>
    <row r="61" spans="1:6" ht="12.75">
      <c r="A61" s="19"/>
      <c r="B61" s="155">
        <v>0.07</v>
      </c>
      <c r="C61" s="155">
        <v>0.16</v>
      </c>
      <c r="D61" s="155">
        <v>0.35</v>
      </c>
      <c r="E61" s="155">
        <v>0.42</v>
      </c>
      <c r="F61" s="48" t="s">
        <v>357</v>
      </c>
    </row>
    <row r="62" spans="1:2" ht="12.75">
      <c r="A62" s="19"/>
      <c r="B62" s="155"/>
    </row>
    <row r="63" spans="1:5" ht="24" customHeight="1">
      <c r="A63" s="19"/>
      <c r="B63" s="198" t="s">
        <v>91</v>
      </c>
      <c r="C63" s="199"/>
      <c r="D63" s="199"/>
      <c r="E63" s="199"/>
    </row>
    <row r="64" spans="1:5" ht="12.75">
      <c r="A64" s="19" t="s">
        <v>76</v>
      </c>
      <c r="B64" s="18" t="s">
        <v>38</v>
      </c>
      <c r="C64" s="18" t="s">
        <v>39</v>
      </c>
      <c r="D64" s="18" t="s">
        <v>40</v>
      </c>
      <c r="E64" s="18" t="s">
        <v>41</v>
      </c>
    </row>
    <row r="65" spans="1:5" ht="12.75">
      <c r="A65" s="19" t="s">
        <v>356</v>
      </c>
      <c r="B65" s="3">
        <f>$B52*B49+(1-$B52)*B48</f>
        <v>0.4172992125984252</v>
      </c>
      <c r="C65" s="3">
        <f>$B52*C49+(1-$B52)*C48</f>
        <v>0.33458677165354334</v>
      </c>
      <c r="D65" s="3">
        <f>$B52*D49+(1-$B52)*D48</f>
        <v>0.21179</v>
      </c>
      <c r="E65" s="3">
        <f>$B52*E49+(1-$B52)*E48</f>
        <v>0.036324015748031444</v>
      </c>
    </row>
    <row r="66" spans="1:5" ht="12.75">
      <c r="A66" s="19" t="s">
        <v>355</v>
      </c>
      <c r="B66" s="3">
        <f>$B52*B57+(1-$B52)*B61</f>
        <v>0.215467515288677</v>
      </c>
      <c r="C66" s="3">
        <f>$B52*C57+(1-$B52)*C61</f>
        <v>0.3040479906346048</v>
      </c>
      <c r="D66" s="3">
        <f>$B52*D57+(1-$B52)*D61</f>
        <v>0.33348449407671826</v>
      </c>
      <c r="E66" s="3">
        <f>$B52*E57+(1-$B52)*E61</f>
        <v>0.147</v>
      </c>
    </row>
    <row r="67" spans="1:5" ht="12.75">
      <c r="A67" s="19"/>
      <c r="B67" s="3"/>
      <c r="C67" s="3"/>
      <c r="D67" s="3"/>
      <c r="E67" s="3"/>
    </row>
    <row r="68" spans="1:2" ht="12.75">
      <c r="A68" s="19" t="s">
        <v>80</v>
      </c>
      <c r="B68" s="9">
        <f>NPV(0.1,B14:U14)+NPV(0.1,B15:U15)</f>
        <v>99720004579.97119</v>
      </c>
    </row>
    <row r="69" spans="1:2" ht="12.75">
      <c r="A69" s="19" t="s">
        <v>82</v>
      </c>
      <c r="B69" s="9">
        <f>B68/PPP_exrate</f>
        <v>344363178.88012415</v>
      </c>
    </row>
    <row r="71" spans="1:5" ht="12.75">
      <c r="A71" s="19" t="s">
        <v>109</v>
      </c>
      <c r="B71" s="2">
        <f>RN6_Pop!H47</f>
        <v>44453</v>
      </c>
      <c r="C71" s="13" t="s">
        <v>85</v>
      </c>
      <c r="E71" s="2">
        <f>RN6_Pop!H47</f>
        <v>44453</v>
      </c>
    </row>
    <row r="72" spans="1:5" ht="12.75">
      <c r="A72" s="19" t="s">
        <v>88</v>
      </c>
      <c r="B72" s="2">
        <f>RN6_Pop!I47</f>
        <v>473525</v>
      </c>
      <c r="E72" s="2">
        <f>RN6_Pop!I47</f>
        <v>473525</v>
      </c>
    </row>
    <row r="73" spans="1:5" ht="12.75">
      <c r="A73" s="19" t="s">
        <v>110</v>
      </c>
      <c r="B73" s="2">
        <f>B72/B7</f>
        <v>1849.70703125</v>
      </c>
      <c r="E73" s="2">
        <f>E72/(B7-40)</f>
        <v>2192.2453703703704</v>
      </c>
    </row>
    <row r="74" spans="1:5" ht="12.75">
      <c r="A74" s="19" t="s">
        <v>111</v>
      </c>
      <c r="B74" s="2">
        <f>B73/10</f>
        <v>184.970703125</v>
      </c>
      <c r="E74" s="2">
        <f>E73/10</f>
        <v>219.22453703703704</v>
      </c>
    </row>
    <row r="75" spans="1:5" ht="12.75">
      <c r="A75" s="19" t="s">
        <v>112</v>
      </c>
      <c r="B75" s="2">
        <f>B74/11</f>
        <v>16.81551846590909</v>
      </c>
      <c r="E75" s="2">
        <f>E74/11</f>
        <v>19.929503367003367</v>
      </c>
    </row>
    <row r="76" spans="1:5" ht="12.75">
      <c r="A76" s="19" t="s">
        <v>86</v>
      </c>
      <c r="B76" s="2">
        <f>B71*(1-B52)</f>
        <v>15558.55</v>
      </c>
      <c r="E76" s="2">
        <f>E71*(1-B52)</f>
        <v>15558.55</v>
      </c>
    </row>
    <row r="77" spans="1:5" ht="12.75">
      <c r="A77" s="20" t="s">
        <v>87</v>
      </c>
      <c r="B77" s="36">
        <f>B76*11</f>
        <v>171144.05</v>
      </c>
      <c r="E77" s="36">
        <f>E76*11</f>
        <v>171144.05</v>
      </c>
    </row>
    <row r="78" spans="1:5" ht="12.75">
      <c r="A78" s="19" t="s">
        <v>89</v>
      </c>
      <c r="B78" s="2">
        <f>B71+B76</f>
        <v>60011.55</v>
      </c>
      <c r="E78" s="2">
        <f>E71+E76</f>
        <v>60011.55</v>
      </c>
    </row>
    <row r="79" spans="1:5" ht="12.75">
      <c r="A79" s="19" t="s">
        <v>90</v>
      </c>
      <c r="B79" s="2">
        <f>B72+B77</f>
        <v>644669.05</v>
      </c>
      <c r="E79" s="2">
        <f>E72+E77</f>
        <v>644669.05</v>
      </c>
    </row>
    <row r="81" spans="1:2" ht="12.75">
      <c r="A81" s="19" t="s">
        <v>83</v>
      </c>
      <c r="B81" s="21">
        <f>B68/B79</f>
        <v>154684.0267575606</v>
      </c>
    </row>
    <row r="82" spans="1:2" ht="12.75">
      <c r="A82" s="19" t="s">
        <v>84</v>
      </c>
      <c r="B82" s="2">
        <f>B69/B79</f>
        <v>534.1704846542953</v>
      </c>
    </row>
    <row r="84" spans="2:5" ht="25.5" customHeight="1">
      <c r="B84" s="198" t="s">
        <v>91</v>
      </c>
      <c r="C84" s="199"/>
      <c r="D84" s="199"/>
      <c r="E84" s="199"/>
    </row>
    <row r="85" spans="2:5" ht="12.75">
      <c r="B85" s="22" t="s">
        <v>38</v>
      </c>
      <c r="C85" s="22" t="s">
        <v>63</v>
      </c>
      <c r="D85" s="22" t="s">
        <v>40</v>
      </c>
      <c r="E85" s="22" t="s">
        <v>41</v>
      </c>
    </row>
    <row r="86" spans="1:5" ht="12.75">
      <c r="A86" s="19" t="s">
        <v>92</v>
      </c>
      <c r="B86" s="2">
        <f>$B79*B65</f>
        <v>269019.8869515748</v>
      </c>
      <c r="C86" s="2">
        <f>B86+$B79*C65</f>
        <v>484717.6231760315</v>
      </c>
      <c r="D86" s="2">
        <f>$B79*D65</f>
        <v>136534.4580995</v>
      </c>
      <c r="E86" s="2">
        <f>$B79*E65</f>
        <v>23416.968724468472</v>
      </c>
    </row>
    <row r="87" spans="1:5" ht="12.75">
      <c r="A87" s="19" t="s">
        <v>94</v>
      </c>
      <c r="B87" s="9">
        <f>$B69*B66</f>
        <v>74199078.51021056</v>
      </c>
      <c r="C87" s="9">
        <f>B87+$B69*C66</f>
        <v>178902011.0972573</v>
      </c>
      <c r="D87" s="9">
        <f>$B69*D66</f>
        <v>114839780.48748863</v>
      </c>
      <c r="E87" s="9">
        <f>$B69*E66</f>
        <v>50621387.295378245</v>
      </c>
    </row>
    <row r="88" spans="1:5" ht="12.75">
      <c r="A88" s="19" t="s">
        <v>115</v>
      </c>
      <c r="B88" s="2">
        <f>B87/B86</f>
        <v>275.8126150114948</v>
      </c>
      <c r="C88" s="2">
        <f>C87/C86</f>
        <v>369.08501474535143</v>
      </c>
      <c r="D88" s="2">
        <f>D87/D86</f>
        <v>841.1047444433309</v>
      </c>
      <c r="E88" s="2">
        <f>E87/E86</f>
        <v>2161.7395441316785</v>
      </c>
    </row>
    <row r="90" spans="1:5" ht="12.75">
      <c r="A90" s="19" t="s">
        <v>97</v>
      </c>
      <c r="B90" s="198" t="s">
        <v>91</v>
      </c>
      <c r="C90" s="199"/>
      <c r="D90" s="199"/>
      <c r="E90" s="199"/>
    </row>
    <row r="91" spans="2:5" ht="12.75">
      <c r="B91" s="5" t="s">
        <v>38</v>
      </c>
      <c r="C91" s="5" t="s">
        <v>39</v>
      </c>
      <c r="D91" s="6" t="s">
        <v>40</v>
      </c>
      <c r="E91" s="5" t="s">
        <v>41</v>
      </c>
    </row>
    <row r="92" spans="1:5" ht="12.75">
      <c r="A92" t="s">
        <v>95</v>
      </c>
      <c r="B92" s="5">
        <v>38</v>
      </c>
      <c r="C92" s="2">
        <v>49.427083333333336</v>
      </c>
      <c r="D92" s="2">
        <v>91.25</v>
      </c>
      <c r="E92" s="8">
        <v>135.0106113707165</v>
      </c>
    </row>
    <row r="93" spans="1:5" ht="12.75">
      <c r="A93" t="s">
        <v>96</v>
      </c>
      <c r="B93" s="2">
        <v>456</v>
      </c>
      <c r="C93" s="2">
        <v>593.125</v>
      </c>
      <c r="D93" s="2">
        <v>1095</v>
      </c>
      <c r="E93" s="2">
        <v>1620.127336448598</v>
      </c>
    </row>
    <row r="95" spans="1:22" ht="25.5" hidden="1">
      <c r="A95" s="13" t="s">
        <v>99</v>
      </c>
      <c r="B95" s="16" t="s">
        <v>98</v>
      </c>
      <c r="C95" s="1">
        <v>1</v>
      </c>
      <c r="D95" s="1">
        <v>2</v>
      </c>
      <c r="E95" s="1">
        <v>3</v>
      </c>
      <c r="F95" s="1">
        <v>4</v>
      </c>
      <c r="G95" s="1">
        <v>5</v>
      </c>
      <c r="H95" s="1">
        <v>6</v>
      </c>
      <c r="I95" s="1">
        <v>7</v>
      </c>
      <c r="J95" s="1">
        <v>8</v>
      </c>
      <c r="K95" s="1">
        <v>9</v>
      </c>
      <c r="L95" s="1">
        <v>10</v>
      </c>
      <c r="M95" s="1">
        <v>11</v>
      </c>
      <c r="N95" s="1">
        <v>12</v>
      </c>
      <c r="O95" s="1">
        <v>13</v>
      </c>
      <c r="P95" s="1">
        <v>14</v>
      </c>
      <c r="Q95" s="1">
        <v>15</v>
      </c>
      <c r="R95" s="1">
        <v>16</v>
      </c>
      <c r="S95" s="1">
        <v>17</v>
      </c>
      <c r="T95" s="1">
        <v>18</v>
      </c>
      <c r="U95" s="1">
        <v>19</v>
      </c>
      <c r="V95" s="1">
        <v>20</v>
      </c>
    </row>
    <row r="96" spans="1:22" ht="12.75" hidden="1">
      <c r="A96" s="5" t="s">
        <v>38</v>
      </c>
      <c r="B96" s="23">
        <f>NPV(0.1,C96:V96)</f>
        <v>3882.185056209903</v>
      </c>
      <c r="C96" s="2">
        <f>B93</f>
        <v>456</v>
      </c>
      <c r="D96" s="2">
        <f aca="true" t="shared" si="4" ref="D96:V96">C96</f>
        <v>456</v>
      </c>
      <c r="E96" s="2">
        <f t="shared" si="4"/>
        <v>456</v>
      </c>
      <c r="F96" s="2">
        <f t="shared" si="4"/>
        <v>456</v>
      </c>
      <c r="G96" s="2">
        <f t="shared" si="4"/>
        <v>456</v>
      </c>
      <c r="H96" s="2">
        <f t="shared" si="4"/>
        <v>456</v>
      </c>
      <c r="I96" s="2">
        <f t="shared" si="4"/>
        <v>456</v>
      </c>
      <c r="J96" s="2">
        <f t="shared" si="4"/>
        <v>456</v>
      </c>
      <c r="K96" s="2">
        <f t="shared" si="4"/>
        <v>456</v>
      </c>
      <c r="L96" s="2">
        <f t="shared" si="4"/>
        <v>456</v>
      </c>
      <c r="M96" s="2">
        <f t="shared" si="4"/>
        <v>456</v>
      </c>
      <c r="N96" s="2">
        <f t="shared" si="4"/>
        <v>456</v>
      </c>
      <c r="O96" s="2">
        <f t="shared" si="4"/>
        <v>456</v>
      </c>
      <c r="P96" s="2">
        <f t="shared" si="4"/>
        <v>456</v>
      </c>
      <c r="Q96" s="2">
        <f t="shared" si="4"/>
        <v>456</v>
      </c>
      <c r="R96" s="2">
        <f t="shared" si="4"/>
        <v>456</v>
      </c>
      <c r="S96" s="2">
        <f t="shared" si="4"/>
        <v>456</v>
      </c>
      <c r="T96" s="2">
        <f t="shared" si="4"/>
        <v>456</v>
      </c>
      <c r="U96" s="2">
        <f t="shared" si="4"/>
        <v>456</v>
      </c>
      <c r="V96" s="2">
        <f t="shared" si="4"/>
        <v>456</v>
      </c>
    </row>
    <row r="97" spans="1:22" ht="12.75" hidden="1">
      <c r="A97" s="5" t="s">
        <v>39</v>
      </c>
      <c r="B97" s="23">
        <f>NPV(0.1,C97:V97)</f>
        <v>5049.607481281794</v>
      </c>
      <c r="C97" s="2">
        <f>C93</f>
        <v>593.125</v>
      </c>
      <c r="D97" s="2">
        <f aca="true" t="shared" si="5" ref="D97:V97">C97</f>
        <v>593.125</v>
      </c>
      <c r="E97" s="2">
        <f t="shared" si="5"/>
        <v>593.125</v>
      </c>
      <c r="F97" s="2">
        <f t="shared" si="5"/>
        <v>593.125</v>
      </c>
      <c r="G97" s="2">
        <f t="shared" si="5"/>
        <v>593.125</v>
      </c>
      <c r="H97" s="2">
        <f t="shared" si="5"/>
        <v>593.125</v>
      </c>
      <c r="I97" s="2">
        <f t="shared" si="5"/>
        <v>593.125</v>
      </c>
      <c r="J97" s="2">
        <f t="shared" si="5"/>
        <v>593.125</v>
      </c>
      <c r="K97" s="2">
        <f t="shared" si="5"/>
        <v>593.125</v>
      </c>
      <c r="L97" s="2">
        <f t="shared" si="5"/>
        <v>593.125</v>
      </c>
      <c r="M97" s="2">
        <f t="shared" si="5"/>
        <v>593.125</v>
      </c>
      <c r="N97" s="2">
        <f t="shared" si="5"/>
        <v>593.125</v>
      </c>
      <c r="O97" s="2">
        <f t="shared" si="5"/>
        <v>593.125</v>
      </c>
      <c r="P97" s="2">
        <f t="shared" si="5"/>
        <v>593.125</v>
      </c>
      <c r="Q97" s="2">
        <f t="shared" si="5"/>
        <v>593.125</v>
      </c>
      <c r="R97" s="2">
        <f t="shared" si="5"/>
        <v>593.125</v>
      </c>
      <c r="S97" s="2">
        <f t="shared" si="5"/>
        <v>593.125</v>
      </c>
      <c r="T97" s="2">
        <f t="shared" si="5"/>
        <v>593.125</v>
      </c>
      <c r="U97" s="2">
        <f t="shared" si="5"/>
        <v>593.125</v>
      </c>
      <c r="V97" s="2">
        <f t="shared" si="5"/>
        <v>593.125</v>
      </c>
    </row>
    <row r="98" spans="1:22" ht="12.75" hidden="1">
      <c r="A98" s="6" t="s">
        <v>40</v>
      </c>
      <c r="B98" s="23">
        <f>NPV(0.1,C98:V98)</f>
        <v>9322.352273135617</v>
      </c>
      <c r="C98" s="2">
        <f>D93</f>
        <v>1095</v>
      </c>
      <c r="D98" s="2">
        <f aca="true" t="shared" si="6" ref="D98:V98">C98</f>
        <v>1095</v>
      </c>
      <c r="E98" s="2">
        <f t="shared" si="6"/>
        <v>1095</v>
      </c>
      <c r="F98" s="2">
        <f t="shared" si="6"/>
        <v>1095</v>
      </c>
      <c r="G98" s="2">
        <f t="shared" si="6"/>
        <v>1095</v>
      </c>
      <c r="H98" s="2">
        <f t="shared" si="6"/>
        <v>1095</v>
      </c>
      <c r="I98" s="2">
        <f t="shared" si="6"/>
        <v>1095</v>
      </c>
      <c r="J98" s="2">
        <f t="shared" si="6"/>
        <v>1095</v>
      </c>
      <c r="K98" s="2">
        <f t="shared" si="6"/>
        <v>1095</v>
      </c>
      <c r="L98" s="2">
        <f t="shared" si="6"/>
        <v>1095</v>
      </c>
      <c r="M98" s="2">
        <f t="shared" si="6"/>
        <v>1095</v>
      </c>
      <c r="N98" s="2">
        <f t="shared" si="6"/>
        <v>1095</v>
      </c>
      <c r="O98" s="2">
        <f t="shared" si="6"/>
        <v>1095</v>
      </c>
      <c r="P98" s="2">
        <f t="shared" si="6"/>
        <v>1095</v>
      </c>
      <c r="Q98" s="2">
        <f t="shared" si="6"/>
        <v>1095</v>
      </c>
      <c r="R98" s="2">
        <f t="shared" si="6"/>
        <v>1095</v>
      </c>
      <c r="S98" s="2">
        <f t="shared" si="6"/>
        <v>1095</v>
      </c>
      <c r="T98" s="2">
        <f t="shared" si="6"/>
        <v>1095</v>
      </c>
      <c r="U98" s="2">
        <f t="shared" si="6"/>
        <v>1095</v>
      </c>
      <c r="V98" s="2">
        <f t="shared" si="6"/>
        <v>1095</v>
      </c>
    </row>
    <row r="99" spans="1:22" ht="12.75" hidden="1">
      <c r="A99" s="5" t="s">
        <v>41</v>
      </c>
      <c r="B99" s="23">
        <f>NPV(0.1,C99:V99)</f>
        <v>13793.05731297785</v>
      </c>
      <c r="C99" s="2">
        <f>E93</f>
        <v>1620.127336448598</v>
      </c>
      <c r="D99" s="2">
        <f aca="true" t="shared" si="7" ref="D99:V99">C99</f>
        <v>1620.127336448598</v>
      </c>
      <c r="E99" s="2">
        <f t="shared" si="7"/>
        <v>1620.127336448598</v>
      </c>
      <c r="F99" s="2">
        <f t="shared" si="7"/>
        <v>1620.127336448598</v>
      </c>
      <c r="G99" s="2">
        <f t="shared" si="7"/>
        <v>1620.127336448598</v>
      </c>
      <c r="H99" s="2">
        <f t="shared" si="7"/>
        <v>1620.127336448598</v>
      </c>
      <c r="I99" s="2">
        <f t="shared" si="7"/>
        <v>1620.127336448598</v>
      </c>
      <c r="J99" s="2">
        <f t="shared" si="7"/>
        <v>1620.127336448598</v>
      </c>
      <c r="K99" s="2">
        <f t="shared" si="7"/>
        <v>1620.127336448598</v>
      </c>
      <c r="L99" s="2">
        <f t="shared" si="7"/>
        <v>1620.127336448598</v>
      </c>
      <c r="M99" s="2">
        <f t="shared" si="7"/>
        <v>1620.127336448598</v>
      </c>
      <c r="N99" s="2">
        <f t="shared" si="7"/>
        <v>1620.127336448598</v>
      </c>
      <c r="O99" s="2">
        <f t="shared" si="7"/>
        <v>1620.127336448598</v>
      </c>
      <c r="P99" s="2">
        <f t="shared" si="7"/>
        <v>1620.127336448598</v>
      </c>
      <c r="Q99" s="2">
        <f t="shared" si="7"/>
        <v>1620.127336448598</v>
      </c>
      <c r="R99" s="2">
        <f t="shared" si="7"/>
        <v>1620.127336448598</v>
      </c>
      <c r="S99" s="2">
        <f t="shared" si="7"/>
        <v>1620.127336448598</v>
      </c>
      <c r="T99" s="2">
        <f t="shared" si="7"/>
        <v>1620.127336448598</v>
      </c>
      <c r="U99" s="2">
        <f t="shared" si="7"/>
        <v>1620.127336448598</v>
      </c>
      <c r="V99" s="2">
        <f t="shared" si="7"/>
        <v>1620.127336448598</v>
      </c>
    </row>
    <row r="100" ht="12.75" hidden="1"/>
    <row r="101" spans="2:5" ht="12.75">
      <c r="B101" s="198" t="s">
        <v>91</v>
      </c>
      <c r="C101" s="199"/>
      <c r="D101" s="199"/>
      <c r="E101" s="199"/>
    </row>
    <row r="102" spans="2:5" ht="12.75">
      <c r="B102" s="22" t="s">
        <v>38</v>
      </c>
      <c r="C102" s="22" t="s">
        <v>63</v>
      </c>
      <c r="D102" s="22" t="s">
        <v>40</v>
      </c>
      <c r="E102" s="22" t="s">
        <v>41</v>
      </c>
    </row>
    <row r="103" spans="1:5" ht="12.75">
      <c r="A103" s="13" t="s">
        <v>101</v>
      </c>
      <c r="B103" s="9">
        <f>B96*B86</f>
        <v>1044384984.9466813</v>
      </c>
      <c r="C103" s="9">
        <f>B97*C86</f>
        <v>2447633736.298818</v>
      </c>
      <c r="D103" s="9">
        <f>B98*D86</f>
        <v>1272822315.8252137</v>
      </c>
      <c r="E103" s="9">
        <f>B99*E86</f>
        <v>322991591.7128034</v>
      </c>
    </row>
    <row r="104" spans="1:5" ht="12.75">
      <c r="A104" s="13"/>
      <c r="B104" s="9"/>
      <c r="C104" s="9"/>
      <c r="D104" s="9"/>
      <c r="E104" s="9"/>
    </row>
    <row r="105" spans="1:5" ht="12.75">
      <c r="A105" s="19" t="s">
        <v>100</v>
      </c>
      <c r="B105" s="155">
        <f>B87/B103</f>
        <v>0.07104571549733514</v>
      </c>
      <c r="C105" s="155">
        <f>C87/C103</f>
        <v>0.07309182270374465</v>
      </c>
      <c r="D105" s="155">
        <f>D87/D103</f>
        <v>0.09022451842622992</v>
      </c>
      <c r="E105" s="155">
        <f>E87/E103</f>
        <v>0.1567266411702432</v>
      </c>
    </row>
    <row r="107" spans="1:2" ht="12.75">
      <c r="A107" s="19" t="s">
        <v>106</v>
      </c>
      <c r="B107" s="9">
        <f>NPV(0.1,B12:F12)+NPV(0.1,B13:F13)+NPV(0.1,B32:F32)+NPV(0.1,B37:F37)</f>
        <v>90092368011.29324</v>
      </c>
    </row>
    <row r="108" spans="1:2" ht="12.75">
      <c r="A108" s="19" t="s">
        <v>172</v>
      </c>
      <c r="B108" s="9">
        <f>B107/485</f>
        <v>185757459.81709948</v>
      </c>
    </row>
    <row r="110" spans="2:5" ht="12.75">
      <c r="B110" s="198" t="s">
        <v>91</v>
      </c>
      <c r="C110" s="199"/>
      <c r="D110" s="199"/>
      <c r="E110" s="199"/>
    </row>
    <row r="111" spans="2:5" ht="12.75">
      <c r="B111" s="22" t="s">
        <v>38</v>
      </c>
      <c r="C111" s="22" t="s">
        <v>63</v>
      </c>
      <c r="D111" s="22" t="s">
        <v>40</v>
      </c>
      <c r="E111" s="22" t="s">
        <v>41</v>
      </c>
    </row>
    <row r="112" spans="1:5" ht="12.75">
      <c r="A112" s="19" t="s">
        <v>93</v>
      </c>
      <c r="B112" s="154">
        <f>B87/$B108</f>
        <v>0.39944063933296925</v>
      </c>
      <c r="C112" s="154">
        <f>C87/$B108</f>
        <v>0.9630946249663824</v>
      </c>
      <c r="D112" s="154">
        <f>D87/$B108</f>
        <v>0.6182243264984468</v>
      </c>
      <c r="E112" s="154">
        <f>E87/$B108</f>
        <v>0.2725133480250057</v>
      </c>
    </row>
  </sheetData>
  <sheetProtection/>
  <mergeCells count="6">
    <mergeCell ref="B46:E46"/>
    <mergeCell ref="B63:E63"/>
    <mergeCell ref="B84:E84"/>
    <mergeCell ref="B90:E90"/>
    <mergeCell ref="B101:E101"/>
    <mergeCell ref="B110:E110"/>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V105"/>
  <sheetViews>
    <sheetView zoomScalePageLayoutView="0" workbookViewId="0" topLeftCell="A1">
      <selection activeCell="B25" sqref="B25"/>
    </sheetView>
  </sheetViews>
  <sheetFormatPr defaultColWidth="9.140625" defaultRowHeight="12.75"/>
  <cols>
    <col min="1" max="1" width="63.8515625" style="0" customWidth="1"/>
    <col min="2" max="2" width="10.140625" style="0" customWidth="1"/>
  </cols>
  <sheetData>
    <row r="1" ht="15">
      <c r="A1" s="15" t="s">
        <v>69</v>
      </c>
    </row>
    <row r="2" ht="15">
      <c r="A2" s="15" t="s">
        <v>0</v>
      </c>
    </row>
    <row r="3" ht="15">
      <c r="A3" s="15" t="s">
        <v>70</v>
      </c>
    </row>
    <row r="4" ht="15">
      <c r="A4" s="15" t="s">
        <v>2</v>
      </c>
    </row>
    <row r="5" ht="15">
      <c r="A5" s="15" t="s">
        <v>247</v>
      </c>
    </row>
    <row r="6" ht="15">
      <c r="A6" s="15" t="s">
        <v>144</v>
      </c>
    </row>
    <row r="7" spans="1:2" ht="15">
      <c r="A7" s="15" t="s">
        <v>246</v>
      </c>
      <c r="B7">
        <f>ZigTnFeasDD!B7+'Tn-KolFeasDD'!B7</f>
        <v>184</v>
      </c>
    </row>
    <row r="10" ht="12.75">
      <c r="B10" t="s">
        <v>171</v>
      </c>
    </row>
    <row r="12" spans="1:21" ht="15">
      <c r="A12" s="24" t="s">
        <v>102</v>
      </c>
      <c r="B12" s="1">
        <v>1</v>
      </c>
      <c r="C12" s="1">
        <v>2</v>
      </c>
      <c r="D12" s="1">
        <v>3</v>
      </c>
      <c r="E12" s="1">
        <v>4</v>
      </c>
      <c r="F12" s="1">
        <v>5</v>
      </c>
      <c r="G12" s="1">
        <v>6</v>
      </c>
      <c r="H12" s="1">
        <v>7</v>
      </c>
      <c r="I12" s="1">
        <v>8</v>
      </c>
      <c r="J12" s="1">
        <v>9</v>
      </c>
      <c r="K12" s="1">
        <v>10</v>
      </c>
      <c r="L12" s="1">
        <v>11</v>
      </c>
      <c r="M12" s="1">
        <v>12</v>
      </c>
      <c r="N12" s="1">
        <v>13</v>
      </c>
      <c r="O12" s="1">
        <v>14</v>
      </c>
      <c r="P12" s="1">
        <v>15</v>
      </c>
      <c r="Q12" s="1">
        <v>16</v>
      </c>
      <c r="R12" s="1">
        <v>17</v>
      </c>
      <c r="S12" s="1">
        <v>18</v>
      </c>
      <c r="T12" s="1">
        <v>19</v>
      </c>
      <c r="U12" s="1">
        <v>20</v>
      </c>
    </row>
    <row r="13" spans="1:4" ht="15">
      <c r="A13" s="15" t="s">
        <v>78</v>
      </c>
      <c r="B13" s="9">
        <f>'Tn-KolFeasDD'!B20+ZigTnFeasDD!B20</f>
        <v>17206180423.68</v>
      </c>
      <c r="C13" s="9">
        <f>'Tn-KolFeasDD'!C20+ZigTnFeasDD!C20</f>
        <v>20647416508.416</v>
      </c>
      <c r="D13" s="9">
        <f>'Tn-KolFeasDD'!D20+ZigTnFeasDD!D20</f>
        <v>30971124762.624</v>
      </c>
    </row>
    <row r="14" spans="1:4" ht="15">
      <c r="A14" s="15" t="s">
        <v>103</v>
      </c>
      <c r="B14" s="9">
        <f>B13*0.1</f>
        <v>1720618042.368</v>
      </c>
      <c r="C14" s="9">
        <f>C13*0.1</f>
        <v>2064741650.8416002</v>
      </c>
      <c r="D14" s="9">
        <f>D13*0.1</f>
        <v>3097112476.2624</v>
      </c>
    </row>
    <row r="15" spans="1:21" ht="15">
      <c r="A15" s="15" t="s">
        <v>137</v>
      </c>
      <c r="B15" s="9">
        <f>'Tn-KolFeasDD'!B22+ZigTnFeasDD!B22</f>
        <v>0</v>
      </c>
      <c r="C15" s="9">
        <f>'Tn-KolFeasDD'!C22+ZigTnFeasDD!C22</f>
        <v>396940974</v>
      </c>
      <c r="D15" s="9">
        <f>'Tn-KolFeasDD'!D22+ZigTnFeasDD!D22</f>
        <v>685986544</v>
      </c>
      <c r="E15" s="9">
        <f>'Tn-KolFeasDD'!E22+ZigTnFeasDD!E22</f>
        <v>420096940</v>
      </c>
      <c r="F15" s="9">
        <f>'Tn-KolFeasDD'!F22+ZigTnFeasDD!F22</f>
        <v>702726648</v>
      </c>
      <c r="G15" s="9">
        <f>'Tn-KolFeasDD'!G22+ZigTnFeasDD!G22</f>
        <v>431096140</v>
      </c>
      <c r="H15" s="9">
        <f>'Tn-KolFeasDD'!H22+ZigTnFeasDD!H22</f>
        <v>746002512</v>
      </c>
      <c r="I15" s="9">
        <f>'Tn-KolFeasDD'!I22+ZigTnFeasDD!I22</f>
        <v>437827976</v>
      </c>
      <c r="J15" s="9">
        <f>'Tn-KolFeasDD'!J22+ZigTnFeasDD!J22</f>
        <v>790519376</v>
      </c>
      <c r="K15" s="9">
        <f>'Tn-KolFeasDD'!K22+ZigTnFeasDD!K22</f>
        <v>442452424</v>
      </c>
      <c r="L15" s="9">
        <f>'Tn-KolFeasDD'!L22+ZigTnFeasDD!L22</f>
        <v>838675496</v>
      </c>
      <c r="M15" s="9">
        <f>'Tn-KolFeasDD'!M22+ZigTnFeasDD!M22</f>
        <v>446452648</v>
      </c>
      <c r="N15" s="9">
        <f>'Tn-KolFeasDD'!N22+ZigTnFeasDD!N22</f>
        <v>892288064</v>
      </c>
      <c r="O15" s="9">
        <f>'Tn-KolFeasDD'!O22+ZigTnFeasDD!O22</f>
        <v>692891032</v>
      </c>
      <c r="P15" s="9">
        <f>'Tn-KolFeasDD'!P22+ZigTnFeasDD!P22</f>
        <v>710119160</v>
      </c>
      <c r="Q15" s="9">
        <f>'Tn-KolFeasDD'!Q22+ZigTnFeasDD!Q22</f>
        <v>728228478.048</v>
      </c>
      <c r="R15" s="9">
        <f>'Tn-KolFeasDD'!R22+ZigTnFeasDD!R22</f>
        <v>747359565.097344</v>
      </c>
      <c r="S15" s="9">
        <f>'Tn-KolFeasDD'!S22+ZigTnFeasDD!S22</f>
        <v>767572621.5920696</v>
      </c>
      <c r="T15" s="9">
        <f>'Tn-KolFeasDD'!T22+ZigTnFeasDD!T22</f>
        <v>788931133.9726477</v>
      </c>
      <c r="U15" s="9">
        <f>'Tn-KolFeasDD'!U22+ZigTnFeasDD!U22</f>
        <v>811502516.1878817</v>
      </c>
    </row>
    <row r="16" spans="1:21" ht="15">
      <c r="A16" s="24" t="s">
        <v>79</v>
      </c>
      <c r="B16" s="35">
        <f>'Tn-KolFeasDD'!B23+ZigTnFeasDD!B23</f>
        <v>0</v>
      </c>
      <c r="C16" s="35">
        <f>'Tn-KolFeasDD'!C23+ZigTnFeasDD!C23</f>
        <v>0</v>
      </c>
      <c r="D16" s="35">
        <f>'Tn-KolFeasDD'!D23+ZigTnFeasDD!D23</f>
        <v>0</v>
      </c>
      <c r="E16" s="35">
        <f>'Tn-KolFeasDD'!E23+ZigTnFeasDD!E23</f>
        <v>6835444575.96831</v>
      </c>
      <c r="F16" s="35">
        <f>'Tn-KolFeasDD'!F23+ZigTnFeasDD!F23</f>
        <v>7040507913.24736</v>
      </c>
      <c r="G16" s="35">
        <f>'Tn-KolFeasDD'!G23+ZigTnFeasDD!G23</f>
        <v>7251723150.64478</v>
      </c>
      <c r="H16" s="35">
        <f>'Tn-KolFeasDD'!H23+ZigTnFeasDD!H23</f>
        <v>7469274845.164124</v>
      </c>
      <c r="I16" s="35">
        <f>'Tn-KolFeasDD'!I23+ZigTnFeasDD!I23</f>
        <v>7693353090.519047</v>
      </c>
      <c r="J16" s="35">
        <f>'Tn-KolFeasDD'!J23+ZigTnFeasDD!J23</f>
        <v>7924153683.234618</v>
      </c>
      <c r="K16" s="35">
        <f>'Tn-KolFeasDD'!K23+ZigTnFeasDD!K23</f>
        <v>8161878293.731657</v>
      </c>
      <c r="L16" s="35">
        <f>'Tn-KolFeasDD'!L23+ZigTnFeasDD!L23</f>
        <v>8406734642.543607</v>
      </c>
      <c r="M16" s="35">
        <f>'Tn-KolFeasDD'!M23+ZigTnFeasDD!M23</f>
        <v>8658936681.819916</v>
      </c>
      <c r="N16" s="35">
        <f>'Tn-KolFeasDD'!N23+ZigTnFeasDD!N23</f>
        <v>8918704782.274511</v>
      </c>
      <c r="O16" s="35">
        <f>'Tn-KolFeasDD'!O23+ZigTnFeasDD!O23</f>
        <v>9186265925.742748</v>
      </c>
      <c r="P16" s="35">
        <f>'Tn-KolFeasDD'!P23+ZigTnFeasDD!P23</f>
        <v>9461853903.51503</v>
      </c>
      <c r="Q16" s="35">
        <f>'Tn-KolFeasDD'!Q23+ZigTnFeasDD!Q23</f>
        <v>9745709520.62048</v>
      </c>
      <c r="R16" s="35">
        <f>'Tn-KolFeasDD'!R23+ZigTnFeasDD!R23</f>
        <v>10038080806.239094</v>
      </c>
      <c r="S16" s="35">
        <f>'Tn-KolFeasDD'!S23+ZigTnFeasDD!S23</f>
        <v>10339223230.426268</v>
      </c>
      <c r="T16" s="35">
        <f>'Tn-KolFeasDD'!T23+ZigTnFeasDD!T23</f>
        <v>10649399927.339056</v>
      </c>
      <c r="U16" s="35">
        <f>'Tn-KolFeasDD'!U23+ZigTnFeasDD!U23</f>
        <v>10968881925.159225</v>
      </c>
    </row>
    <row r="17" spans="1:21" ht="15">
      <c r="A17" s="15" t="s">
        <v>104</v>
      </c>
      <c r="B17" s="9">
        <f aca="true" t="shared" si="0" ref="B17:U17">B15+B16-B13-B14</f>
        <v>-18926798466.048</v>
      </c>
      <c r="C17" s="9">
        <f t="shared" si="0"/>
        <v>-22315217185.2576</v>
      </c>
      <c r="D17" s="9">
        <f t="shared" si="0"/>
        <v>-33382250694.886402</v>
      </c>
      <c r="E17" s="9">
        <f t="shared" si="0"/>
        <v>7255541515.96831</v>
      </c>
      <c r="F17" s="9">
        <f t="shared" si="0"/>
        <v>7743234561.24736</v>
      </c>
      <c r="G17" s="9">
        <f t="shared" si="0"/>
        <v>7682819290.64478</v>
      </c>
      <c r="H17" s="9">
        <f t="shared" si="0"/>
        <v>8215277357.164124</v>
      </c>
      <c r="I17" s="9">
        <f t="shared" si="0"/>
        <v>8131181066.519047</v>
      </c>
      <c r="J17" s="9">
        <f t="shared" si="0"/>
        <v>8714673059.23462</v>
      </c>
      <c r="K17" s="9">
        <f t="shared" si="0"/>
        <v>8604330717.731657</v>
      </c>
      <c r="L17" s="9">
        <f t="shared" si="0"/>
        <v>9245410138.543606</v>
      </c>
      <c r="M17" s="9">
        <f t="shared" si="0"/>
        <v>9105389329.819916</v>
      </c>
      <c r="N17" s="9">
        <f t="shared" si="0"/>
        <v>9810992846.274511</v>
      </c>
      <c r="O17" s="9">
        <f t="shared" si="0"/>
        <v>9879156957.742748</v>
      </c>
      <c r="P17" s="9">
        <f t="shared" si="0"/>
        <v>10171973063.51503</v>
      </c>
      <c r="Q17" s="9">
        <f t="shared" si="0"/>
        <v>10473937998.66848</v>
      </c>
      <c r="R17" s="9">
        <f t="shared" si="0"/>
        <v>10785440371.336437</v>
      </c>
      <c r="S17" s="9">
        <f t="shared" si="0"/>
        <v>11106795852.018337</v>
      </c>
      <c r="T17" s="9">
        <f t="shared" si="0"/>
        <v>11438331061.311703</v>
      </c>
      <c r="U17" s="9">
        <f t="shared" si="0"/>
        <v>11780384441.347107</v>
      </c>
    </row>
    <row r="19" spans="1:3" ht="15">
      <c r="A19" s="15" t="s">
        <v>105</v>
      </c>
      <c r="B19" s="156">
        <f>IRR(B17:U17,0.01)</f>
        <v>0.08293295756247843</v>
      </c>
      <c r="C19" t="s">
        <v>165</v>
      </c>
    </row>
    <row r="20" ht="14.25" customHeight="1"/>
    <row r="21" spans="1:2" ht="15">
      <c r="A21" s="15" t="s">
        <v>166</v>
      </c>
      <c r="B21" s="13" t="s">
        <v>149</v>
      </c>
    </row>
    <row r="22" spans="1:2" ht="15">
      <c r="A22" s="15" t="s">
        <v>145</v>
      </c>
      <c r="B22" s="2">
        <f>3.12486387161049*1000000</f>
        <v>3124863.87161049</v>
      </c>
    </row>
    <row r="23" spans="1:2" ht="15">
      <c r="A23" s="15" t="s">
        <v>146</v>
      </c>
      <c r="B23" s="2">
        <f>0.24*1000000</f>
        <v>240000</v>
      </c>
    </row>
    <row r="24" spans="1:2" ht="15">
      <c r="A24" s="15" t="s">
        <v>147</v>
      </c>
      <c r="B24" s="2">
        <f>0.24*1000000</f>
        <v>240000</v>
      </c>
    </row>
    <row r="25" spans="1:2" ht="15">
      <c r="A25" s="15" t="s">
        <v>148</v>
      </c>
      <c r="B25" s="2">
        <f>0.22*1000000</f>
        <v>220000</v>
      </c>
    </row>
    <row r="26" spans="1:2" ht="15">
      <c r="A26" s="15" t="s">
        <v>167</v>
      </c>
      <c r="B26" s="36">
        <f>0.9*1000000</f>
        <v>900000</v>
      </c>
    </row>
    <row r="27" spans="1:3" ht="15">
      <c r="A27" s="15" t="s">
        <v>67</v>
      </c>
      <c r="B27" s="2">
        <f>SUM(B22:B26)</f>
        <v>4724863.871610491</v>
      </c>
      <c r="C27" t="s">
        <v>169</v>
      </c>
    </row>
    <row r="28" ht="12.75">
      <c r="B28" s="2"/>
    </row>
    <row r="30" spans="1:21" ht="15">
      <c r="A30" s="15" t="s">
        <v>168</v>
      </c>
      <c r="B30" s="9">
        <f>B17-$B27*485*0.25</f>
        <v>-19499688210.480774</v>
      </c>
      <c r="C30" s="9">
        <f>C17-$B27*485*0.3</f>
        <v>-23002684878.576927</v>
      </c>
      <c r="D30" s="9">
        <f>D17-$B27*485*0.45</f>
        <v>-34413452234.865395</v>
      </c>
      <c r="E30" s="9">
        <f aca="true" t="shared" si="1" ref="E30:U30">E17</f>
        <v>7255541515.96831</v>
      </c>
      <c r="F30" s="9">
        <f t="shared" si="1"/>
        <v>7743234561.24736</v>
      </c>
      <c r="G30" s="9">
        <f t="shared" si="1"/>
        <v>7682819290.64478</v>
      </c>
      <c r="H30" s="9">
        <f t="shared" si="1"/>
        <v>8215277357.164124</v>
      </c>
      <c r="I30" s="9">
        <f t="shared" si="1"/>
        <v>8131181066.519047</v>
      </c>
      <c r="J30" s="9">
        <f t="shared" si="1"/>
        <v>8714673059.23462</v>
      </c>
      <c r="K30" s="9">
        <f t="shared" si="1"/>
        <v>8604330717.731657</v>
      </c>
      <c r="L30" s="9">
        <f t="shared" si="1"/>
        <v>9245410138.543606</v>
      </c>
      <c r="M30" s="9">
        <f t="shared" si="1"/>
        <v>9105389329.819916</v>
      </c>
      <c r="N30" s="9">
        <f t="shared" si="1"/>
        <v>9810992846.274511</v>
      </c>
      <c r="O30" s="9">
        <f t="shared" si="1"/>
        <v>9879156957.742748</v>
      </c>
      <c r="P30" s="9">
        <f t="shared" si="1"/>
        <v>10171973063.51503</v>
      </c>
      <c r="Q30" s="9">
        <f t="shared" si="1"/>
        <v>10473937998.66848</v>
      </c>
      <c r="R30" s="9">
        <f t="shared" si="1"/>
        <v>10785440371.336437</v>
      </c>
      <c r="S30" s="9">
        <f t="shared" si="1"/>
        <v>11106795852.018337</v>
      </c>
      <c r="T30" s="9">
        <f t="shared" si="1"/>
        <v>11438331061.311703</v>
      </c>
      <c r="U30" s="9">
        <f t="shared" si="1"/>
        <v>11780384441.347107</v>
      </c>
    </row>
    <row r="32" spans="1:3" ht="15">
      <c r="A32" s="15" t="s">
        <v>105</v>
      </c>
      <c r="B32" s="160">
        <f>IRR(B30:U30,0.1)</f>
        <v>0.07917980161212945</v>
      </c>
      <c r="C32" t="s">
        <v>170</v>
      </c>
    </row>
    <row r="34" spans="1:21" ht="15">
      <c r="A34" s="15" t="s">
        <v>250</v>
      </c>
      <c r="B34" s="35">
        <f>ZigTnFeasDD!B32+'Tn-KolFeasDD'!B32</f>
        <v>6421662.162162162</v>
      </c>
      <c r="C34" s="35">
        <f>ZigTnFeasDD!C32+'Tn-KolFeasDD'!C32</f>
        <v>60022540.540540546</v>
      </c>
      <c r="D34" s="35">
        <f>ZigTnFeasDD!D32+'Tn-KolFeasDD'!D32</f>
        <v>40549932.43243243</v>
      </c>
      <c r="E34" s="35">
        <f>ZigTnFeasDD!E32+'Tn-KolFeasDD'!E32</f>
        <v>33766486.48648649</v>
      </c>
      <c r="F34" s="35">
        <f>ZigTnFeasDD!F32+'Tn-KolFeasDD'!F32</f>
        <v>16581756.756756756</v>
      </c>
      <c r="G34" s="1"/>
      <c r="H34" s="1"/>
      <c r="I34" s="1"/>
      <c r="J34" s="1"/>
      <c r="K34" s="1"/>
      <c r="L34" s="1"/>
      <c r="M34" s="1"/>
      <c r="N34" s="1"/>
      <c r="O34" s="1"/>
      <c r="P34" s="1"/>
      <c r="Q34" s="1"/>
      <c r="R34" s="1"/>
      <c r="S34" s="1"/>
      <c r="T34" s="1"/>
      <c r="U34" s="1"/>
    </row>
    <row r="35" spans="1:21" ht="15">
      <c r="A35" s="15" t="s">
        <v>251</v>
      </c>
      <c r="B35" s="9">
        <f aca="true" t="shared" si="2" ref="B35:U35">B30-B34</f>
        <v>-19506109872.642937</v>
      </c>
      <c r="C35" s="9">
        <f t="shared" si="2"/>
        <v>-23062707419.117466</v>
      </c>
      <c r="D35" s="9">
        <f t="shared" si="2"/>
        <v>-34454002167.29783</v>
      </c>
      <c r="E35" s="9">
        <f t="shared" si="2"/>
        <v>7221775029.481824</v>
      </c>
      <c r="F35" s="9">
        <f t="shared" si="2"/>
        <v>7726652804.490603</v>
      </c>
      <c r="G35" s="9">
        <f t="shared" si="2"/>
        <v>7682819290.64478</v>
      </c>
      <c r="H35" s="9">
        <f t="shared" si="2"/>
        <v>8215277357.164124</v>
      </c>
      <c r="I35" s="9">
        <f t="shared" si="2"/>
        <v>8131181066.519047</v>
      </c>
      <c r="J35" s="9">
        <f t="shared" si="2"/>
        <v>8714673059.23462</v>
      </c>
      <c r="K35" s="9">
        <f t="shared" si="2"/>
        <v>8604330717.731657</v>
      </c>
      <c r="L35" s="9">
        <f t="shared" si="2"/>
        <v>9245410138.543606</v>
      </c>
      <c r="M35" s="9">
        <f t="shared" si="2"/>
        <v>9105389329.819916</v>
      </c>
      <c r="N35" s="9">
        <f t="shared" si="2"/>
        <v>9810992846.274511</v>
      </c>
      <c r="O35" s="9">
        <f t="shared" si="2"/>
        <v>9879156957.742748</v>
      </c>
      <c r="P35" s="9">
        <f t="shared" si="2"/>
        <v>10171973063.51503</v>
      </c>
      <c r="Q35" s="9">
        <f t="shared" si="2"/>
        <v>10473937998.66848</v>
      </c>
      <c r="R35" s="9">
        <f t="shared" si="2"/>
        <v>10785440371.336437</v>
      </c>
      <c r="S35" s="9">
        <f t="shared" si="2"/>
        <v>11106795852.018337</v>
      </c>
      <c r="T35" s="9">
        <f t="shared" si="2"/>
        <v>11438331061.311703</v>
      </c>
      <c r="U35" s="9">
        <f t="shared" si="2"/>
        <v>11780384441.347107</v>
      </c>
    </row>
    <row r="36" ht="15">
      <c r="A36" s="15"/>
    </row>
    <row r="37" spans="1:3" ht="15">
      <c r="A37" s="15" t="s">
        <v>105</v>
      </c>
      <c r="B37" s="160">
        <f>IRR(B35:U35,0.1)</f>
        <v>0.07894170143232015</v>
      </c>
      <c r="C37" t="s">
        <v>252</v>
      </c>
    </row>
    <row r="38" ht="15">
      <c r="A38" s="15"/>
    </row>
    <row r="39" spans="1:21" ht="15">
      <c r="A39" s="44" t="s">
        <v>253</v>
      </c>
      <c r="B39" s="35">
        <f>ZigTnFeasDD!B37+'Tn-KolFeasDD'!B37</f>
        <v>0</v>
      </c>
      <c r="C39" s="35">
        <f>ZigTnFeasDD!C37+'Tn-KolFeasDD'!C37</f>
        <v>0</v>
      </c>
      <c r="D39" s="35">
        <f>ZigTnFeasDD!D37+'Tn-KolFeasDD'!D37</f>
        <v>301486486.4864865</v>
      </c>
      <c r="E39" s="35">
        <f>ZigTnFeasDD!E37+'Tn-KolFeasDD'!E37</f>
        <v>315053378.3783784</v>
      </c>
      <c r="F39" s="35">
        <f>ZigTnFeasDD!F37+'Tn-KolFeasDD'!F37</f>
        <v>13566891.891891893</v>
      </c>
      <c r="G39" s="1"/>
      <c r="H39" s="1"/>
      <c r="I39" s="1"/>
      <c r="J39" s="1"/>
      <c r="K39" s="1"/>
      <c r="L39" s="1"/>
      <c r="M39" s="1"/>
      <c r="N39" s="1"/>
      <c r="O39" s="1"/>
      <c r="P39" s="1"/>
      <c r="Q39" s="1"/>
      <c r="R39" s="1"/>
      <c r="S39" s="1"/>
      <c r="T39" s="1"/>
      <c r="U39" s="1"/>
    </row>
    <row r="40" spans="1:21" ht="15">
      <c r="A40" s="15" t="s">
        <v>251</v>
      </c>
      <c r="B40" s="9">
        <f aca="true" t="shared" si="3" ref="B40:U40">B35-B39</f>
        <v>-19506109872.642937</v>
      </c>
      <c r="C40" s="9">
        <f t="shared" si="3"/>
        <v>-23062707419.117466</v>
      </c>
      <c r="D40" s="9">
        <f t="shared" si="3"/>
        <v>-34755488653.78432</v>
      </c>
      <c r="E40" s="9">
        <f t="shared" si="3"/>
        <v>6906721651.103445</v>
      </c>
      <c r="F40" s="9">
        <f t="shared" si="3"/>
        <v>7713085912.598712</v>
      </c>
      <c r="G40" s="9">
        <f t="shared" si="3"/>
        <v>7682819290.64478</v>
      </c>
      <c r="H40" s="9">
        <f t="shared" si="3"/>
        <v>8215277357.164124</v>
      </c>
      <c r="I40" s="9">
        <f t="shared" si="3"/>
        <v>8131181066.519047</v>
      </c>
      <c r="J40" s="9">
        <f t="shared" si="3"/>
        <v>8714673059.23462</v>
      </c>
      <c r="K40" s="9">
        <f t="shared" si="3"/>
        <v>8604330717.731657</v>
      </c>
      <c r="L40" s="9">
        <f t="shared" si="3"/>
        <v>9245410138.543606</v>
      </c>
      <c r="M40" s="9">
        <f t="shared" si="3"/>
        <v>9105389329.819916</v>
      </c>
      <c r="N40" s="9">
        <f t="shared" si="3"/>
        <v>9810992846.274511</v>
      </c>
      <c r="O40" s="9">
        <f t="shared" si="3"/>
        <v>9879156957.742748</v>
      </c>
      <c r="P40" s="9">
        <f t="shared" si="3"/>
        <v>10171973063.51503</v>
      </c>
      <c r="Q40" s="9">
        <f t="shared" si="3"/>
        <v>10473937998.66848</v>
      </c>
      <c r="R40" s="9">
        <f t="shared" si="3"/>
        <v>10785440371.336437</v>
      </c>
      <c r="S40" s="9">
        <f t="shared" si="3"/>
        <v>11106795852.018337</v>
      </c>
      <c r="T40" s="9">
        <f t="shared" si="3"/>
        <v>11438331061.311703</v>
      </c>
      <c r="U40" s="9">
        <f t="shared" si="3"/>
        <v>11780384441.347107</v>
      </c>
    </row>
    <row r="41" spans="1:2" ht="15">
      <c r="A41" s="15"/>
      <c r="B41" s="2"/>
    </row>
    <row r="42" spans="1:3" ht="15">
      <c r="A42" s="15" t="s">
        <v>105</v>
      </c>
      <c r="B42" s="160" t="e">
        <f>IRR(B40:U40,0.01)</f>
        <v>#NUM!</v>
      </c>
      <c r="C42" t="s">
        <v>254</v>
      </c>
    </row>
    <row r="43" spans="1:2" ht="15">
      <c r="A43" s="15"/>
      <c r="B43" s="2"/>
    </row>
    <row r="44" spans="1:2" ht="15">
      <c r="A44" s="15"/>
      <c r="B44" s="2"/>
    </row>
    <row r="45" spans="1:2" ht="15">
      <c r="A45" s="15"/>
      <c r="B45" s="2"/>
    </row>
    <row r="46" spans="1:2" ht="15">
      <c r="A46" s="15" t="s">
        <v>81</v>
      </c>
      <c r="B46" s="2">
        <v>289.5780115175572</v>
      </c>
    </row>
    <row r="48" spans="1:5" ht="12.75">
      <c r="A48" s="19" t="s">
        <v>72</v>
      </c>
      <c r="B48" s="198" t="s">
        <v>91</v>
      </c>
      <c r="C48" s="199"/>
      <c r="D48" s="199"/>
      <c r="E48" s="199"/>
    </row>
    <row r="49" spans="2:5" ht="12.75">
      <c r="B49" s="18" t="s">
        <v>38</v>
      </c>
      <c r="C49" s="18" t="s">
        <v>39</v>
      </c>
      <c r="D49" s="18" t="s">
        <v>40</v>
      </c>
      <c r="E49" s="18" t="s">
        <v>41</v>
      </c>
    </row>
    <row r="50" spans="1:6" ht="15">
      <c r="A50" s="15" t="s">
        <v>73</v>
      </c>
      <c r="B50" s="155">
        <v>0.335</v>
      </c>
      <c r="C50" s="155">
        <v>0.2686</v>
      </c>
      <c r="D50" s="155">
        <v>0.2894</v>
      </c>
      <c r="E50" s="155">
        <v>0.10699999999999998</v>
      </c>
      <c r="F50" s="13" t="s">
        <v>107</v>
      </c>
    </row>
    <row r="51" spans="1:6" ht="12.75">
      <c r="A51" s="19" t="s">
        <v>74</v>
      </c>
      <c r="B51" s="3">
        <v>0.46161417322834647</v>
      </c>
      <c r="C51" s="3">
        <v>0.3701181102362205</v>
      </c>
      <c r="D51" s="3">
        <v>0.17</v>
      </c>
      <c r="E51" s="3">
        <v>-0.0017322834645669971</v>
      </c>
      <c r="F51" s="13" t="s">
        <v>108</v>
      </c>
    </row>
    <row r="53" spans="1:2" ht="12.75">
      <c r="A53" s="19" t="s">
        <v>75</v>
      </c>
      <c r="B53" s="155">
        <v>0.65</v>
      </c>
    </row>
    <row r="54" spans="1:2" ht="12.75">
      <c r="A54" s="19"/>
      <c r="B54" s="155"/>
    </row>
    <row r="55" spans="1:5" ht="12.75">
      <c r="A55" s="19"/>
      <c r="B55" s="198" t="s">
        <v>91</v>
      </c>
      <c r="C55" s="199"/>
      <c r="D55" s="199"/>
      <c r="E55" s="199"/>
    </row>
    <row r="56" spans="1:5" ht="12.75">
      <c r="A56" s="19" t="s">
        <v>76</v>
      </c>
      <c r="B56" s="18" t="s">
        <v>38</v>
      </c>
      <c r="C56" s="18" t="s">
        <v>39</v>
      </c>
      <c r="D56" s="18" t="s">
        <v>40</v>
      </c>
      <c r="E56" s="18" t="s">
        <v>41</v>
      </c>
    </row>
    <row r="57" spans="1:5" ht="12.75">
      <c r="A57" s="19" t="s">
        <v>77</v>
      </c>
      <c r="B57" s="3">
        <f>$B53*B51+(1-$B53)*B50</f>
        <v>0.4172992125984252</v>
      </c>
      <c r="C57" s="3">
        <f>$B53*C51+(1-$B53)*C50</f>
        <v>0.33458677165354334</v>
      </c>
      <c r="D57" s="3">
        <f>$B53*D51+(1-$B53)*D50</f>
        <v>0.21179</v>
      </c>
      <c r="E57" s="3">
        <f>$B53*E51+(1-$B53)*E50</f>
        <v>0.036324015748031444</v>
      </c>
    </row>
    <row r="59" spans="1:2" ht="12.75">
      <c r="A59" s="19" t="s">
        <v>80</v>
      </c>
      <c r="B59" s="9">
        <f>NPV(0.1,B15:U15)+NPV(0.1,B16:U16)</f>
        <v>54018433025.407585</v>
      </c>
    </row>
    <row r="60" spans="1:2" ht="12.75">
      <c r="A60" s="19" t="s">
        <v>82</v>
      </c>
      <c r="B60" s="9">
        <f>B59/PPP_exrate</f>
        <v>186541901.92936122</v>
      </c>
    </row>
    <row r="62" spans="1:3" ht="12.75">
      <c r="A62" s="19" t="s">
        <v>109</v>
      </c>
      <c r="B62">
        <v>38050</v>
      </c>
      <c r="C62" s="13" t="s">
        <v>85</v>
      </c>
    </row>
    <row r="63" spans="1:2" ht="12.75">
      <c r="A63" s="19" t="s">
        <v>88</v>
      </c>
      <c r="B63">
        <v>405033</v>
      </c>
    </row>
    <row r="64" spans="1:2" ht="12.75">
      <c r="A64" s="19" t="s">
        <v>110</v>
      </c>
      <c r="B64" s="2">
        <f>B63/B7</f>
        <v>2201.266304347826</v>
      </c>
    </row>
    <row r="65" spans="1:2" ht="12.75">
      <c r="A65" s="19" t="s">
        <v>111</v>
      </c>
      <c r="B65" s="2">
        <f>B64/10</f>
        <v>220.1266304347826</v>
      </c>
    </row>
    <row r="66" spans="1:2" ht="12.75">
      <c r="A66" s="19" t="s">
        <v>112</v>
      </c>
      <c r="B66" s="2">
        <f>B65/11</f>
        <v>20.01151185770751</v>
      </c>
    </row>
    <row r="67" spans="1:2" ht="12.75">
      <c r="A67" s="19" t="s">
        <v>86</v>
      </c>
      <c r="B67" s="2">
        <f>B62*(1-B53)</f>
        <v>13317.5</v>
      </c>
    </row>
    <row r="68" spans="1:2" ht="12.75">
      <c r="A68" s="20" t="s">
        <v>87</v>
      </c>
      <c r="B68" s="36">
        <f>B67*11</f>
        <v>146492.5</v>
      </c>
    </row>
    <row r="69" spans="1:2" ht="12.75">
      <c r="A69" s="19" t="s">
        <v>89</v>
      </c>
      <c r="B69" s="2">
        <f>B62+B67</f>
        <v>51367.5</v>
      </c>
    </row>
    <row r="70" spans="1:2" ht="12.75">
      <c r="A70" s="19" t="s">
        <v>90</v>
      </c>
      <c r="B70" s="2">
        <f>B63+B68</f>
        <v>551525.5</v>
      </c>
    </row>
    <row r="72" spans="1:2" ht="12.75">
      <c r="A72" s="19" t="s">
        <v>83</v>
      </c>
      <c r="B72" s="21">
        <f>B59/B70</f>
        <v>97943.67264144194</v>
      </c>
    </row>
    <row r="73" spans="1:2" ht="12.75">
      <c r="A73" s="19" t="s">
        <v>84</v>
      </c>
      <c r="B73" s="2">
        <f>B60/B70</f>
        <v>338.22897024591106</v>
      </c>
    </row>
    <row r="75" spans="2:5" ht="12.75">
      <c r="B75" s="198" t="s">
        <v>91</v>
      </c>
      <c r="C75" s="199"/>
      <c r="D75" s="199"/>
      <c r="E75" s="199"/>
    </row>
    <row r="76" spans="2:5" ht="12.75">
      <c r="B76" s="22" t="s">
        <v>38</v>
      </c>
      <c r="C76" s="22" t="s">
        <v>63</v>
      </c>
      <c r="D76" s="22" t="s">
        <v>40</v>
      </c>
      <c r="E76" s="22" t="s">
        <v>41</v>
      </c>
    </row>
    <row r="77" spans="1:5" ht="12.75">
      <c r="A77" s="19" t="s">
        <v>92</v>
      </c>
      <c r="B77" s="2">
        <f>$B70*B57</f>
        <v>230151.15687795274</v>
      </c>
      <c r="C77" s="2">
        <f>B77+$B70*C57</f>
        <v>414684.29340755905</v>
      </c>
      <c r="D77" s="2">
        <f>$B70*D57</f>
        <v>116807.585645</v>
      </c>
      <c r="E77" s="2">
        <f>$B70*E57</f>
        <v>20033.620947440915</v>
      </c>
    </row>
    <row r="78" spans="1:5" ht="12.75">
      <c r="A78" s="19" t="s">
        <v>94</v>
      </c>
      <c r="B78" s="9">
        <f>$B60*B57</f>
        <v>77843788.79173508</v>
      </c>
      <c r="C78" s="9">
        <f>B78+$B60*C57</f>
        <v>140258241.53639194</v>
      </c>
      <c r="D78" s="9">
        <f>$B60*D57</f>
        <v>39507709.40961941</v>
      </c>
      <c r="E78" s="9">
        <f>$B60*E57</f>
        <v>6775950.983349854</v>
      </c>
    </row>
    <row r="79" spans="1:5" ht="12.75">
      <c r="A79" s="19" t="s">
        <v>115</v>
      </c>
      <c r="B79" s="2">
        <f>B78/B77</f>
        <v>338.22897024591106</v>
      </c>
      <c r="C79" s="2">
        <f>C78/C77</f>
        <v>338.22897024591106</v>
      </c>
      <c r="D79" s="2">
        <f>D78/D77</f>
        <v>338.22897024591106</v>
      </c>
      <c r="E79" s="2">
        <f>E78/E77</f>
        <v>338.22897024591106</v>
      </c>
    </row>
    <row r="81" spans="1:5" ht="12.75">
      <c r="A81" s="19" t="s">
        <v>97</v>
      </c>
      <c r="B81" s="198" t="s">
        <v>91</v>
      </c>
      <c r="C81" s="199"/>
      <c r="D81" s="199"/>
      <c r="E81" s="199"/>
    </row>
    <row r="82" spans="2:5" ht="12.75">
      <c r="B82" s="5" t="s">
        <v>38</v>
      </c>
      <c r="C82" s="5" t="s">
        <v>39</v>
      </c>
      <c r="D82" s="6" t="s">
        <v>40</v>
      </c>
      <c r="E82" s="5" t="s">
        <v>41</v>
      </c>
    </row>
    <row r="83" spans="1:5" ht="12.75">
      <c r="A83" t="s">
        <v>95</v>
      </c>
      <c r="B83" s="5">
        <v>38</v>
      </c>
      <c r="C83" s="2">
        <v>49.427083333333336</v>
      </c>
      <c r="D83" s="2">
        <v>91.25</v>
      </c>
      <c r="E83" s="8">
        <v>135.0106113707165</v>
      </c>
    </row>
    <row r="84" spans="1:5" ht="12.75">
      <c r="A84" t="s">
        <v>96</v>
      </c>
      <c r="B84" s="2">
        <v>456</v>
      </c>
      <c r="C84" s="2">
        <v>593.125</v>
      </c>
      <c r="D84" s="2">
        <v>1095</v>
      </c>
      <c r="E84" s="2">
        <v>1620.127336448598</v>
      </c>
    </row>
    <row r="86" spans="1:22" ht="25.5">
      <c r="A86" s="13" t="s">
        <v>99</v>
      </c>
      <c r="B86" s="16" t="s">
        <v>98</v>
      </c>
      <c r="C86" s="1">
        <v>1</v>
      </c>
      <c r="D86" s="1">
        <v>2</v>
      </c>
      <c r="E86" s="1">
        <v>3</v>
      </c>
      <c r="F86" s="1">
        <v>4</v>
      </c>
      <c r="G86" s="1">
        <v>5</v>
      </c>
      <c r="H86" s="1">
        <v>6</v>
      </c>
      <c r="I86" s="1">
        <v>7</v>
      </c>
      <c r="J86" s="1">
        <v>8</v>
      </c>
      <c r="K86" s="1">
        <v>9</v>
      </c>
      <c r="L86" s="1">
        <v>10</v>
      </c>
      <c r="M86" s="1">
        <v>11</v>
      </c>
      <c r="N86" s="1">
        <v>12</v>
      </c>
      <c r="O86" s="1">
        <v>13</v>
      </c>
      <c r="P86" s="1">
        <v>14</v>
      </c>
      <c r="Q86" s="1">
        <v>15</v>
      </c>
      <c r="R86" s="1">
        <v>16</v>
      </c>
      <c r="S86" s="1">
        <v>17</v>
      </c>
      <c r="T86" s="1">
        <v>18</v>
      </c>
      <c r="U86" s="1">
        <v>19</v>
      </c>
      <c r="V86" s="1">
        <v>20</v>
      </c>
    </row>
    <row r="87" spans="1:22" ht="12.75">
      <c r="A87" s="5" t="s">
        <v>38</v>
      </c>
      <c r="B87" s="23">
        <f>NPV(0.1,C87:V87)</f>
        <v>3882.185056209903</v>
      </c>
      <c r="C87" s="2">
        <f>B84</f>
        <v>456</v>
      </c>
      <c r="D87" s="2">
        <f aca="true" t="shared" si="4" ref="D87:V87">C87</f>
        <v>456</v>
      </c>
      <c r="E87" s="2">
        <f t="shared" si="4"/>
        <v>456</v>
      </c>
      <c r="F87" s="2">
        <f t="shared" si="4"/>
        <v>456</v>
      </c>
      <c r="G87" s="2">
        <f t="shared" si="4"/>
        <v>456</v>
      </c>
      <c r="H87" s="2">
        <f t="shared" si="4"/>
        <v>456</v>
      </c>
      <c r="I87" s="2">
        <f t="shared" si="4"/>
        <v>456</v>
      </c>
      <c r="J87" s="2">
        <f t="shared" si="4"/>
        <v>456</v>
      </c>
      <c r="K87" s="2">
        <f t="shared" si="4"/>
        <v>456</v>
      </c>
      <c r="L87" s="2">
        <f t="shared" si="4"/>
        <v>456</v>
      </c>
      <c r="M87" s="2">
        <f t="shared" si="4"/>
        <v>456</v>
      </c>
      <c r="N87" s="2">
        <f t="shared" si="4"/>
        <v>456</v>
      </c>
      <c r="O87" s="2">
        <f t="shared" si="4"/>
        <v>456</v>
      </c>
      <c r="P87" s="2">
        <f t="shared" si="4"/>
        <v>456</v>
      </c>
      <c r="Q87" s="2">
        <f t="shared" si="4"/>
        <v>456</v>
      </c>
      <c r="R87" s="2">
        <f t="shared" si="4"/>
        <v>456</v>
      </c>
      <c r="S87" s="2">
        <f t="shared" si="4"/>
        <v>456</v>
      </c>
      <c r="T87" s="2">
        <f t="shared" si="4"/>
        <v>456</v>
      </c>
      <c r="U87" s="2">
        <f t="shared" si="4"/>
        <v>456</v>
      </c>
      <c r="V87" s="2">
        <f t="shared" si="4"/>
        <v>456</v>
      </c>
    </row>
    <row r="88" spans="1:22" ht="12.75">
      <c r="A88" s="5" t="s">
        <v>39</v>
      </c>
      <c r="B88" s="23">
        <f>NPV(0.1,C88:V88)</f>
        <v>5049.607481281794</v>
      </c>
      <c r="C88" s="2">
        <f>C84</f>
        <v>593.125</v>
      </c>
      <c r="D88" s="2">
        <f aca="true" t="shared" si="5" ref="D88:V88">C88</f>
        <v>593.125</v>
      </c>
      <c r="E88" s="2">
        <f t="shared" si="5"/>
        <v>593.125</v>
      </c>
      <c r="F88" s="2">
        <f t="shared" si="5"/>
        <v>593.125</v>
      </c>
      <c r="G88" s="2">
        <f t="shared" si="5"/>
        <v>593.125</v>
      </c>
      <c r="H88" s="2">
        <f t="shared" si="5"/>
        <v>593.125</v>
      </c>
      <c r="I88" s="2">
        <f t="shared" si="5"/>
        <v>593.125</v>
      </c>
      <c r="J88" s="2">
        <f t="shared" si="5"/>
        <v>593.125</v>
      </c>
      <c r="K88" s="2">
        <f t="shared" si="5"/>
        <v>593.125</v>
      </c>
      <c r="L88" s="2">
        <f t="shared" si="5"/>
        <v>593.125</v>
      </c>
      <c r="M88" s="2">
        <f t="shared" si="5"/>
        <v>593.125</v>
      </c>
      <c r="N88" s="2">
        <f t="shared" si="5"/>
        <v>593.125</v>
      </c>
      <c r="O88" s="2">
        <f t="shared" si="5"/>
        <v>593.125</v>
      </c>
      <c r="P88" s="2">
        <f t="shared" si="5"/>
        <v>593.125</v>
      </c>
      <c r="Q88" s="2">
        <f t="shared" si="5"/>
        <v>593.125</v>
      </c>
      <c r="R88" s="2">
        <f t="shared" si="5"/>
        <v>593.125</v>
      </c>
      <c r="S88" s="2">
        <f t="shared" si="5"/>
        <v>593.125</v>
      </c>
      <c r="T88" s="2">
        <f t="shared" si="5"/>
        <v>593.125</v>
      </c>
      <c r="U88" s="2">
        <f t="shared" si="5"/>
        <v>593.125</v>
      </c>
      <c r="V88" s="2">
        <f t="shared" si="5"/>
        <v>593.125</v>
      </c>
    </row>
    <row r="89" spans="1:22" ht="12.75">
      <c r="A89" s="6" t="s">
        <v>40</v>
      </c>
      <c r="B89" s="23">
        <f>NPV(0.1,C89:V89)</f>
        <v>9322.352273135617</v>
      </c>
      <c r="C89" s="2">
        <f>D84</f>
        <v>1095</v>
      </c>
      <c r="D89" s="2">
        <f aca="true" t="shared" si="6" ref="D89:V89">C89</f>
        <v>1095</v>
      </c>
      <c r="E89" s="2">
        <f t="shared" si="6"/>
        <v>1095</v>
      </c>
      <c r="F89" s="2">
        <f t="shared" si="6"/>
        <v>1095</v>
      </c>
      <c r="G89" s="2">
        <f t="shared" si="6"/>
        <v>1095</v>
      </c>
      <c r="H89" s="2">
        <f t="shared" si="6"/>
        <v>1095</v>
      </c>
      <c r="I89" s="2">
        <f t="shared" si="6"/>
        <v>1095</v>
      </c>
      <c r="J89" s="2">
        <f t="shared" si="6"/>
        <v>1095</v>
      </c>
      <c r="K89" s="2">
        <f t="shared" si="6"/>
        <v>1095</v>
      </c>
      <c r="L89" s="2">
        <f t="shared" si="6"/>
        <v>1095</v>
      </c>
      <c r="M89" s="2">
        <f t="shared" si="6"/>
        <v>1095</v>
      </c>
      <c r="N89" s="2">
        <f t="shared" si="6"/>
        <v>1095</v>
      </c>
      <c r="O89" s="2">
        <f t="shared" si="6"/>
        <v>1095</v>
      </c>
      <c r="P89" s="2">
        <f t="shared" si="6"/>
        <v>1095</v>
      </c>
      <c r="Q89" s="2">
        <f t="shared" si="6"/>
        <v>1095</v>
      </c>
      <c r="R89" s="2">
        <f t="shared" si="6"/>
        <v>1095</v>
      </c>
      <c r="S89" s="2">
        <f t="shared" si="6"/>
        <v>1095</v>
      </c>
      <c r="T89" s="2">
        <f t="shared" si="6"/>
        <v>1095</v>
      </c>
      <c r="U89" s="2">
        <f t="shared" si="6"/>
        <v>1095</v>
      </c>
      <c r="V89" s="2">
        <f t="shared" si="6"/>
        <v>1095</v>
      </c>
    </row>
    <row r="90" spans="1:22" ht="12.75">
      <c r="A90" s="5" t="s">
        <v>41</v>
      </c>
      <c r="B90" s="23">
        <f>NPV(0.1,C90:V90)</f>
        <v>13793.05731297785</v>
      </c>
      <c r="C90" s="2">
        <f>E84</f>
        <v>1620.127336448598</v>
      </c>
      <c r="D90" s="2">
        <f aca="true" t="shared" si="7" ref="D90:V90">C90</f>
        <v>1620.127336448598</v>
      </c>
      <c r="E90" s="2">
        <f t="shared" si="7"/>
        <v>1620.127336448598</v>
      </c>
      <c r="F90" s="2">
        <f t="shared" si="7"/>
        <v>1620.127336448598</v>
      </c>
      <c r="G90" s="2">
        <f t="shared" si="7"/>
        <v>1620.127336448598</v>
      </c>
      <c r="H90" s="2">
        <f t="shared" si="7"/>
        <v>1620.127336448598</v>
      </c>
      <c r="I90" s="2">
        <f t="shared" si="7"/>
        <v>1620.127336448598</v>
      </c>
      <c r="J90" s="2">
        <f t="shared" si="7"/>
        <v>1620.127336448598</v>
      </c>
      <c r="K90" s="2">
        <f t="shared" si="7"/>
        <v>1620.127336448598</v>
      </c>
      <c r="L90" s="2">
        <f t="shared" si="7"/>
        <v>1620.127336448598</v>
      </c>
      <c r="M90" s="2">
        <f t="shared" si="7"/>
        <v>1620.127336448598</v>
      </c>
      <c r="N90" s="2">
        <f t="shared" si="7"/>
        <v>1620.127336448598</v>
      </c>
      <c r="O90" s="2">
        <f t="shared" si="7"/>
        <v>1620.127336448598</v>
      </c>
      <c r="P90" s="2">
        <f t="shared" si="7"/>
        <v>1620.127336448598</v>
      </c>
      <c r="Q90" s="2">
        <f t="shared" si="7"/>
        <v>1620.127336448598</v>
      </c>
      <c r="R90" s="2">
        <f t="shared" si="7"/>
        <v>1620.127336448598</v>
      </c>
      <c r="S90" s="2">
        <f t="shared" si="7"/>
        <v>1620.127336448598</v>
      </c>
      <c r="T90" s="2">
        <f t="shared" si="7"/>
        <v>1620.127336448598</v>
      </c>
      <c r="U90" s="2">
        <f t="shared" si="7"/>
        <v>1620.127336448598</v>
      </c>
      <c r="V90" s="2">
        <f t="shared" si="7"/>
        <v>1620.127336448598</v>
      </c>
    </row>
    <row r="92" spans="2:5" ht="12.75">
      <c r="B92" s="198" t="s">
        <v>91</v>
      </c>
      <c r="C92" s="199"/>
      <c r="D92" s="199"/>
      <c r="E92" s="199"/>
    </row>
    <row r="93" spans="2:5" ht="12.75">
      <c r="B93" s="22" t="s">
        <v>38</v>
      </c>
      <c r="C93" s="22" t="s">
        <v>63</v>
      </c>
      <c r="D93" s="22" t="s">
        <v>40</v>
      </c>
      <c r="E93" s="22" t="s">
        <v>41</v>
      </c>
    </row>
    <row r="94" spans="1:5" ht="12.75">
      <c r="A94" s="13" t="s">
        <v>101</v>
      </c>
      <c r="B94" s="9">
        <f>B87*B77</f>
        <v>893489381.9010092</v>
      </c>
      <c r="C94" s="9">
        <f>B88*C77</f>
        <v>2093992910.3608649</v>
      </c>
      <c r="D94" s="9">
        <f>B89*D77</f>
        <v>1088921461.557149</v>
      </c>
      <c r="E94" s="9">
        <f>B90*E77</f>
        <v>276324881.91452616</v>
      </c>
    </row>
    <row r="95" spans="1:5" ht="12.75">
      <c r="A95" s="13"/>
      <c r="B95" s="9"/>
      <c r="C95" s="9"/>
      <c r="D95" s="9"/>
      <c r="E95" s="9"/>
    </row>
    <row r="96" spans="1:5" ht="12.75">
      <c r="A96" s="19" t="s">
        <v>100</v>
      </c>
      <c r="B96" s="155">
        <f>B78/B94</f>
        <v>0.08712335072870457</v>
      </c>
      <c r="C96" s="155">
        <f>C78/C94</f>
        <v>0.06698123992799038</v>
      </c>
      <c r="D96" s="155">
        <f>D78/D94</f>
        <v>0.036281504960994804</v>
      </c>
      <c r="E96" s="155">
        <f>E78/E94</f>
        <v>0.02452168236317501</v>
      </c>
    </row>
    <row r="98" spans="1:2" ht="12.75">
      <c r="A98" s="19" t="s">
        <v>106</v>
      </c>
      <c r="B98" s="9">
        <f>NPV(0.1,B13:F13)+NPV(0.1,B14:F14)+NPV(0.1,B34:F34)+NPV(0.1,B39:F39)</f>
        <v>62141918849.98432</v>
      </c>
    </row>
    <row r="99" spans="1:2" ht="12.75">
      <c r="A99" s="19" t="s">
        <v>172</v>
      </c>
      <c r="B99" s="9">
        <f>B98/485</f>
        <v>128127667.73192644</v>
      </c>
    </row>
    <row r="101" spans="2:5" ht="12.75">
      <c r="B101" s="198" t="s">
        <v>91</v>
      </c>
      <c r="C101" s="199"/>
      <c r="D101" s="199"/>
      <c r="E101" s="199"/>
    </row>
    <row r="102" spans="2:5" ht="12.75">
      <c r="B102" s="22" t="s">
        <v>38</v>
      </c>
      <c r="C102" s="22" t="s">
        <v>63</v>
      </c>
      <c r="D102" s="22" t="s">
        <v>40</v>
      </c>
      <c r="E102" s="22" t="s">
        <v>41</v>
      </c>
    </row>
    <row r="103" spans="1:5" ht="12.75">
      <c r="A103" s="19" t="s">
        <v>93</v>
      </c>
      <c r="B103" s="154">
        <f>B78/$B99</f>
        <v>0.6075486284086806</v>
      </c>
      <c r="C103" s="154">
        <f>C78/$B99</f>
        <v>1.0946756779327753</v>
      </c>
      <c r="D103" s="154">
        <f>D78/$B99</f>
        <v>0.3083464337482435</v>
      </c>
      <c r="E103" s="154">
        <f>E78/$B99</f>
        <v>0.05288436996704533</v>
      </c>
    </row>
    <row r="104" ht="12.75">
      <c r="A104" s="19"/>
    </row>
    <row r="105" spans="1:3" ht="12.75">
      <c r="A105" s="19" t="s">
        <v>93</v>
      </c>
      <c r="B105" s="10">
        <f>B60/B99</f>
        <v>1.4559064816480642</v>
      </c>
      <c r="C105" t="s">
        <v>67</v>
      </c>
    </row>
  </sheetData>
  <sheetProtection/>
  <mergeCells count="6">
    <mergeCell ref="B92:E92"/>
    <mergeCell ref="B101:E101"/>
    <mergeCell ref="B48:E48"/>
    <mergeCell ref="B55:E55"/>
    <mergeCell ref="B75:E75"/>
    <mergeCell ref="B81:E8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V102"/>
  <sheetViews>
    <sheetView zoomScalePageLayoutView="0" workbookViewId="0" topLeftCell="A4">
      <pane ySplit="5265" topLeftCell="A30" activePane="topLeft" state="split"/>
      <selection pane="topLeft" activeCell="B25" sqref="B25"/>
      <selection pane="bottomLeft" activeCell="B25" sqref="B25"/>
    </sheetView>
  </sheetViews>
  <sheetFormatPr defaultColWidth="9.140625" defaultRowHeight="12.75"/>
  <cols>
    <col min="1" max="1" width="63.8515625" style="0" customWidth="1"/>
    <col min="2" max="2" width="10.140625" style="0" customWidth="1"/>
  </cols>
  <sheetData>
    <row r="1" ht="15">
      <c r="A1" s="15" t="s">
        <v>69</v>
      </c>
    </row>
    <row r="2" ht="15">
      <c r="A2" s="15" t="s">
        <v>0</v>
      </c>
    </row>
    <row r="3" ht="15">
      <c r="A3" s="15" t="s">
        <v>373</v>
      </c>
    </row>
    <row r="4" ht="15">
      <c r="A4" s="15" t="s">
        <v>2</v>
      </c>
    </row>
    <row r="5" spans="1:10" ht="15">
      <c r="A5" s="15" t="s">
        <v>164</v>
      </c>
      <c r="D5" s="13" t="s">
        <v>372</v>
      </c>
      <c r="G5">
        <v>120</v>
      </c>
      <c r="H5" s="13" t="s">
        <v>371</v>
      </c>
      <c r="J5">
        <v>694570</v>
      </c>
    </row>
    <row r="6" spans="1:8" ht="15">
      <c r="A6" s="15" t="s">
        <v>144</v>
      </c>
      <c r="B6">
        <v>313</v>
      </c>
      <c r="D6" s="13" t="s">
        <v>370</v>
      </c>
      <c r="G6" s="2">
        <f>(G5*J5+B7*B18)/(B7+G5)</f>
        <v>764349.5712580646</v>
      </c>
      <c r="H6" s="13" t="s">
        <v>369</v>
      </c>
    </row>
    <row r="7" spans="1:2" ht="15">
      <c r="A7" s="15" t="s">
        <v>246</v>
      </c>
      <c r="B7">
        <v>296</v>
      </c>
    </row>
    <row r="9" spans="1:2" ht="15">
      <c r="A9" s="15" t="s">
        <v>368</v>
      </c>
      <c r="B9" s="28">
        <v>21500000</v>
      </c>
    </row>
    <row r="10" spans="1:2" ht="12.75" customHeight="1">
      <c r="A10" s="15" t="s">
        <v>367</v>
      </c>
      <c r="B10" s="161">
        <v>0</v>
      </c>
    </row>
    <row r="11" spans="1:2" ht="15">
      <c r="A11" s="15" t="s">
        <v>366</v>
      </c>
      <c r="B11" s="161">
        <v>0</v>
      </c>
    </row>
    <row r="12" spans="1:21" ht="15">
      <c r="A12" s="24" t="s">
        <v>102</v>
      </c>
      <c r="B12" s="1">
        <v>1</v>
      </c>
      <c r="C12" s="1">
        <v>2</v>
      </c>
      <c r="D12" s="1">
        <v>3</v>
      </c>
      <c r="E12" s="1">
        <v>4</v>
      </c>
      <c r="F12" s="1">
        <v>5</v>
      </c>
      <c r="G12" s="1">
        <v>6</v>
      </c>
      <c r="H12" s="1">
        <v>7</v>
      </c>
      <c r="I12" s="1">
        <v>8</v>
      </c>
      <c r="J12" s="1">
        <v>9</v>
      </c>
      <c r="K12" s="1">
        <v>10</v>
      </c>
      <c r="L12" s="1">
        <v>11</v>
      </c>
      <c r="M12" s="1">
        <v>12</v>
      </c>
      <c r="N12" s="1">
        <v>13</v>
      </c>
      <c r="O12" s="1">
        <v>14</v>
      </c>
      <c r="P12" s="1">
        <v>15</v>
      </c>
      <c r="Q12" s="1">
        <v>16</v>
      </c>
      <c r="R12" s="1">
        <v>17</v>
      </c>
      <c r="S12" s="1">
        <v>18</v>
      </c>
      <c r="T12" s="1">
        <v>19</v>
      </c>
      <c r="U12" s="1">
        <v>20</v>
      </c>
    </row>
    <row r="13" spans="1:4" ht="15">
      <c r="A13" s="15" t="s">
        <v>78</v>
      </c>
      <c r="B13" s="9">
        <f>('Kol-VelFeasDD'!B20+'Tn-KolFeasDD'!B20+ZigTnFeasDD!B20)*(1+$B10)</f>
        <v>28447798874.25678</v>
      </c>
      <c r="C13" s="9">
        <f>('Kol-VelFeasDD'!C20+'Tn-KolFeasDD'!C20+ZigTnFeasDD!C20)*(1+$B10)</f>
        <v>34137358649.10813</v>
      </c>
      <c r="D13" s="9">
        <f>('Kol-VelFeasDD'!D20+'Tn-KolFeasDD'!D20+ZigTnFeasDD!D20)*(1+$B10)</f>
        <v>51206037973.6622</v>
      </c>
    </row>
    <row r="14" spans="1:6" ht="15">
      <c r="A14" s="15" t="s">
        <v>103</v>
      </c>
      <c r="B14" s="9">
        <f>$B9*485*1/9</f>
        <v>1158611111.1111112</v>
      </c>
      <c r="C14" s="9">
        <f>$B9*485*2/9</f>
        <v>2317222222.2222223</v>
      </c>
      <c r="D14" s="9">
        <f>$B9*485*2/9</f>
        <v>2317222222.2222223</v>
      </c>
      <c r="E14" s="9">
        <f>$B9*485*2/9</f>
        <v>2317222222.2222223</v>
      </c>
      <c r="F14" s="9">
        <f>$B9*485*2/9</f>
        <v>2317222222.2222223</v>
      </c>
    </row>
    <row r="15" spans="1:21" ht="15">
      <c r="A15" s="15" t="s">
        <v>137</v>
      </c>
      <c r="B15" s="9">
        <f>('Kol-VelFeasDD'!B22+'Tn-KolFeasDD'!B22+ZigTnFeasDD!B22)*(1+$B11)</f>
        <v>0</v>
      </c>
      <c r="C15" s="9">
        <f>('Kol-VelFeasDD'!C22+'Tn-KolFeasDD'!C22+ZigTnFeasDD!C22)*(1+$B11)</f>
        <v>595411461</v>
      </c>
      <c r="D15" s="9">
        <f>('Kol-VelFeasDD'!D22+'Tn-KolFeasDD'!D22+ZigTnFeasDD!D22)*(1+$B11)</f>
        <v>1028979816</v>
      </c>
      <c r="E15" s="9">
        <f>('Kol-VelFeasDD'!E22+'Tn-KolFeasDD'!E22+ZigTnFeasDD!E22)*(1+$B11)</f>
        <v>630145410</v>
      </c>
      <c r="F15" s="9">
        <f>('Kol-VelFeasDD'!F22+'Tn-KolFeasDD'!F22+ZigTnFeasDD!F22)*(1+$B11)</f>
        <v>1054089972</v>
      </c>
      <c r="G15" s="9">
        <f>('Kol-VelFeasDD'!G22+'Tn-KolFeasDD'!G22+ZigTnFeasDD!G22)*(1+$B11)</f>
        <v>646644210</v>
      </c>
      <c r="H15" s="9">
        <f>('Kol-VelFeasDD'!H22+'Tn-KolFeasDD'!H22+ZigTnFeasDD!H22)*(1+$B11)</f>
        <v>1119003768</v>
      </c>
      <c r="I15" s="9">
        <f>('Kol-VelFeasDD'!I22+'Tn-KolFeasDD'!I22+ZigTnFeasDD!I22)*(1+$B11)</f>
        <v>656741964</v>
      </c>
      <c r="J15" s="9">
        <f>('Kol-VelFeasDD'!J22+'Tn-KolFeasDD'!J22+ZigTnFeasDD!J22)*(1+$B11)</f>
        <v>1185779064</v>
      </c>
      <c r="K15" s="9">
        <f>('Kol-VelFeasDD'!K22+'Tn-KolFeasDD'!K22+ZigTnFeasDD!K22)*(1+$B11)</f>
        <v>663678636</v>
      </c>
      <c r="L15" s="9">
        <f>('Kol-VelFeasDD'!L22+'Tn-KolFeasDD'!L22+ZigTnFeasDD!L22)*(1+$B11)</f>
        <v>1258013244</v>
      </c>
      <c r="M15" s="9">
        <f>('Kol-VelFeasDD'!M22+'Tn-KolFeasDD'!M22+ZigTnFeasDD!M22)*(1+$B11)</f>
        <v>669678972</v>
      </c>
      <c r="N15" s="9">
        <f>('Kol-VelFeasDD'!N22+'Tn-KolFeasDD'!N22+ZigTnFeasDD!N22)*(1+$B11)</f>
        <v>1338432096</v>
      </c>
      <c r="O15" s="9">
        <f>('Kol-VelFeasDD'!O22+'Tn-KolFeasDD'!O22+ZigTnFeasDD!O22)*(1+$B11)</f>
        <v>1039336548</v>
      </c>
      <c r="P15" s="9">
        <f>('Kol-VelFeasDD'!P22+'Tn-KolFeasDD'!P22+ZigTnFeasDD!P22)*(1+$B11)</f>
        <v>1065178740</v>
      </c>
      <c r="Q15" s="9">
        <f>('Kol-VelFeasDD'!Q22+'Tn-KolFeasDD'!Q22+ZigTnFeasDD!Q22)*(1+$B11)</f>
        <v>1092342717.072</v>
      </c>
      <c r="R15" s="9">
        <f>('Kol-VelFeasDD'!R22+'Tn-KolFeasDD'!R22+ZigTnFeasDD!R22)*(1+$B11)</f>
        <v>1121039347.6460161</v>
      </c>
      <c r="S15" s="9">
        <f>('Kol-VelFeasDD'!S22+'Tn-KolFeasDD'!S22+ZigTnFeasDD!S22)*(1+$B11)</f>
        <v>1151358932.3881044</v>
      </c>
      <c r="T15" s="9">
        <f>('Kol-VelFeasDD'!T22+'Tn-KolFeasDD'!T22+ZigTnFeasDD!T22)*(1+$B11)</f>
        <v>1183396700.9589715</v>
      </c>
      <c r="U15" s="9">
        <f>('Kol-VelFeasDD'!U22+'Tn-KolFeasDD'!U22+ZigTnFeasDD!U22)*(1+$B11)</f>
        <v>1217253774.2818227</v>
      </c>
    </row>
    <row r="16" spans="1:21" ht="15">
      <c r="A16" s="24" t="s">
        <v>79</v>
      </c>
      <c r="B16" s="35">
        <f>('Kol-VelFeasDD'!B23+'Tn-KolFeasDD'!B23+ZigTnFeasDD!B23)*(1+$B11)</f>
        <v>0</v>
      </c>
      <c r="C16" s="35">
        <f>('Kol-VelFeasDD'!C23+'Tn-KolFeasDD'!C23+ZigTnFeasDD!C23)*(1+$B11)</f>
        <v>0</v>
      </c>
      <c r="D16" s="35">
        <f>('Kol-VelFeasDD'!D23+'Tn-KolFeasDD'!D23+ZigTnFeasDD!D23)*(1+$B11)</f>
        <v>0</v>
      </c>
      <c r="E16" s="35">
        <f>('Kol-VelFeasDD'!E23+'Tn-KolFeasDD'!E23+ZigTnFeasDD!E23)*(1+$B11)</f>
        <v>15652953366.258442</v>
      </c>
      <c r="F16" s="35">
        <f>('Kol-VelFeasDD'!F23+'Tn-KolFeasDD'!F23+ZigTnFeasDD!F23)*(1+$B11)</f>
        <v>16122541967.246197</v>
      </c>
      <c r="G16" s="35">
        <f>('Kol-VelFeasDD'!G23+'Tn-KolFeasDD'!G23+ZigTnFeasDD!G23)*(1+$B11)</f>
        <v>16606218226.26358</v>
      </c>
      <c r="H16" s="35">
        <f>('Kol-VelFeasDD'!H23+'Tn-KolFeasDD'!H23+ZigTnFeasDD!H23)*(1+$B11)</f>
        <v>17104404773.051489</v>
      </c>
      <c r="I16" s="35">
        <f>('Kol-VelFeasDD'!I23+'Tn-KolFeasDD'!I23+ZigTnFeasDD!I23)*(1+$B11)</f>
        <v>17617536916.243034</v>
      </c>
      <c r="J16" s="35">
        <f>('Kol-VelFeasDD'!J23+'Tn-KolFeasDD'!J23+ZigTnFeasDD!J23)*(1+$B11)</f>
        <v>18146063023.730324</v>
      </c>
      <c r="K16" s="35">
        <f>('Kol-VelFeasDD'!K23+'Tn-KolFeasDD'!K23+ZigTnFeasDD!K23)*(1+$B11)</f>
        <v>18690444914.442234</v>
      </c>
      <c r="L16" s="35">
        <f>('Kol-VelFeasDD'!L23+'Tn-KolFeasDD'!L23+ZigTnFeasDD!L23)*(1+$B11)</f>
        <v>19251158261.875504</v>
      </c>
      <c r="M16" s="35">
        <f>('Kol-VelFeasDD'!M23+'Tn-KolFeasDD'!M23+ZigTnFeasDD!M23)*(1+$B11)</f>
        <v>19828693009.731766</v>
      </c>
      <c r="N16" s="35">
        <f>('Kol-VelFeasDD'!N23+'Tn-KolFeasDD'!N23+ZigTnFeasDD!N23)*(1+$B11)</f>
        <v>20423553800.02372</v>
      </c>
      <c r="O16" s="35">
        <f>('Kol-VelFeasDD'!O23+'Tn-KolFeasDD'!O23+ZigTnFeasDD!O23)*(1+$B11)</f>
        <v>21036260414.02443</v>
      </c>
      <c r="P16" s="35">
        <f>('Kol-VelFeasDD'!P23+'Tn-KolFeasDD'!P23+ZigTnFeasDD!P23)*(1+$B11)</f>
        <v>21667348226.445164</v>
      </c>
      <c r="Q16" s="35">
        <f>('Kol-VelFeasDD'!Q23+'Tn-KolFeasDD'!Q23+ZigTnFeasDD!Q23)*(1+$B11)</f>
        <v>22317368673.238514</v>
      </c>
      <c r="R16" s="35">
        <f>('Kol-VelFeasDD'!R23+'Tn-KolFeasDD'!R23+ZigTnFeasDD!R23)*(1+$B11)</f>
        <v>22986889733.43567</v>
      </c>
      <c r="S16" s="35">
        <f>('Kol-VelFeasDD'!S23+'Tn-KolFeasDD'!S23+ZigTnFeasDD!S23)*(1+$B11)</f>
        <v>23676496425.438744</v>
      </c>
      <c r="T16" s="35">
        <f>('Kol-VelFeasDD'!T23+'Tn-KolFeasDD'!T23+ZigTnFeasDD!T23)*(1+$B11)</f>
        <v>24386791318.201904</v>
      </c>
      <c r="U16" s="35">
        <f>('Kol-VelFeasDD'!U23+'Tn-KolFeasDD'!U23+ZigTnFeasDD!U23)*(1+$B11)</f>
        <v>25118395057.74796</v>
      </c>
    </row>
    <row r="17" spans="1:21" ht="15">
      <c r="A17" s="15" t="s">
        <v>104</v>
      </c>
      <c r="B17" s="9">
        <f aca="true" t="shared" si="0" ref="B17:U17">B15+B16-B13-B14</f>
        <v>-29606409985.36789</v>
      </c>
      <c r="C17" s="9">
        <f t="shared" si="0"/>
        <v>-35859169410.33035</v>
      </c>
      <c r="D17" s="9">
        <f t="shared" si="0"/>
        <v>-52494280379.88442</v>
      </c>
      <c r="E17" s="9">
        <f t="shared" si="0"/>
        <v>13965876554.03622</v>
      </c>
      <c r="F17" s="9">
        <f t="shared" si="0"/>
        <v>14859409717.023975</v>
      </c>
      <c r="G17" s="9">
        <f t="shared" si="0"/>
        <v>17252862436.26358</v>
      </c>
      <c r="H17" s="9">
        <f t="shared" si="0"/>
        <v>18223408541.05149</v>
      </c>
      <c r="I17" s="9">
        <f t="shared" si="0"/>
        <v>18274278880.243034</v>
      </c>
      <c r="J17" s="9">
        <f t="shared" si="0"/>
        <v>19331842087.730324</v>
      </c>
      <c r="K17" s="9">
        <f t="shared" si="0"/>
        <v>19354123550.442234</v>
      </c>
      <c r="L17" s="9">
        <f t="shared" si="0"/>
        <v>20509171505.875504</v>
      </c>
      <c r="M17" s="9">
        <f t="shared" si="0"/>
        <v>20498371981.731766</v>
      </c>
      <c r="N17" s="9">
        <f t="shared" si="0"/>
        <v>21761985896.02372</v>
      </c>
      <c r="O17" s="9">
        <f t="shared" si="0"/>
        <v>22075596962.02443</v>
      </c>
      <c r="P17" s="9">
        <f t="shared" si="0"/>
        <v>22732526966.445164</v>
      </c>
      <c r="Q17" s="9">
        <f t="shared" si="0"/>
        <v>23409711390.310513</v>
      </c>
      <c r="R17" s="9">
        <f t="shared" si="0"/>
        <v>24107929081.081684</v>
      </c>
      <c r="S17" s="9">
        <f t="shared" si="0"/>
        <v>24827855357.826847</v>
      </c>
      <c r="T17" s="9">
        <f t="shared" si="0"/>
        <v>25570188019.160877</v>
      </c>
      <c r="U17" s="9">
        <f t="shared" si="0"/>
        <v>26335648832.02978</v>
      </c>
    </row>
    <row r="18" spans="1:2" ht="15">
      <c r="A18" s="15" t="s">
        <v>258</v>
      </c>
      <c r="B18" s="2">
        <f>SUM(B13:D13)/485/B7</f>
        <v>792638.5866329556</v>
      </c>
    </row>
    <row r="19" spans="1:3" ht="15">
      <c r="A19" s="15" t="s">
        <v>105</v>
      </c>
      <c r="B19" s="156">
        <f>IRR(B17:U17,0.04)</f>
        <v>0.1252760244688329</v>
      </c>
      <c r="C19" t="s">
        <v>165</v>
      </c>
    </row>
    <row r="20" ht="14.25" customHeight="1"/>
    <row r="21" spans="1:2" ht="15">
      <c r="A21" s="15" t="s">
        <v>257</v>
      </c>
      <c r="B21" s="13" t="s">
        <v>149</v>
      </c>
    </row>
    <row r="22" spans="1:2" ht="15">
      <c r="A22" s="15" t="s">
        <v>145</v>
      </c>
      <c r="B22" s="2">
        <f>3.12486387161049*1000000</f>
        <v>3124863.87161049</v>
      </c>
    </row>
    <row r="23" spans="1:2" ht="15">
      <c r="A23" s="15" t="s">
        <v>146</v>
      </c>
      <c r="B23" s="2">
        <f>0.24*1000000</f>
        <v>240000</v>
      </c>
    </row>
    <row r="24" spans="1:2" ht="15">
      <c r="A24" s="15" t="s">
        <v>147</v>
      </c>
      <c r="B24" s="2">
        <f>0.24*1000000</f>
        <v>240000</v>
      </c>
    </row>
    <row r="25" spans="1:2" ht="15">
      <c r="A25" s="15" t="s">
        <v>148</v>
      </c>
      <c r="B25" s="2">
        <f>0.22*1000000</f>
        <v>220000</v>
      </c>
    </row>
    <row r="26" spans="1:3" ht="15">
      <c r="A26" s="15" t="s">
        <v>167</v>
      </c>
      <c r="B26" s="36">
        <f>0.9*1000000</f>
        <v>900000</v>
      </c>
      <c r="C26" s="13" t="s">
        <v>256</v>
      </c>
    </row>
    <row r="27" spans="1:2" ht="15">
      <c r="A27" s="15" t="s">
        <v>67</v>
      </c>
      <c r="B27" s="2">
        <f>SUM(B22:B26)</f>
        <v>4724863.871610491</v>
      </c>
    </row>
    <row r="29" spans="1:21" ht="15">
      <c r="A29" s="15" t="s">
        <v>168</v>
      </c>
      <c r="B29" s="9">
        <f>B17-$B27*485*0.25</f>
        <v>-30179299729.800663</v>
      </c>
      <c r="C29" s="9">
        <f>C17-$B27*485*0.3</f>
        <v>-36546637103.64968</v>
      </c>
      <c r="D29" s="9">
        <f>D17-$B27*485*0.45</f>
        <v>-53525481919.86341</v>
      </c>
      <c r="E29" s="9">
        <f aca="true" t="shared" si="1" ref="E29:U29">E17</f>
        <v>13965876554.03622</v>
      </c>
      <c r="F29" s="9">
        <f t="shared" si="1"/>
        <v>14859409717.023975</v>
      </c>
      <c r="G29" s="9">
        <f t="shared" si="1"/>
        <v>17252862436.26358</v>
      </c>
      <c r="H29" s="9">
        <f t="shared" si="1"/>
        <v>18223408541.05149</v>
      </c>
      <c r="I29" s="9">
        <f t="shared" si="1"/>
        <v>18274278880.243034</v>
      </c>
      <c r="J29" s="9">
        <f t="shared" si="1"/>
        <v>19331842087.730324</v>
      </c>
      <c r="K29" s="9">
        <f t="shared" si="1"/>
        <v>19354123550.442234</v>
      </c>
      <c r="L29" s="9">
        <f t="shared" si="1"/>
        <v>20509171505.875504</v>
      </c>
      <c r="M29" s="9">
        <f t="shared" si="1"/>
        <v>20498371981.731766</v>
      </c>
      <c r="N29" s="9">
        <f t="shared" si="1"/>
        <v>21761985896.02372</v>
      </c>
      <c r="O29" s="9">
        <f t="shared" si="1"/>
        <v>22075596962.02443</v>
      </c>
      <c r="P29" s="9">
        <f t="shared" si="1"/>
        <v>22732526966.445164</v>
      </c>
      <c r="Q29" s="9">
        <f t="shared" si="1"/>
        <v>23409711390.310513</v>
      </c>
      <c r="R29" s="9">
        <f t="shared" si="1"/>
        <v>24107929081.081684</v>
      </c>
      <c r="S29" s="9">
        <f t="shared" si="1"/>
        <v>24827855357.826847</v>
      </c>
      <c r="T29" s="9">
        <f t="shared" si="1"/>
        <v>25570188019.160877</v>
      </c>
      <c r="U29" s="9">
        <f t="shared" si="1"/>
        <v>26335648832.02978</v>
      </c>
    </row>
    <row r="31" spans="1:3" ht="15">
      <c r="A31" s="15" t="s">
        <v>105</v>
      </c>
      <c r="B31" s="160">
        <f>IRR(B29:U29,0.015)</f>
        <v>0.12258326592480473</v>
      </c>
      <c r="C31" t="s">
        <v>170</v>
      </c>
    </row>
    <row r="32" spans="1:2" ht="15">
      <c r="A32" s="15"/>
      <c r="B32" s="2"/>
    </row>
    <row r="33" spans="1:21" ht="15">
      <c r="A33" s="15" t="s">
        <v>250</v>
      </c>
      <c r="B33" s="35">
        <f>21300*485</f>
        <v>10330500</v>
      </c>
      <c r="C33" s="35">
        <f>199500*484</f>
        <v>96558000</v>
      </c>
      <c r="D33" s="35">
        <f>134500*485</f>
        <v>65232500</v>
      </c>
      <c r="E33" s="35">
        <f>112000*485</f>
        <v>54320000</v>
      </c>
      <c r="F33" s="35">
        <f>55000*485</f>
        <v>26675000</v>
      </c>
      <c r="G33" s="1"/>
      <c r="H33" s="1"/>
      <c r="I33" s="1"/>
      <c r="J33" s="1"/>
      <c r="K33" s="1"/>
      <c r="L33" s="1"/>
      <c r="M33" s="1"/>
      <c r="N33" s="1"/>
      <c r="O33" s="1"/>
      <c r="P33" s="1"/>
      <c r="Q33" s="1"/>
      <c r="R33" s="1"/>
      <c r="S33" s="1"/>
      <c r="T33" s="1"/>
      <c r="U33" s="1"/>
    </row>
    <row r="34" spans="1:21" ht="15">
      <c r="A34" s="15" t="s">
        <v>251</v>
      </c>
      <c r="B34" s="9">
        <f aca="true" t="shared" si="2" ref="B34:U34">B29-B33</f>
        <v>-30189630229.800663</v>
      </c>
      <c r="C34" s="9">
        <f t="shared" si="2"/>
        <v>-36643195103.64968</v>
      </c>
      <c r="D34" s="9">
        <f t="shared" si="2"/>
        <v>-53590714419.86341</v>
      </c>
      <c r="E34" s="9">
        <f t="shared" si="2"/>
        <v>13911556554.03622</v>
      </c>
      <c r="F34" s="9">
        <f t="shared" si="2"/>
        <v>14832734717.023975</v>
      </c>
      <c r="G34" s="9">
        <f t="shared" si="2"/>
        <v>17252862436.26358</v>
      </c>
      <c r="H34" s="9">
        <f t="shared" si="2"/>
        <v>18223408541.05149</v>
      </c>
      <c r="I34" s="9">
        <f t="shared" si="2"/>
        <v>18274278880.243034</v>
      </c>
      <c r="J34" s="9">
        <f t="shared" si="2"/>
        <v>19331842087.730324</v>
      </c>
      <c r="K34" s="9">
        <f t="shared" si="2"/>
        <v>19354123550.442234</v>
      </c>
      <c r="L34" s="9">
        <f t="shared" si="2"/>
        <v>20509171505.875504</v>
      </c>
      <c r="M34" s="9">
        <f t="shared" si="2"/>
        <v>20498371981.731766</v>
      </c>
      <c r="N34" s="9">
        <f t="shared" si="2"/>
        <v>21761985896.02372</v>
      </c>
      <c r="O34" s="9">
        <f t="shared" si="2"/>
        <v>22075596962.02443</v>
      </c>
      <c r="P34" s="9">
        <f t="shared" si="2"/>
        <v>22732526966.445164</v>
      </c>
      <c r="Q34" s="9">
        <f t="shared" si="2"/>
        <v>23409711390.310513</v>
      </c>
      <c r="R34" s="9">
        <f t="shared" si="2"/>
        <v>24107929081.081684</v>
      </c>
      <c r="S34" s="9">
        <f t="shared" si="2"/>
        <v>24827855357.826847</v>
      </c>
      <c r="T34" s="9">
        <f t="shared" si="2"/>
        <v>25570188019.160877</v>
      </c>
      <c r="U34" s="9">
        <f t="shared" si="2"/>
        <v>26335648832.02978</v>
      </c>
    </row>
    <row r="35" spans="1:2" ht="15">
      <c r="A35" s="15"/>
      <c r="B35" s="2"/>
    </row>
    <row r="36" spans="1:3" ht="15">
      <c r="A36" s="15" t="s">
        <v>105</v>
      </c>
      <c r="B36" s="160">
        <f>IRR(B34:U34,0.015)</f>
        <v>0.12231411898575884</v>
      </c>
      <c r="C36" t="s">
        <v>252</v>
      </c>
    </row>
    <row r="37" spans="1:2" ht="15">
      <c r="A37" s="15"/>
      <c r="B37" s="2"/>
    </row>
    <row r="38" spans="1:21" ht="15">
      <c r="A38" s="44" t="s">
        <v>253</v>
      </c>
      <c r="B38" s="35"/>
      <c r="C38" s="35"/>
      <c r="D38" s="35">
        <f>1000000*485</f>
        <v>485000000</v>
      </c>
      <c r="E38" s="35">
        <f>1045000*485</f>
        <v>506825000</v>
      </c>
      <c r="F38" s="35">
        <f>45000*485</f>
        <v>21825000</v>
      </c>
      <c r="G38" s="1"/>
      <c r="H38" s="1"/>
      <c r="I38" s="1"/>
      <c r="J38" s="1"/>
      <c r="K38" s="1"/>
      <c r="L38" s="1"/>
      <c r="M38" s="1"/>
      <c r="N38" s="1"/>
      <c r="O38" s="1"/>
      <c r="P38" s="1"/>
      <c r="Q38" s="1"/>
      <c r="R38" s="1"/>
      <c r="S38" s="1"/>
      <c r="T38" s="1"/>
      <c r="U38" s="1"/>
    </row>
    <row r="39" spans="1:21" ht="15">
      <c r="A39" s="15" t="s">
        <v>251</v>
      </c>
      <c r="B39" s="9">
        <f aca="true" t="shared" si="3" ref="B39:U39">B34-B38</f>
        <v>-30189630229.800663</v>
      </c>
      <c r="C39" s="9">
        <f t="shared" si="3"/>
        <v>-36643195103.64968</v>
      </c>
      <c r="D39" s="9">
        <f t="shared" si="3"/>
        <v>-54075714419.86341</v>
      </c>
      <c r="E39" s="9">
        <f t="shared" si="3"/>
        <v>13404731554.03622</v>
      </c>
      <c r="F39" s="9">
        <f t="shared" si="3"/>
        <v>14810909717.023975</v>
      </c>
      <c r="G39" s="9">
        <f t="shared" si="3"/>
        <v>17252862436.26358</v>
      </c>
      <c r="H39" s="9">
        <f t="shared" si="3"/>
        <v>18223408541.05149</v>
      </c>
      <c r="I39" s="9">
        <f t="shared" si="3"/>
        <v>18274278880.243034</v>
      </c>
      <c r="J39" s="9">
        <f t="shared" si="3"/>
        <v>19331842087.730324</v>
      </c>
      <c r="K39" s="9">
        <f t="shared" si="3"/>
        <v>19354123550.442234</v>
      </c>
      <c r="L39" s="9">
        <f t="shared" si="3"/>
        <v>20509171505.875504</v>
      </c>
      <c r="M39" s="9">
        <f t="shared" si="3"/>
        <v>20498371981.731766</v>
      </c>
      <c r="N39" s="9">
        <f t="shared" si="3"/>
        <v>21761985896.02372</v>
      </c>
      <c r="O39" s="9">
        <f t="shared" si="3"/>
        <v>22075596962.02443</v>
      </c>
      <c r="P39" s="9">
        <f t="shared" si="3"/>
        <v>22732526966.445164</v>
      </c>
      <c r="Q39" s="9">
        <f t="shared" si="3"/>
        <v>23409711390.310513</v>
      </c>
      <c r="R39" s="9">
        <f t="shared" si="3"/>
        <v>24107929081.081684</v>
      </c>
      <c r="S39" s="9">
        <f t="shared" si="3"/>
        <v>24827855357.826847</v>
      </c>
      <c r="T39" s="9">
        <f t="shared" si="3"/>
        <v>25570188019.160877</v>
      </c>
      <c r="U39" s="9">
        <f t="shared" si="3"/>
        <v>26335648832.02978</v>
      </c>
    </row>
    <row r="40" spans="1:21" ht="15">
      <c r="A40" s="15"/>
      <c r="B40" s="9"/>
      <c r="C40" s="9"/>
      <c r="D40" s="9"/>
      <c r="E40" s="9"/>
      <c r="F40" s="9"/>
      <c r="G40" s="9"/>
      <c r="H40" s="9"/>
      <c r="I40" s="9"/>
      <c r="J40" s="9"/>
      <c r="K40" s="9"/>
      <c r="L40" s="9"/>
      <c r="M40" s="9"/>
      <c r="N40" s="9"/>
      <c r="O40" s="9"/>
      <c r="P40" s="9"/>
      <c r="Q40" s="9"/>
      <c r="R40" s="9"/>
      <c r="S40" s="9"/>
      <c r="T40" s="9"/>
      <c r="U40" s="9"/>
    </row>
    <row r="41" spans="1:21" ht="15">
      <c r="A41" s="15" t="s">
        <v>105</v>
      </c>
      <c r="B41" s="160">
        <f>IRR(B39:U39,0.05)</f>
        <v>0.12131711122761968</v>
      </c>
      <c r="C41" s="9" t="s">
        <v>254</v>
      </c>
      <c r="D41" s="9"/>
      <c r="E41" s="9"/>
      <c r="F41" s="9"/>
      <c r="G41" s="9"/>
      <c r="H41" s="9"/>
      <c r="I41" s="9"/>
      <c r="J41" s="9"/>
      <c r="K41" s="9"/>
      <c r="L41" s="9"/>
      <c r="M41" s="9"/>
      <c r="N41" s="9"/>
      <c r="O41" s="9"/>
      <c r="P41" s="9"/>
      <c r="Q41" s="9"/>
      <c r="R41" s="9"/>
      <c r="S41" s="9"/>
      <c r="T41" s="9"/>
      <c r="U41" s="9"/>
    </row>
    <row r="42" spans="1:2" ht="15">
      <c r="A42" s="15"/>
      <c r="B42" s="2"/>
    </row>
    <row r="43" spans="1:2" ht="15">
      <c r="A43" s="15" t="s">
        <v>259</v>
      </c>
      <c r="B43" s="9">
        <f>SUM(B13:D13)+B27*485+0</f>
        <v>116082754474.75821</v>
      </c>
    </row>
    <row r="44" ht="12.75">
      <c r="B44" s="2"/>
    </row>
    <row r="45" spans="1:2" ht="15">
      <c r="A45" s="15" t="s">
        <v>81</v>
      </c>
      <c r="B45" s="2">
        <v>289.5780115175572</v>
      </c>
    </row>
    <row r="47" spans="1:5" ht="12.75">
      <c r="A47" s="19" t="s">
        <v>72</v>
      </c>
      <c r="B47" s="198" t="s">
        <v>91</v>
      </c>
      <c r="C47" s="199"/>
      <c r="D47" s="199"/>
      <c r="E47" s="199"/>
    </row>
    <row r="48" spans="2:5" ht="12.75">
      <c r="B48" s="18" t="s">
        <v>38</v>
      </c>
      <c r="C48" s="18" t="s">
        <v>39</v>
      </c>
      <c r="D48" s="18" t="s">
        <v>40</v>
      </c>
      <c r="E48" s="18" t="s">
        <v>41</v>
      </c>
    </row>
    <row r="49" spans="1:6" ht="15">
      <c r="A49" s="15" t="s">
        <v>73</v>
      </c>
      <c r="B49" s="155">
        <v>0.335</v>
      </c>
      <c r="C49" s="155">
        <v>0.2686</v>
      </c>
      <c r="D49" s="155">
        <v>0.2894</v>
      </c>
      <c r="E49" s="155">
        <v>0.10699999999999998</v>
      </c>
      <c r="F49" s="13" t="s">
        <v>107</v>
      </c>
    </row>
    <row r="50" spans="1:6" ht="12.75">
      <c r="A50" s="19" t="s">
        <v>74</v>
      </c>
      <c r="B50" s="3">
        <v>0.46161417322834647</v>
      </c>
      <c r="C50" s="3">
        <v>0.3701181102362205</v>
      </c>
      <c r="D50" s="3">
        <v>0.17</v>
      </c>
      <c r="E50" s="3">
        <v>-0.0017322834645669971</v>
      </c>
      <c r="F50" s="13" t="s">
        <v>108</v>
      </c>
    </row>
    <row r="52" spans="1:2" ht="12.75">
      <c r="A52" s="19" t="s">
        <v>75</v>
      </c>
      <c r="B52" s="155">
        <v>0.65</v>
      </c>
    </row>
    <row r="53" spans="1:2" ht="12.75">
      <c r="A53" s="19"/>
      <c r="B53" s="155"/>
    </row>
    <row r="54" spans="1:5" ht="12.75">
      <c r="A54" s="19"/>
      <c r="B54" s="198" t="s">
        <v>91</v>
      </c>
      <c r="C54" s="199"/>
      <c r="D54" s="199"/>
      <c r="E54" s="199"/>
    </row>
    <row r="55" spans="1:5" ht="12.75">
      <c r="A55" s="19" t="s">
        <v>76</v>
      </c>
      <c r="B55" s="18" t="s">
        <v>38</v>
      </c>
      <c r="C55" s="18" t="s">
        <v>39</v>
      </c>
      <c r="D55" s="18" t="s">
        <v>40</v>
      </c>
      <c r="E55" s="18" t="s">
        <v>41</v>
      </c>
    </row>
    <row r="56" spans="1:5" ht="12.75">
      <c r="A56" s="19" t="s">
        <v>77</v>
      </c>
      <c r="B56" s="3">
        <f>$B52*B50+(1-$B52)*B49</f>
        <v>0.4172992125984252</v>
      </c>
      <c r="C56" s="3">
        <f>$B52*C50+(1-$B52)*C49</f>
        <v>0.33458677165354334</v>
      </c>
      <c r="D56" s="3">
        <f>$B52*D50+(1-$B52)*D49</f>
        <v>0.21179</v>
      </c>
      <c r="E56" s="3">
        <f>$B52*E50+(1-$B52)*E49</f>
        <v>0.036324015748031444</v>
      </c>
    </row>
    <row r="58" spans="1:2" ht="12.75">
      <c r="A58" s="19" t="s">
        <v>80</v>
      </c>
      <c r="B58" s="9">
        <f>NPV(0.1,B15:U15)+NPV(0.1,B16:U16)</f>
        <v>120031814159.77722</v>
      </c>
    </row>
    <row r="59" spans="1:2" ht="12.75">
      <c r="A59" s="19" t="s">
        <v>82</v>
      </c>
      <c r="B59" s="9">
        <f>B58/PPP_exrate</f>
        <v>414505968.6360187</v>
      </c>
    </row>
    <row r="61" spans="1:3" ht="12.75">
      <c r="A61" s="19" t="s">
        <v>109</v>
      </c>
      <c r="B61">
        <v>52190</v>
      </c>
      <c r="C61" s="13" t="s">
        <v>85</v>
      </c>
    </row>
    <row r="62" spans="1:2" ht="12.75">
      <c r="A62" s="19" t="s">
        <v>88</v>
      </c>
      <c r="B62">
        <v>548372</v>
      </c>
    </row>
    <row r="63" spans="1:2" ht="12.75">
      <c r="A63" s="19" t="s">
        <v>110</v>
      </c>
      <c r="B63" s="2">
        <f>B62/B7</f>
        <v>1852.6081081081081</v>
      </c>
    </row>
    <row r="64" spans="1:2" ht="12.75">
      <c r="A64" s="19" t="s">
        <v>111</v>
      </c>
      <c r="B64" s="2">
        <f>B63/10</f>
        <v>185.26081081081082</v>
      </c>
    </row>
    <row r="65" spans="1:2" ht="12.75">
      <c r="A65" s="19" t="s">
        <v>112</v>
      </c>
      <c r="B65" s="2">
        <f>B64/11</f>
        <v>16.841891891891894</v>
      </c>
    </row>
    <row r="66" spans="1:2" ht="12.75">
      <c r="A66" s="19" t="s">
        <v>86</v>
      </c>
      <c r="B66" s="2">
        <f>B61*(1-B52)</f>
        <v>18266.5</v>
      </c>
    </row>
    <row r="67" spans="1:2" ht="12.75">
      <c r="A67" s="20" t="s">
        <v>87</v>
      </c>
      <c r="B67" s="36">
        <f>B66*11</f>
        <v>200931.5</v>
      </c>
    </row>
    <row r="68" spans="1:2" ht="12.75">
      <c r="A68" s="19" t="s">
        <v>89</v>
      </c>
      <c r="B68" s="2">
        <f>B61+B66</f>
        <v>70456.5</v>
      </c>
    </row>
    <row r="69" spans="1:2" ht="12.75">
      <c r="A69" s="19" t="s">
        <v>90</v>
      </c>
      <c r="B69" s="2">
        <f>B62+B67</f>
        <v>749303.5</v>
      </c>
    </row>
    <row r="71" spans="1:2" ht="12.75">
      <c r="A71" s="19" t="s">
        <v>83</v>
      </c>
      <c r="B71" s="21">
        <f>B58/B69</f>
        <v>160191.18309173416</v>
      </c>
    </row>
    <row r="72" spans="1:2" ht="12.75">
      <c r="A72" s="19" t="s">
        <v>84</v>
      </c>
      <c r="B72" s="2">
        <f>B59/B69</f>
        <v>553.1883524313162</v>
      </c>
    </row>
    <row r="74" spans="2:5" ht="12.75">
      <c r="B74" s="198" t="s">
        <v>91</v>
      </c>
      <c r="C74" s="199"/>
      <c r="D74" s="199"/>
      <c r="E74" s="199"/>
    </row>
    <row r="75" spans="2:5" ht="12.75">
      <c r="B75" s="22" t="s">
        <v>38</v>
      </c>
      <c r="C75" s="22" t="s">
        <v>63</v>
      </c>
      <c r="D75" s="22" t="s">
        <v>40</v>
      </c>
      <c r="E75" s="22" t="s">
        <v>41</v>
      </c>
    </row>
    <row r="76" spans="1:5" ht="12.75">
      <c r="A76" s="19" t="s">
        <v>92</v>
      </c>
      <c r="B76" s="2">
        <f>$B69*B56</f>
        <v>312683.76054724405</v>
      </c>
      <c r="C76" s="2">
        <f>B76+$B69*C56</f>
        <v>563390.7996009449</v>
      </c>
      <c r="D76" s="2">
        <f>$B69*D56</f>
        <v>158694.988265</v>
      </c>
      <c r="E76" s="2">
        <f>$B69*E56</f>
        <v>27217.71213405508</v>
      </c>
    </row>
    <row r="77" spans="1:5" ht="12.75">
      <c r="A77" s="19" t="s">
        <v>94</v>
      </c>
      <c r="B77" s="9">
        <f>$B59*B56</f>
        <v>172973014.32915813</v>
      </c>
      <c r="C77" s="9">
        <f>B77+$B59*C56</f>
        <v>311661228.20620847</v>
      </c>
      <c r="D77" s="9">
        <f>$B59*D56</f>
        <v>87788219.0974224</v>
      </c>
      <c r="E77" s="9">
        <f>$B59*E56</f>
        <v>15056521.332387771</v>
      </c>
    </row>
    <row r="78" spans="1:5" ht="12.75">
      <c r="A78" s="19" t="s">
        <v>115</v>
      </c>
      <c r="B78" s="2">
        <f>B77/B76</f>
        <v>553.1883524313162</v>
      </c>
      <c r="C78" s="2">
        <f>C77/C76</f>
        <v>553.1883524313162</v>
      </c>
      <c r="D78" s="2">
        <f>D77/D76</f>
        <v>553.1883524313162</v>
      </c>
      <c r="E78" s="2">
        <f>E77/E76</f>
        <v>553.1883524313162</v>
      </c>
    </row>
    <row r="80" spans="1:5" ht="12.75">
      <c r="A80" s="19" t="s">
        <v>97</v>
      </c>
      <c r="B80" s="198" t="s">
        <v>91</v>
      </c>
      <c r="C80" s="199"/>
      <c r="D80" s="199"/>
      <c r="E80" s="199"/>
    </row>
    <row r="81" spans="2:5" ht="12.75">
      <c r="B81" s="5" t="s">
        <v>38</v>
      </c>
      <c r="C81" s="5" t="s">
        <v>39</v>
      </c>
      <c r="D81" s="6" t="s">
        <v>40</v>
      </c>
      <c r="E81" s="5" t="s">
        <v>41</v>
      </c>
    </row>
    <row r="82" spans="1:5" ht="12.75">
      <c r="A82" t="s">
        <v>95</v>
      </c>
      <c r="B82" s="5">
        <v>38</v>
      </c>
      <c r="C82" s="2">
        <v>49.427083333333336</v>
      </c>
      <c r="D82" s="2">
        <v>91.25</v>
      </c>
      <c r="E82" s="8">
        <v>135.0106113707165</v>
      </c>
    </row>
    <row r="83" spans="1:5" ht="12.75">
      <c r="A83" t="s">
        <v>96</v>
      </c>
      <c r="B83" s="2">
        <v>456</v>
      </c>
      <c r="C83" s="2">
        <v>593.125</v>
      </c>
      <c r="D83" s="2">
        <v>1095</v>
      </c>
      <c r="E83" s="2">
        <v>1620.127336448598</v>
      </c>
    </row>
    <row r="85" spans="1:22" ht="25.5">
      <c r="A85" s="13" t="s">
        <v>99</v>
      </c>
      <c r="B85" s="16" t="s">
        <v>98</v>
      </c>
      <c r="C85" s="1">
        <v>1</v>
      </c>
      <c r="D85" s="1">
        <v>2</v>
      </c>
      <c r="E85" s="1">
        <v>3</v>
      </c>
      <c r="F85" s="1">
        <v>4</v>
      </c>
      <c r="G85" s="1">
        <v>5</v>
      </c>
      <c r="H85" s="1">
        <v>6</v>
      </c>
      <c r="I85" s="1">
        <v>7</v>
      </c>
      <c r="J85" s="1">
        <v>8</v>
      </c>
      <c r="K85" s="1">
        <v>9</v>
      </c>
      <c r="L85" s="1">
        <v>10</v>
      </c>
      <c r="M85" s="1">
        <v>11</v>
      </c>
      <c r="N85" s="1">
        <v>12</v>
      </c>
      <c r="O85" s="1">
        <v>13</v>
      </c>
      <c r="P85" s="1">
        <v>14</v>
      </c>
      <c r="Q85" s="1">
        <v>15</v>
      </c>
      <c r="R85" s="1">
        <v>16</v>
      </c>
      <c r="S85" s="1">
        <v>17</v>
      </c>
      <c r="T85" s="1">
        <v>18</v>
      </c>
      <c r="U85" s="1">
        <v>19</v>
      </c>
      <c r="V85" s="1">
        <v>20</v>
      </c>
    </row>
    <row r="86" spans="1:22" ht="12.75">
      <c r="A86" s="5" t="s">
        <v>38</v>
      </c>
      <c r="B86" s="23">
        <f>NPV(0.1,C86:V86)</f>
        <v>3882.185056209903</v>
      </c>
      <c r="C86" s="2">
        <f>B83</f>
        <v>456</v>
      </c>
      <c r="D86" s="2">
        <f aca="true" t="shared" si="4" ref="D86:V86">C86</f>
        <v>456</v>
      </c>
      <c r="E86" s="2">
        <f t="shared" si="4"/>
        <v>456</v>
      </c>
      <c r="F86" s="2">
        <f t="shared" si="4"/>
        <v>456</v>
      </c>
      <c r="G86" s="2">
        <f t="shared" si="4"/>
        <v>456</v>
      </c>
      <c r="H86" s="2">
        <f t="shared" si="4"/>
        <v>456</v>
      </c>
      <c r="I86" s="2">
        <f t="shared" si="4"/>
        <v>456</v>
      </c>
      <c r="J86" s="2">
        <f t="shared" si="4"/>
        <v>456</v>
      </c>
      <c r="K86" s="2">
        <f t="shared" si="4"/>
        <v>456</v>
      </c>
      <c r="L86" s="2">
        <f t="shared" si="4"/>
        <v>456</v>
      </c>
      <c r="M86" s="2">
        <f t="shared" si="4"/>
        <v>456</v>
      </c>
      <c r="N86" s="2">
        <f t="shared" si="4"/>
        <v>456</v>
      </c>
      <c r="O86" s="2">
        <f t="shared" si="4"/>
        <v>456</v>
      </c>
      <c r="P86" s="2">
        <f t="shared" si="4"/>
        <v>456</v>
      </c>
      <c r="Q86" s="2">
        <f t="shared" si="4"/>
        <v>456</v>
      </c>
      <c r="R86" s="2">
        <f t="shared" si="4"/>
        <v>456</v>
      </c>
      <c r="S86" s="2">
        <f t="shared" si="4"/>
        <v>456</v>
      </c>
      <c r="T86" s="2">
        <f t="shared" si="4"/>
        <v>456</v>
      </c>
      <c r="U86" s="2">
        <f t="shared" si="4"/>
        <v>456</v>
      </c>
      <c r="V86" s="2">
        <f t="shared" si="4"/>
        <v>456</v>
      </c>
    </row>
    <row r="87" spans="1:22" ht="12.75">
      <c r="A87" s="5" t="s">
        <v>39</v>
      </c>
      <c r="B87" s="23">
        <f>NPV(0.1,C87:V87)</f>
        <v>5049.607481281794</v>
      </c>
      <c r="C87" s="2">
        <f>C83</f>
        <v>593.125</v>
      </c>
      <c r="D87" s="2">
        <f aca="true" t="shared" si="5" ref="D87:V87">C87</f>
        <v>593.125</v>
      </c>
      <c r="E87" s="2">
        <f t="shared" si="5"/>
        <v>593.125</v>
      </c>
      <c r="F87" s="2">
        <f t="shared" si="5"/>
        <v>593.125</v>
      </c>
      <c r="G87" s="2">
        <f t="shared" si="5"/>
        <v>593.125</v>
      </c>
      <c r="H87" s="2">
        <f t="shared" si="5"/>
        <v>593.125</v>
      </c>
      <c r="I87" s="2">
        <f t="shared" si="5"/>
        <v>593.125</v>
      </c>
      <c r="J87" s="2">
        <f t="shared" si="5"/>
        <v>593.125</v>
      </c>
      <c r="K87" s="2">
        <f t="shared" si="5"/>
        <v>593.125</v>
      </c>
      <c r="L87" s="2">
        <f t="shared" si="5"/>
        <v>593.125</v>
      </c>
      <c r="M87" s="2">
        <f t="shared" si="5"/>
        <v>593.125</v>
      </c>
      <c r="N87" s="2">
        <f t="shared" si="5"/>
        <v>593.125</v>
      </c>
      <c r="O87" s="2">
        <f t="shared" si="5"/>
        <v>593.125</v>
      </c>
      <c r="P87" s="2">
        <f t="shared" si="5"/>
        <v>593.125</v>
      </c>
      <c r="Q87" s="2">
        <f t="shared" si="5"/>
        <v>593.125</v>
      </c>
      <c r="R87" s="2">
        <f t="shared" si="5"/>
        <v>593.125</v>
      </c>
      <c r="S87" s="2">
        <f t="shared" si="5"/>
        <v>593.125</v>
      </c>
      <c r="T87" s="2">
        <f t="shared" si="5"/>
        <v>593.125</v>
      </c>
      <c r="U87" s="2">
        <f t="shared" si="5"/>
        <v>593.125</v>
      </c>
      <c r="V87" s="2">
        <f t="shared" si="5"/>
        <v>593.125</v>
      </c>
    </row>
    <row r="88" spans="1:22" ht="12.75">
      <c r="A88" s="6" t="s">
        <v>40</v>
      </c>
      <c r="B88" s="23">
        <f>NPV(0.1,C88:V88)</f>
        <v>9322.352273135617</v>
      </c>
      <c r="C88" s="2">
        <f>D83</f>
        <v>1095</v>
      </c>
      <c r="D88" s="2">
        <f aca="true" t="shared" si="6" ref="D88:V88">C88</f>
        <v>1095</v>
      </c>
      <c r="E88" s="2">
        <f t="shared" si="6"/>
        <v>1095</v>
      </c>
      <c r="F88" s="2">
        <f t="shared" si="6"/>
        <v>1095</v>
      </c>
      <c r="G88" s="2">
        <f t="shared" si="6"/>
        <v>1095</v>
      </c>
      <c r="H88" s="2">
        <f t="shared" si="6"/>
        <v>1095</v>
      </c>
      <c r="I88" s="2">
        <f t="shared" si="6"/>
        <v>1095</v>
      </c>
      <c r="J88" s="2">
        <f t="shared" si="6"/>
        <v>1095</v>
      </c>
      <c r="K88" s="2">
        <f t="shared" si="6"/>
        <v>1095</v>
      </c>
      <c r="L88" s="2">
        <f t="shared" si="6"/>
        <v>1095</v>
      </c>
      <c r="M88" s="2">
        <f t="shared" si="6"/>
        <v>1095</v>
      </c>
      <c r="N88" s="2">
        <f t="shared" si="6"/>
        <v>1095</v>
      </c>
      <c r="O88" s="2">
        <f t="shared" si="6"/>
        <v>1095</v>
      </c>
      <c r="P88" s="2">
        <f t="shared" si="6"/>
        <v>1095</v>
      </c>
      <c r="Q88" s="2">
        <f t="shared" si="6"/>
        <v>1095</v>
      </c>
      <c r="R88" s="2">
        <f t="shared" si="6"/>
        <v>1095</v>
      </c>
      <c r="S88" s="2">
        <f t="shared" si="6"/>
        <v>1095</v>
      </c>
      <c r="T88" s="2">
        <f t="shared" si="6"/>
        <v>1095</v>
      </c>
      <c r="U88" s="2">
        <f t="shared" si="6"/>
        <v>1095</v>
      </c>
      <c r="V88" s="2">
        <f t="shared" si="6"/>
        <v>1095</v>
      </c>
    </row>
    <row r="89" spans="1:22" ht="12.75">
      <c r="A89" s="5" t="s">
        <v>41</v>
      </c>
      <c r="B89" s="23">
        <f>NPV(0.1,C89:V89)</f>
        <v>13793.05731297785</v>
      </c>
      <c r="C89" s="2">
        <f>E83</f>
        <v>1620.127336448598</v>
      </c>
      <c r="D89" s="2">
        <f aca="true" t="shared" si="7" ref="D89:V89">C89</f>
        <v>1620.127336448598</v>
      </c>
      <c r="E89" s="2">
        <f t="shared" si="7"/>
        <v>1620.127336448598</v>
      </c>
      <c r="F89" s="2">
        <f t="shared" si="7"/>
        <v>1620.127336448598</v>
      </c>
      <c r="G89" s="2">
        <f t="shared" si="7"/>
        <v>1620.127336448598</v>
      </c>
      <c r="H89" s="2">
        <f t="shared" si="7"/>
        <v>1620.127336448598</v>
      </c>
      <c r="I89" s="2">
        <f t="shared" si="7"/>
        <v>1620.127336448598</v>
      </c>
      <c r="J89" s="2">
        <f t="shared" si="7"/>
        <v>1620.127336448598</v>
      </c>
      <c r="K89" s="2">
        <f t="shared" si="7"/>
        <v>1620.127336448598</v>
      </c>
      <c r="L89" s="2">
        <f t="shared" si="7"/>
        <v>1620.127336448598</v>
      </c>
      <c r="M89" s="2">
        <f t="shared" si="7"/>
        <v>1620.127336448598</v>
      </c>
      <c r="N89" s="2">
        <f t="shared" si="7"/>
        <v>1620.127336448598</v>
      </c>
      <c r="O89" s="2">
        <f t="shared" si="7"/>
        <v>1620.127336448598</v>
      </c>
      <c r="P89" s="2">
        <f t="shared" si="7"/>
        <v>1620.127336448598</v>
      </c>
      <c r="Q89" s="2">
        <f t="shared" si="7"/>
        <v>1620.127336448598</v>
      </c>
      <c r="R89" s="2">
        <f t="shared" si="7"/>
        <v>1620.127336448598</v>
      </c>
      <c r="S89" s="2">
        <f t="shared" si="7"/>
        <v>1620.127336448598</v>
      </c>
      <c r="T89" s="2">
        <f t="shared" si="7"/>
        <v>1620.127336448598</v>
      </c>
      <c r="U89" s="2">
        <f t="shared" si="7"/>
        <v>1620.127336448598</v>
      </c>
      <c r="V89" s="2">
        <f t="shared" si="7"/>
        <v>1620.127336448598</v>
      </c>
    </row>
    <row r="91" spans="2:5" ht="12.75">
      <c r="B91" s="198" t="s">
        <v>91</v>
      </c>
      <c r="C91" s="199"/>
      <c r="D91" s="199"/>
      <c r="E91" s="199"/>
    </row>
    <row r="92" spans="2:5" ht="12.75">
      <c r="B92" s="22" t="s">
        <v>38</v>
      </c>
      <c r="C92" s="22" t="s">
        <v>63</v>
      </c>
      <c r="D92" s="22" t="s">
        <v>40</v>
      </c>
      <c r="E92" s="22" t="s">
        <v>41</v>
      </c>
    </row>
    <row r="93" spans="1:5" ht="12.75">
      <c r="A93" s="13" t="s">
        <v>101</v>
      </c>
      <c r="B93" s="9">
        <f>B86*B76</f>
        <v>1213896222.5160265</v>
      </c>
      <c r="C93" s="9">
        <f>B87*C76</f>
        <v>2844902396.5502634</v>
      </c>
      <c r="D93" s="9">
        <f>B88*D76</f>
        <v>1479410584.5874527</v>
      </c>
      <c r="E93" s="9">
        <f>B89*E76</f>
        <v>375415463.3931544</v>
      </c>
    </row>
    <row r="94" spans="1:5" ht="12.75">
      <c r="A94" s="13"/>
      <c r="B94" s="9"/>
      <c r="C94" s="9"/>
      <c r="D94" s="9"/>
      <c r="E94" s="9"/>
    </row>
    <row r="95" spans="1:5" ht="12.75">
      <c r="A95" s="19" t="s">
        <v>100</v>
      </c>
      <c r="B95" s="155">
        <f>B77/B93</f>
        <v>0.1424940708445729</v>
      </c>
      <c r="C95" s="155">
        <f>C77/C93</f>
        <v>0.10955076300126491</v>
      </c>
      <c r="D95" s="155">
        <f>D77/D93</f>
        <v>0.0593399966256852</v>
      </c>
      <c r="E95" s="155">
        <f>E77/E93</f>
        <v>0.04010628969915341</v>
      </c>
    </row>
    <row r="97" spans="1:2" ht="12.75">
      <c r="A97" s="19" t="s">
        <v>106</v>
      </c>
      <c r="B97" s="9">
        <f>NPV(0.1,B13:F13)+NPV(0.1,B14:F14)+NPV(0.1,B33:F33)+NPV(0.1,B38:F38)</f>
        <v>101345031223.68355</v>
      </c>
    </row>
    <row r="98" spans="1:2" ht="12.75">
      <c r="A98" s="19" t="s">
        <v>172</v>
      </c>
      <c r="B98" s="9">
        <f>B97/485</f>
        <v>208958827.26532692</v>
      </c>
    </row>
    <row r="100" spans="2:5" ht="12.75">
      <c r="B100" s="198" t="s">
        <v>91</v>
      </c>
      <c r="C100" s="199"/>
      <c r="D100" s="199"/>
      <c r="E100" s="199"/>
    </row>
    <row r="101" spans="2:5" ht="12.75">
      <c r="B101" s="22" t="s">
        <v>38</v>
      </c>
      <c r="C101" s="22" t="s">
        <v>63</v>
      </c>
      <c r="D101" s="22" t="s">
        <v>40</v>
      </c>
      <c r="E101" s="22" t="s">
        <v>41</v>
      </c>
    </row>
    <row r="102" spans="1:5" ht="12.75">
      <c r="A102" s="19" t="s">
        <v>93</v>
      </c>
      <c r="B102" s="154">
        <f>B77/$B98</f>
        <v>0.8277851507537628</v>
      </c>
      <c r="C102" s="154">
        <f>C77/$B98</f>
        <v>1.4914958716267797</v>
      </c>
      <c r="D102" s="154">
        <f>D77/$B98</f>
        <v>0.42012208934324036</v>
      </c>
      <c r="E102" s="154">
        <f>E77/$B98</f>
        <v>0.07205496666225854</v>
      </c>
    </row>
  </sheetData>
  <sheetProtection/>
  <mergeCells count="6">
    <mergeCell ref="B47:E47"/>
    <mergeCell ref="B54:E54"/>
    <mergeCell ref="B74:E74"/>
    <mergeCell ref="B80:E80"/>
    <mergeCell ref="B91:E91"/>
    <mergeCell ref="B100:E10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48"/>
  <sheetViews>
    <sheetView zoomScalePageLayoutView="0" workbookViewId="0" topLeftCell="A16">
      <selection activeCell="B25" sqref="B25"/>
    </sheetView>
  </sheetViews>
  <sheetFormatPr defaultColWidth="11.421875" defaultRowHeight="12.75"/>
  <cols>
    <col min="1" max="1" width="17.28125" style="38" bestFit="1" customWidth="1"/>
    <col min="2" max="2" width="12.57421875" style="38" bestFit="1" customWidth="1"/>
    <col min="3" max="3" width="19.00390625" style="38" customWidth="1"/>
    <col min="4" max="4" width="17.140625" style="38" customWidth="1"/>
    <col min="5" max="5" width="15.28125" style="38" bestFit="1" customWidth="1"/>
    <col min="6" max="6" width="10.57421875" style="38" customWidth="1"/>
    <col min="7" max="7" width="10.28125" style="38" customWidth="1"/>
    <col min="8" max="8" width="9.421875" style="38" customWidth="1"/>
    <col min="9" max="9" width="10.8515625" style="38" customWidth="1"/>
    <col min="10" max="16384" width="11.421875" style="37" customWidth="1"/>
  </cols>
  <sheetData>
    <row r="1" spans="1:9" ht="15.75">
      <c r="A1" s="200" t="s">
        <v>173</v>
      </c>
      <c r="B1" s="200"/>
      <c r="C1" s="200"/>
      <c r="D1" s="200"/>
      <c r="E1" s="200"/>
      <c r="F1" s="200"/>
      <c r="G1" s="200"/>
      <c r="H1" s="200"/>
      <c r="I1" s="200"/>
    </row>
    <row r="3" spans="1:9" ht="12.75">
      <c r="A3" s="38" t="s">
        <v>174</v>
      </c>
      <c r="B3" s="38" t="s">
        <v>175</v>
      </c>
      <c r="C3" s="38" t="s">
        <v>176</v>
      </c>
      <c r="D3" s="38" t="s">
        <v>177</v>
      </c>
      <c r="E3" s="38" t="s">
        <v>178</v>
      </c>
      <c r="F3" s="38" t="s">
        <v>179</v>
      </c>
      <c r="G3" s="38" t="s">
        <v>180</v>
      </c>
      <c r="H3" s="38" t="s">
        <v>181</v>
      </c>
      <c r="I3" s="38" t="s">
        <v>182</v>
      </c>
    </row>
    <row r="4" spans="1:9" ht="12.75">
      <c r="A4" s="38" t="s">
        <v>183</v>
      </c>
      <c r="B4" s="38">
        <v>1431</v>
      </c>
      <c r="C4" s="38" t="s">
        <v>184</v>
      </c>
      <c r="D4" s="38" t="s">
        <v>185</v>
      </c>
      <c r="E4" s="38" t="s">
        <v>186</v>
      </c>
      <c r="F4" s="38">
        <v>14898</v>
      </c>
      <c r="G4" s="38">
        <v>14769</v>
      </c>
      <c r="H4" s="38">
        <v>2818</v>
      </c>
      <c r="I4" s="38">
        <v>29667</v>
      </c>
    </row>
    <row r="5" spans="1:9" ht="12.75">
      <c r="A5" s="41" t="s">
        <v>187</v>
      </c>
      <c r="B5" s="41">
        <v>686</v>
      </c>
      <c r="C5" s="41" t="s">
        <v>188</v>
      </c>
      <c r="D5" s="41" t="s">
        <v>189</v>
      </c>
      <c r="E5" s="41" t="s">
        <v>190</v>
      </c>
      <c r="F5" s="41">
        <v>7583</v>
      </c>
      <c r="G5" s="41">
        <v>7323</v>
      </c>
      <c r="H5" s="41">
        <v>1431</v>
      </c>
      <c r="I5" s="41">
        <v>14906</v>
      </c>
    </row>
    <row r="6" spans="1:9" ht="12.75">
      <c r="A6" s="38" t="s">
        <v>191</v>
      </c>
      <c r="B6" s="38">
        <v>2146</v>
      </c>
      <c r="C6" s="38" t="s">
        <v>192</v>
      </c>
      <c r="D6" s="38" t="s">
        <v>193</v>
      </c>
      <c r="E6" s="38" t="s">
        <v>190</v>
      </c>
      <c r="F6" s="38">
        <v>18466</v>
      </c>
      <c r="G6" s="38">
        <v>18498</v>
      </c>
      <c r="H6" s="38">
        <v>3292</v>
      </c>
      <c r="I6" s="38">
        <v>36964</v>
      </c>
    </row>
    <row r="7" spans="1:9" ht="12.75">
      <c r="A7" s="41" t="s">
        <v>194</v>
      </c>
      <c r="B7" s="41">
        <v>646</v>
      </c>
      <c r="C7" s="41" t="s">
        <v>188</v>
      </c>
      <c r="D7" s="41" t="s">
        <v>189</v>
      </c>
      <c r="E7" s="41" t="s">
        <v>190</v>
      </c>
      <c r="F7" s="41">
        <v>17162</v>
      </c>
      <c r="G7" s="41">
        <v>18905</v>
      </c>
      <c r="H7" s="41">
        <v>3805</v>
      </c>
      <c r="I7" s="41">
        <v>36067</v>
      </c>
    </row>
    <row r="8" spans="1:9" ht="12.75">
      <c r="A8" s="41" t="s">
        <v>195</v>
      </c>
      <c r="B8" s="41">
        <v>217</v>
      </c>
      <c r="C8" s="41" t="s">
        <v>196</v>
      </c>
      <c r="D8" s="41" t="s">
        <v>189</v>
      </c>
      <c r="E8" s="41" t="s">
        <v>190</v>
      </c>
      <c r="F8" s="41">
        <v>3816</v>
      </c>
      <c r="G8" s="41">
        <v>3841</v>
      </c>
      <c r="H8" s="41">
        <v>705</v>
      </c>
      <c r="I8" s="41">
        <v>7657</v>
      </c>
    </row>
    <row r="9" spans="1:9" ht="12.75">
      <c r="A9" s="41" t="s">
        <v>197</v>
      </c>
      <c r="B9" s="41">
        <v>438</v>
      </c>
      <c r="C9" s="41" t="s">
        <v>196</v>
      </c>
      <c r="D9" s="41" t="s">
        <v>189</v>
      </c>
      <c r="E9" s="41" t="s">
        <v>190</v>
      </c>
      <c r="F9" s="41">
        <v>8462</v>
      </c>
      <c r="G9" s="41">
        <v>8805</v>
      </c>
      <c r="H9" s="41">
        <v>1166</v>
      </c>
      <c r="I9" s="41">
        <v>17267</v>
      </c>
    </row>
    <row r="10" spans="1:9" ht="12.75">
      <c r="A10" s="41" t="s">
        <v>198</v>
      </c>
      <c r="B10" s="41">
        <v>305</v>
      </c>
      <c r="C10" s="41" t="s">
        <v>196</v>
      </c>
      <c r="D10" s="41" t="s">
        <v>189</v>
      </c>
      <c r="E10" s="41" t="s">
        <v>190</v>
      </c>
      <c r="F10" s="41">
        <v>7468</v>
      </c>
      <c r="G10" s="41">
        <v>7166</v>
      </c>
      <c r="H10" s="41">
        <v>1357</v>
      </c>
      <c r="I10" s="41">
        <v>14634</v>
      </c>
    </row>
    <row r="11" spans="1:9" ht="12.75">
      <c r="A11" s="41" t="s">
        <v>199</v>
      </c>
      <c r="B11" s="41">
        <v>331</v>
      </c>
      <c r="C11" s="41" t="s">
        <v>188</v>
      </c>
      <c r="D11" s="41" t="s">
        <v>189</v>
      </c>
      <c r="E11" s="41" t="s">
        <v>190</v>
      </c>
      <c r="F11" s="41">
        <v>4053</v>
      </c>
      <c r="G11" s="41">
        <v>3804</v>
      </c>
      <c r="H11" s="41">
        <v>849</v>
      </c>
      <c r="I11" s="41">
        <v>7857</v>
      </c>
    </row>
    <row r="12" spans="1:9" ht="12.75">
      <c r="A12" s="38" t="s">
        <v>200</v>
      </c>
      <c r="B12" s="38">
        <v>564</v>
      </c>
      <c r="C12" s="38" t="s">
        <v>201</v>
      </c>
      <c r="D12" s="38" t="s">
        <v>193</v>
      </c>
      <c r="E12" s="38" t="s">
        <v>190</v>
      </c>
      <c r="F12" s="38">
        <v>7980</v>
      </c>
      <c r="G12" s="38">
        <v>8345</v>
      </c>
      <c r="H12" s="38">
        <v>1582</v>
      </c>
      <c r="I12" s="38">
        <v>16325</v>
      </c>
    </row>
    <row r="13" spans="1:9" ht="12.75">
      <c r="A13" s="38" t="s">
        <v>202</v>
      </c>
      <c r="B13" s="38">
        <v>769</v>
      </c>
      <c r="C13" s="38" t="s">
        <v>203</v>
      </c>
      <c r="D13" s="38" t="s">
        <v>193</v>
      </c>
      <c r="E13" s="38" t="s">
        <v>190</v>
      </c>
      <c r="F13" s="38">
        <v>12458</v>
      </c>
      <c r="G13" s="38">
        <v>12246</v>
      </c>
      <c r="H13" s="38">
        <v>2347</v>
      </c>
      <c r="I13" s="38">
        <v>24704</v>
      </c>
    </row>
    <row r="14" spans="1:9" ht="12.75">
      <c r="A14" s="38" t="s">
        <v>204</v>
      </c>
      <c r="B14" s="38">
        <v>520</v>
      </c>
      <c r="C14" s="38" t="s">
        <v>203</v>
      </c>
      <c r="D14" s="38" t="s">
        <v>193</v>
      </c>
      <c r="E14" s="38" t="s">
        <v>190</v>
      </c>
      <c r="F14" s="38">
        <v>8044</v>
      </c>
      <c r="G14" s="38">
        <v>7926</v>
      </c>
      <c r="H14" s="38">
        <v>1370</v>
      </c>
      <c r="I14" s="38">
        <v>15971</v>
      </c>
    </row>
    <row r="15" spans="1:9" ht="12.75">
      <c r="A15" s="38" t="s">
        <v>205</v>
      </c>
      <c r="B15" s="38">
        <v>457</v>
      </c>
      <c r="C15" s="38" t="s">
        <v>206</v>
      </c>
      <c r="D15" s="38" t="s">
        <v>207</v>
      </c>
      <c r="E15" s="38" t="s">
        <v>190</v>
      </c>
      <c r="F15" s="38">
        <v>5109</v>
      </c>
      <c r="G15" s="38">
        <v>5332</v>
      </c>
      <c r="H15" s="38">
        <v>978</v>
      </c>
      <c r="I15" s="38">
        <v>10441</v>
      </c>
    </row>
    <row r="16" spans="1:9" ht="12.75">
      <c r="A16" s="41" t="s">
        <v>208</v>
      </c>
      <c r="B16" s="41">
        <v>422</v>
      </c>
      <c r="C16" s="41" t="s">
        <v>196</v>
      </c>
      <c r="D16" s="41" t="s">
        <v>189</v>
      </c>
      <c r="E16" s="41" t="s">
        <v>190</v>
      </c>
      <c r="F16" s="41">
        <v>14918</v>
      </c>
      <c r="G16" s="41">
        <v>14016</v>
      </c>
      <c r="H16" s="41">
        <v>3178</v>
      </c>
      <c r="I16" s="41">
        <v>28934</v>
      </c>
    </row>
    <row r="17" spans="1:9" ht="12.75">
      <c r="A17" s="38" t="s">
        <v>209</v>
      </c>
      <c r="B17" s="38">
        <v>519</v>
      </c>
      <c r="C17" s="38" t="s">
        <v>203</v>
      </c>
      <c r="D17" s="38" t="s">
        <v>193</v>
      </c>
      <c r="E17" s="38" t="s">
        <v>190</v>
      </c>
      <c r="F17" s="38">
        <v>6160</v>
      </c>
      <c r="G17" s="38">
        <v>6472</v>
      </c>
      <c r="H17" s="38">
        <v>1147</v>
      </c>
      <c r="I17" s="38">
        <v>12632</v>
      </c>
    </row>
    <row r="18" spans="1:9" ht="12.75">
      <c r="A18" s="38" t="s">
        <v>210</v>
      </c>
      <c r="B18" s="38">
        <v>540</v>
      </c>
      <c r="C18" s="38" t="s">
        <v>206</v>
      </c>
      <c r="D18" s="38" t="s">
        <v>207</v>
      </c>
      <c r="E18" s="38" t="s">
        <v>190</v>
      </c>
      <c r="F18" s="38">
        <v>9085</v>
      </c>
      <c r="G18" s="38">
        <v>9158</v>
      </c>
      <c r="H18" s="38">
        <v>1715</v>
      </c>
      <c r="I18" s="38">
        <v>18243</v>
      </c>
    </row>
    <row r="19" spans="1:9" ht="12.75">
      <c r="A19" s="38" t="s">
        <v>211</v>
      </c>
      <c r="B19" s="38">
        <v>180</v>
      </c>
      <c r="C19" s="38" t="s">
        <v>201</v>
      </c>
      <c r="D19" s="38" t="s">
        <v>193</v>
      </c>
      <c r="E19" s="38" t="s">
        <v>190</v>
      </c>
      <c r="F19" s="38">
        <v>5656</v>
      </c>
      <c r="G19" s="38">
        <v>5794</v>
      </c>
      <c r="H19" s="38">
        <v>1084</v>
      </c>
      <c r="I19" s="38">
        <v>11450</v>
      </c>
    </row>
    <row r="20" spans="1:9" ht="12.75">
      <c r="A20" s="38" t="s">
        <v>212</v>
      </c>
      <c r="B20" s="38">
        <v>266</v>
      </c>
      <c r="C20" s="38" t="s">
        <v>213</v>
      </c>
      <c r="D20" s="38" t="s">
        <v>214</v>
      </c>
      <c r="E20" s="38" t="s">
        <v>215</v>
      </c>
      <c r="F20" s="38">
        <v>4926</v>
      </c>
      <c r="G20" s="38">
        <v>4968</v>
      </c>
      <c r="H20" s="38">
        <v>978</v>
      </c>
      <c r="I20" s="38">
        <v>9894</v>
      </c>
    </row>
    <row r="21" spans="1:9" ht="12.75">
      <c r="A21" s="38" t="s">
        <v>216</v>
      </c>
      <c r="B21" s="38">
        <v>252</v>
      </c>
      <c r="C21" s="38" t="s">
        <v>217</v>
      </c>
      <c r="D21" s="38" t="s">
        <v>207</v>
      </c>
      <c r="E21" s="38" t="s">
        <v>190</v>
      </c>
      <c r="F21" s="38">
        <v>4234</v>
      </c>
      <c r="G21" s="38">
        <v>4578</v>
      </c>
      <c r="H21" s="38">
        <v>755</v>
      </c>
      <c r="I21" s="38">
        <v>8812</v>
      </c>
    </row>
    <row r="22" spans="1:9" ht="12.75">
      <c r="A22" s="41" t="s">
        <v>218</v>
      </c>
      <c r="B22" s="41">
        <v>454</v>
      </c>
      <c r="C22" s="41" t="s">
        <v>219</v>
      </c>
      <c r="D22" s="41" t="s">
        <v>189</v>
      </c>
      <c r="E22" s="41" t="s">
        <v>190</v>
      </c>
      <c r="F22" s="41">
        <v>7961</v>
      </c>
      <c r="G22" s="41">
        <v>8056</v>
      </c>
      <c r="H22" s="41">
        <v>1650</v>
      </c>
      <c r="I22" s="41">
        <v>16017</v>
      </c>
    </row>
    <row r="23" spans="1:9" ht="12.75">
      <c r="A23" s="38" t="s">
        <v>220</v>
      </c>
      <c r="B23" s="38">
        <v>223</v>
      </c>
      <c r="C23" s="38" t="s">
        <v>217</v>
      </c>
      <c r="D23" s="38" t="s">
        <v>207</v>
      </c>
      <c r="E23" s="38" t="s">
        <v>190</v>
      </c>
      <c r="F23" s="38">
        <v>5087</v>
      </c>
      <c r="G23" s="38">
        <v>5510</v>
      </c>
      <c r="H23" s="38">
        <v>852</v>
      </c>
      <c r="I23" s="38">
        <v>10597</v>
      </c>
    </row>
    <row r="24" spans="1:9" ht="12.75">
      <c r="A24" s="38" t="s">
        <v>221</v>
      </c>
      <c r="B24" s="38">
        <v>223</v>
      </c>
      <c r="C24" s="38" t="s">
        <v>201</v>
      </c>
      <c r="D24" s="38" t="s">
        <v>193</v>
      </c>
      <c r="E24" s="38" t="s">
        <v>190</v>
      </c>
      <c r="F24" s="38">
        <v>6607</v>
      </c>
      <c r="G24" s="38">
        <v>7210</v>
      </c>
      <c r="H24" s="38">
        <v>1247</v>
      </c>
      <c r="I24" s="38">
        <v>13817</v>
      </c>
    </row>
    <row r="25" spans="1:9" ht="12.75">
      <c r="A25" s="38" t="s">
        <v>222</v>
      </c>
      <c r="B25" s="38">
        <v>253</v>
      </c>
      <c r="C25" s="38" t="s">
        <v>203</v>
      </c>
      <c r="D25" s="38" t="s">
        <v>193</v>
      </c>
      <c r="E25" s="38" t="s">
        <v>190</v>
      </c>
      <c r="F25" s="38">
        <v>7389</v>
      </c>
      <c r="G25" s="38">
        <v>7678</v>
      </c>
      <c r="H25" s="38">
        <v>1248</v>
      </c>
      <c r="I25" s="38">
        <v>15067</v>
      </c>
    </row>
    <row r="26" spans="1:9" ht="12.75">
      <c r="A26" s="38" t="s">
        <v>223</v>
      </c>
      <c r="B26" s="38">
        <v>170</v>
      </c>
      <c r="C26" s="38" t="s">
        <v>224</v>
      </c>
      <c r="D26" s="38" t="s">
        <v>207</v>
      </c>
      <c r="E26" s="38" t="s">
        <v>190</v>
      </c>
      <c r="F26" s="38">
        <v>4931</v>
      </c>
      <c r="G26" s="38">
        <v>5104</v>
      </c>
      <c r="H26" s="38">
        <v>808</v>
      </c>
      <c r="I26" s="38">
        <v>10035</v>
      </c>
    </row>
    <row r="27" spans="1:9" ht="12.75">
      <c r="A27" s="38" t="s">
        <v>225</v>
      </c>
      <c r="B27" s="38">
        <v>381</v>
      </c>
      <c r="C27" s="38" t="s">
        <v>203</v>
      </c>
      <c r="D27" s="38" t="s">
        <v>193</v>
      </c>
      <c r="E27" s="38" t="s">
        <v>190</v>
      </c>
      <c r="F27" s="38">
        <v>5105</v>
      </c>
      <c r="G27" s="38">
        <v>5483</v>
      </c>
      <c r="H27" s="38">
        <v>965</v>
      </c>
      <c r="I27" s="38">
        <v>10588</v>
      </c>
    </row>
    <row r="28" spans="1:9" ht="12.75">
      <c r="A28" s="38" t="s">
        <v>226</v>
      </c>
      <c r="B28" s="38">
        <v>163</v>
      </c>
      <c r="C28" s="38" t="s">
        <v>201</v>
      </c>
      <c r="D28" s="38" t="s">
        <v>193</v>
      </c>
      <c r="E28" s="38" t="s">
        <v>190</v>
      </c>
      <c r="F28" s="38">
        <v>4709</v>
      </c>
      <c r="G28" s="38">
        <v>5021</v>
      </c>
      <c r="H28" s="38">
        <v>820</v>
      </c>
      <c r="I28" s="38">
        <v>9730</v>
      </c>
    </row>
    <row r="29" spans="1:9" ht="12.75">
      <c r="A29" s="38" t="s">
        <v>227</v>
      </c>
      <c r="B29" s="38">
        <v>259</v>
      </c>
      <c r="C29" s="38" t="s">
        <v>213</v>
      </c>
      <c r="D29" s="38" t="s">
        <v>214</v>
      </c>
      <c r="E29" s="38" t="s">
        <v>215</v>
      </c>
      <c r="F29" s="38">
        <v>2948</v>
      </c>
      <c r="G29" s="38">
        <v>3128</v>
      </c>
      <c r="H29" s="38">
        <v>872</v>
      </c>
      <c r="I29" s="38">
        <v>6076</v>
      </c>
    </row>
    <row r="30" spans="1:9" ht="12.75">
      <c r="A30" s="38" t="s">
        <v>228</v>
      </c>
      <c r="B30" s="38">
        <v>327</v>
      </c>
      <c r="C30" s="38" t="s">
        <v>206</v>
      </c>
      <c r="D30" s="38" t="s">
        <v>207</v>
      </c>
      <c r="E30" s="38" t="s">
        <v>190</v>
      </c>
      <c r="F30" s="38">
        <v>7262</v>
      </c>
      <c r="G30" s="38">
        <v>7920</v>
      </c>
      <c r="H30" s="38">
        <v>1230</v>
      </c>
      <c r="I30" s="38">
        <v>15182</v>
      </c>
    </row>
    <row r="31" spans="1:9" ht="12.75">
      <c r="A31" s="38" t="s">
        <v>229</v>
      </c>
      <c r="B31" s="38">
        <v>347</v>
      </c>
      <c r="C31" s="38" t="s">
        <v>206</v>
      </c>
      <c r="D31" s="38" t="s">
        <v>207</v>
      </c>
      <c r="E31" s="38" t="s">
        <v>190</v>
      </c>
      <c r="F31" s="38">
        <v>7300</v>
      </c>
      <c r="G31" s="38">
        <v>7636</v>
      </c>
      <c r="H31" s="38">
        <v>1282</v>
      </c>
      <c r="I31" s="38">
        <v>14936</v>
      </c>
    </row>
    <row r="32" spans="1:9" ht="12.75">
      <c r="A32" s="38" t="s">
        <v>230</v>
      </c>
      <c r="B32" s="38">
        <v>236</v>
      </c>
      <c r="C32" s="38" t="s">
        <v>213</v>
      </c>
      <c r="D32" s="38" t="s">
        <v>214</v>
      </c>
      <c r="E32" s="38" t="s">
        <v>215</v>
      </c>
      <c r="F32" s="38">
        <v>5530</v>
      </c>
      <c r="G32" s="38">
        <v>5447</v>
      </c>
      <c r="H32" s="38">
        <v>1109</v>
      </c>
      <c r="I32" s="38">
        <v>10977</v>
      </c>
    </row>
    <row r="33" spans="1:9" ht="12.75">
      <c r="A33" s="38" t="s">
        <v>231</v>
      </c>
      <c r="B33" s="38">
        <v>222</v>
      </c>
      <c r="C33" s="38" t="s">
        <v>217</v>
      </c>
      <c r="D33" s="38" t="s">
        <v>207</v>
      </c>
      <c r="E33" s="38" t="s">
        <v>190</v>
      </c>
      <c r="F33" s="38">
        <v>4007</v>
      </c>
      <c r="G33" s="38">
        <v>4469</v>
      </c>
      <c r="H33" s="38">
        <v>719</v>
      </c>
      <c r="I33" s="38">
        <v>8476</v>
      </c>
    </row>
    <row r="34" spans="1:9" ht="12.75">
      <c r="A34" s="38" t="s">
        <v>232</v>
      </c>
      <c r="B34" s="38">
        <v>188</v>
      </c>
      <c r="C34" s="38" t="s">
        <v>217</v>
      </c>
      <c r="D34" s="38" t="s">
        <v>207</v>
      </c>
      <c r="E34" s="38" t="s">
        <v>190</v>
      </c>
      <c r="F34" s="38">
        <v>8217</v>
      </c>
      <c r="G34" s="38">
        <v>8462</v>
      </c>
      <c r="H34" s="38">
        <v>1470</v>
      </c>
      <c r="I34" s="38">
        <v>16679</v>
      </c>
    </row>
    <row r="35" spans="1:9" ht="12.75">
      <c r="A35" s="38" t="s">
        <v>233</v>
      </c>
      <c r="B35" s="38">
        <v>207</v>
      </c>
      <c r="C35" s="38" t="s">
        <v>234</v>
      </c>
      <c r="D35" s="38" t="s">
        <v>235</v>
      </c>
      <c r="E35" s="38" t="s">
        <v>215</v>
      </c>
      <c r="F35" s="38">
        <v>6673</v>
      </c>
      <c r="G35" s="38">
        <v>6441</v>
      </c>
      <c r="H35" s="38">
        <v>1318</v>
      </c>
      <c r="I35" s="38">
        <v>13114</v>
      </c>
    </row>
    <row r="36" spans="1:9" ht="12.75">
      <c r="A36" s="38" t="s">
        <v>236</v>
      </c>
      <c r="B36" s="38">
        <v>120</v>
      </c>
      <c r="C36" s="38" t="s">
        <v>217</v>
      </c>
      <c r="D36" s="38" t="s">
        <v>207</v>
      </c>
      <c r="E36" s="38" t="s">
        <v>190</v>
      </c>
      <c r="F36" s="38">
        <v>5969</v>
      </c>
      <c r="G36" s="38">
        <v>6329</v>
      </c>
      <c r="H36" s="38">
        <v>1016</v>
      </c>
      <c r="I36" s="38">
        <v>12298</v>
      </c>
    </row>
    <row r="37" spans="1:9" ht="12.75">
      <c r="A37" s="38" t="s">
        <v>237</v>
      </c>
      <c r="B37" s="38">
        <v>231</v>
      </c>
      <c r="C37" s="38" t="s">
        <v>238</v>
      </c>
      <c r="D37" s="38" t="s">
        <v>207</v>
      </c>
      <c r="E37" s="38" t="s">
        <v>190</v>
      </c>
      <c r="F37" s="38">
        <v>5452</v>
      </c>
      <c r="G37" s="38">
        <v>5793</v>
      </c>
      <c r="H37" s="38">
        <v>994</v>
      </c>
      <c r="I37" s="38">
        <v>11245</v>
      </c>
    </row>
    <row r="38" spans="1:9" ht="12.75">
      <c r="A38" s="38" t="s">
        <v>239</v>
      </c>
      <c r="B38" s="38">
        <v>201</v>
      </c>
      <c r="C38" s="38" t="s">
        <v>240</v>
      </c>
      <c r="D38" s="38" t="s">
        <v>235</v>
      </c>
      <c r="E38" s="38" t="s">
        <v>215</v>
      </c>
      <c r="F38" s="38">
        <v>2203</v>
      </c>
      <c r="G38" s="38">
        <v>2171</v>
      </c>
      <c r="H38" s="38">
        <v>971</v>
      </c>
      <c r="I38" s="38">
        <v>4374</v>
      </c>
    </row>
    <row r="39" spans="1:9" ht="12.75">
      <c r="A39" s="38" t="s">
        <v>241</v>
      </c>
      <c r="B39" s="38">
        <v>204</v>
      </c>
      <c r="C39" s="38" t="s">
        <v>234</v>
      </c>
      <c r="D39" s="38" t="s">
        <v>235</v>
      </c>
      <c r="E39" s="38" t="s">
        <v>215</v>
      </c>
      <c r="F39" s="38">
        <v>3619</v>
      </c>
      <c r="G39" s="38">
        <v>3866</v>
      </c>
      <c r="H39" s="38">
        <v>945</v>
      </c>
      <c r="I39" s="38">
        <v>7485</v>
      </c>
    </row>
    <row r="40" spans="1:9" ht="12.75">
      <c r="A40" s="38" t="s">
        <v>242</v>
      </c>
      <c r="B40" s="38">
        <v>248</v>
      </c>
      <c r="C40" s="38" t="s">
        <v>238</v>
      </c>
      <c r="D40" s="38" t="s">
        <v>207</v>
      </c>
      <c r="E40" s="38" t="s">
        <v>190</v>
      </c>
      <c r="F40" s="38">
        <v>9931</v>
      </c>
      <c r="G40" s="38">
        <v>10353</v>
      </c>
      <c r="H40" s="38">
        <v>1880</v>
      </c>
      <c r="I40" s="38">
        <v>20284</v>
      </c>
    </row>
    <row r="41" spans="1:9" ht="12.75">
      <c r="A41" s="38" t="s">
        <v>243</v>
      </c>
      <c r="B41" s="38">
        <v>244</v>
      </c>
      <c r="C41" s="38" t="s">
        <v>238</v>
      </c>
      <c r="D41" s="38" t="s">
        <v>207</v>
      </c>
      <c r="E41" s="38" t="s">
        <v>190</v>
      </c>
      <c r="F41" s="38">
        <v>11385</v>
      </c>
      <c r="G41" s="38">
        <v>11962</v>
      </c>
      <c r="H41" s="38">
        <v>2052</v>
      </c>
      <c r="I41" s="38">
        <v>23347</v>
      </c>
    </row>
    <row r="42" spans="1:9" ht="12.75">
      <c r="A42" s="38" t="s">
        <v>244</v>
      </c>
      <c r="B42" s="38">
        <v>285</v>
      </c>
      <c r="C42" s="38" t="s">
        <v>234</v>
      </c>
      <c r="D42" s="38" t="s">
        <v>235</v>
      </c>
      <c r="E42" s="38" t="s">
        <v>215</v>
      </c>
      <c r="F42" s="38">
        <v>1001</v>
      </c>
      <c r="G42" s="38">
        <v>1032</v>
      </c>
      <c r="H42" s="38">
        <v>281</v>
      </c>
      <c r="I42" s="38">
        <v>2033</v>
      </c>
    </row>
    <row r="43" spans="1:9" ht="12.75">
      <c r="A43" s="38" t="s">
        <v>245</v>
      </c>
      <c r="B43" s="38">
        <v>239</v>
      </c>
      <c r="C43" s="38" t="s">
        <v>240</v>
      </c>
      <c r="D43" s="38" t="s">
        <v>235</v>
      </c>
      <c r="E43" s="38" t="s">
        <v>215</v>
      </c>
      <c r="F43" s="38">
        <v>1549</v>
      </c>
      <c r="G43" s="38">
        <v>1708</v>
      </c>
      <c r="H43" s="38">
        <v>720</v>
      </c>
      <c r="I43" s="38">
        <v>3257</v>
      </c>
    </row>
    <row r="44" spans="6:9" ht="12.75">
      <c r="F44" s="39">
        <f>SUM(F5:F43)</f>
        <v>270415</v>
      </c>
      <c r="G44" s="39">
        <f>SUM(G5:G43)</f>
        <v>277956</v>
      </c>
      <c r="H44" s="39">
        <f>SUM(H5:H43)</f>
        <v>52188</v>
      </c>
      <c r="I44" s="39">
        <f>SUM(I5:I43)</f>
        <v>548372</v>
      </c>
    </row>
    <row r="45" ht="12.75">
      <c r="G45" s="40">
        <f>G44/(F44+G44)</f>
        <v>0.5068758194725833</v>
      </c>
    </row>
    <row r="46" spans="5:9" ht="12.75">
      <c r="E46" s="43" t="s">
        <v>248</v>
      </c>
      <c r="F46" s="42">
        <f>F6+SUM(F12:F15)+SUM(F17:F21)+SUM(F23:F43)</f>
        <v>198992</v>
      </c>
      <c r="G46" s="42">
        <f>G6+SUM(G12:G15)+SUM(G17:G21)+SUM(G23:G43)</f>
        <v>206040</v>
      </c>
      <c r="H46" s="42">
        <f>H6+SUM(H12:H15)+SUM(H17:H21)+SUM(H23:H43)</f>
        <v>38047</v>
      </c>
      <c r="I46" s="42">
        <f>I6+SUM(I12:I15)+SUM(I17:I21)+SUM(I23:I43)</f>
        <v>405033</v>
      </c>
    </row>
    <row r="47" spans="5:9" ht="12.75">
      <c r="E47" s="38" t="s">
        <v>374</v>
      </c>
      <c r="F47" s="38">
        <f>F44-F5-F7-F11-F22</f>
        <v>233656</v>
      </c>
      <c r="G47" s="38">
        <f>G44-G5-G7-G11-G22</f>
        <v>239868</v>
      </c>
      <c r="H47" s="38">
        <f>H44-H5-H7-H11-H22</f>
        <v>44453</v>
      </c>
      <c r="I47" s="38">
        <f>I44-I5-I7-I11-I22</f>
        <v>473525</v>
      </c>
    </row>
    <row r="48" ht="12.75">
      <c r="G48" s="38" t="s">
        <v>85</v>
      </c>
    </row>
  </sheetData>
  <sheetProtection/>
  <mergeCells count="1">
    <mergeCell ref="A1:I1"/>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4:D37"/>
  <sheetViews>
    <sheetView showGridLines="0" tabSelected="1" zoomScale="80" zoomScaleNormal="80" zoomScalePageLayoutView="0" workbookViewId="0" topLeftCell="A1">
      <selection activeCell="A1" sqref="A1"/>
    </sheetView>
  </sheetViews>
  <sheetFormatPr defaultColWidth="9.140625" defaultRowHeight="12.75"/>
  <cols>
    <col min="2" max="2" width="4.8515625" style="0" customWidth="1"/>
    <col min="3" max="3" width="117.421875" style="0" customWidth="1"/>
  </cols>
  <sheetData>
    <row r="4" spans="2:3" ht="20.25">
      <c r="B4" s="167" t="s">
        <v>281</v>
      </c>
      <c r="C4" s="167"/>
    </row>
    <row r="5" spans="2:3" ht="12.75" customHeight="1">
      <c r="B5" s="168" t="s">
        <v>298</v>
      </c>
      <c r="C5" s="168"/>
    </row>
    <row r="6" spans="2:4" ht="12.75" customHeight="1">
      <c r="B6" s="168"/>
      <c r="C6" s="168"/>
      <c r="D6" s="124">
        <f>IF('ERR and Sensitivity Analysis'!J18="Y",IF('ERR and Sensitivity Analysis'!J19="Y","","Note: Current calculations are based on user input and are not the original MCC estimates"),"Note: Current calculations are based on user input and are not the original MCC estimates")</f>
      </c>
    </row>
    <row r="7" spans="2:3" ht="12.75" customHeight="1">
      <c r="B7" s="168"/>
      <c r="C7" s="168"/>
    </row>
    <row r="8" spans="2:3" ht="12.75" customHeight="1">
      <c r="B8" s="168"/>
      <c r="C8" s="168"/>
    </row>
    <row r="9" spans="2:3" ht="12.75" customHeight="1">
      <c r="B9" s="168"/>
      <c r="C9" s="168"/>
    </row>
    <row r="11" spans="2:3" ht="21" customHeight="1">
      <c r="B11" s="172" t="s">
        <v>325</v>
      </c>
      <c r="C11" s="172"/>
    </row>
    <row r="12" s="63" customFormat="1" ht="18">
      <c r="C12" s="64"/>
    </row>
    <row r="13" spans="2:3" s="63" customFormat="1" ht="18">
      <c r="B13" s="170" t="s">
        <v>303</v>
      </c>
      <c r="C13" s="170"/>
    </row>
    <row r="14" spans="2:3" s="63" customFormat="1" ht="10.5" customHeight="1">
      <c r="B14" s="13"/>
      <c r="C14" s="92"/>
    </row>
    <row r="15" spans="2:3" s="63" customFormat="1" ht="29.25" customHeight="1">
      <c r="B15" s="171" t="s">
        <v>310</v>
      </c>
      <c r="C15" s="171"/>
    </row>
    <row r="16" spans="2:3" s="63" customFormat="1" ht="18">
      <c r="B16" s="13"/>
      <c r="C16" s="13"/>
    </row>
    <row r="17" spans="2:3" s="63" customFormat="1" ht="18">
      <c r="B17" s="170" t="s">
        <v>304</v>
      </c>
      <c r="C17" s="170"/>
    </row>
    <row r="18" spans="2:3" s="63" customFormat="1" ht="18">
      <c r="B18" s="174" t="s">
        <v>305</v>
      </c>
      <c r="C18" s="174"/>
    </row>
    <row r="19" spans="2:3" s="63" customFormat="1" ht="12" customHeight="1">
      <c r="B19" s="65"/>
      <c r="C19" s="65"/>
    </row>
    <row r="20" spans="2:3" s="63" customFormat="1" ht="42" customHeight="1">
      <c r="B20" s="93" t="s">
        <v>306</v>
      </c>
      <c r="C20" s="94" t="s">
        <v>311</v>
      </c>
    </row>
    <row r="21" spans="2:3" s="63" customFormat="1" ht="18">
      <c r="B21" s="93" t="s">
        <v>307</v>
      </c>
      <c r="C21" s="94" t="s">
        <v>308</v>
      </c>
    </row>
    <row r="22" spans="2:3" s="63" customFormat="1" ht="18">
      <c r="B22" s="93"/>
      <c r="C22" s="92"/>
    </row>
    <row r="23" spans="2:3" s="63" customFormat="1" ht="18">
      <c r="B23" s="175" t="s">
        <v>309</v>
      </c>
      <c r="C23" s="175"/>
    </row>
    <row r="24" spans="2:3" s="63" customFormat="1" ht="112.5" customHeight="1">
      <c r="B24" s="176" t="s">
        <v>321</v>
      </c>
      <c r="C24" s="176"/>
    </row>
    <row r="25" spans="2:3" s="63" customFormat="1" ht="44.25" customHeight="1">
      <c r="B25" s="176" t="s">
        <v>322</v>
      </c>
      <c r="C25" s="176"/>
    </row>
    <row r="26" spans="2:3" s="13" customFormat="1" ht="2.25" customHeight="1">
      <c r="B26" s="65"/>
      <c r="C26" s="65"/>
    </row>
    <row r="27" spans="2:3" s="63" customFormat="1" ht="166.5" customHeight="1">
      <c r="B27" s="176" t="s">
        <v>330</v>
      </c>
      <c r="C27" s="176"/>
    </row>
    <row r="28" spans="2:3" s="63" customFormat="1" ht="11.25" customHeight="1">
      <c r="B28" s="92"/>
      <c r="C28" s="92"/>
    </row>
    <row r="29" spans="2:3" s="63" customFormat="1" ht="58.5" customHeight="1">
      <c r="B29" s="177" t="s">
        <v>323</v>
      </c>
      <c r="C29" s="177"/>
    </row>
    <row r="30" spans="2:3" s="63" customFormat="1" ht="6" customHeight="1">
      <c r="B30" s="173"/>
      <c r="C30" s="173"/>
    </row>
    <row r="31" spans="2:3" s="63" customFormat="1" ht="39.75" customHeight="1">
      <c r="B31" s="169" t="s">
        <v>326</v>
      </c>
      <c r="C31" s="169"/>
    </row>
    <row r="32" spans="2:3" s="63" customFormat="1" ht="18">
      <c r="B32" s="95"/>
      <c r="C32" s="95"/>
    </row>
    <row r="33" spans="2:3" ht="12.75" customHeight="1">
      <c r="B33" s="95"/>
      <c r="C33" s="95"/>
    </row>
    <row r="34" spans="2:3" ht="12.75" customHeight="1">
      <c r="B34" s="95"/>
      <c r="C34" s="95"/>
    </row>
    <row r="35" spans="2:3" ht="12.75" customHeight="1">
      <c r="B35" s="95"/>
      <c r="C35" s="95"/>
    </row>
    <row r="36" spans="2:3" ht="39" customHeight="1">
      <c r="B36" s="95"/>
      <c r="C36" s="95"/>
    </row>
    <row r="37" spans="2:3" ht="25.5" customHeight="1">
      <c r="B37" s="13"/>
      <c r="C37" s="13"/>
    </row>
  </sheetData>
  <sheetProtection/>
  <mergeCells count="14">
    <mergeCell ref="B24:C24"/>
    <mergeCell ref="B25:C25"/>
    <mergeCell ref="B27:C27"/>
    <mergeCell ref="B29:C29"/>
    <mergeCell ref="B4:C4"/>
    <mergeCell ref="B5:C9"/>
    <mergeCell ref="B31:C31"/>
    <mergeCell ref="B13:C13"/>
    <mergeCell ref="B15:C15"/>
    <mergeCell ref="B17:C17"/>
    <mergeCell ref="B11:C11"/>
    <mergeCell ref="B30:C30"/>
    <mergeCell ref="B18:C18"/>
    <mergeCell ref="B23:C23"/>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H25"/>
  <sheetViews>
    <sheetView zoomScalePageLayoutView="0" workbookViewId="0" topLeftCell="A1">
      <selection activeCell="B25" sqref="B25"/>
    </sheetView>
  </sheetViews>
  <sheetFormatPr defaultColWidth="9.140625" defaultRowHeight="12.75"/>
  <cols>
    <col min="1" max="1" width="33.7109375" style="0" customWidth="1"/>
    <col min="2" max="2" width="1.421875" style="0" customWidth="1"/>
    <col min="5" max="5" width="9.28125" style="0" bestFit="1" customWidth="1"/>
  </cols>
  <sheetData>
    <row r="1" ht="12.75">
      <c r="A1" t="s">
        <v>0</v>
      </c>
    </row>
    <row r="2" ht="12.75">
      <c r="A2" s="13" t="s">
        <v>2</v>
      </c>
    </row>
    <row r="3" ht="12.75">
      <c r="A3" s="13" t="s">
        <v>117</v>
      </c>
    </row>
    <row r="4" ht="12.75">
      <c r="A4" s="13"/>
    </row>
    <row r="5" spans="4:5" ht="12.75">
      <c r="D5" t="s">
        <v>46</v>
      </c>
      <c r="E5" t="s">
        <v>47</v>
      </c>
    </row>
    <row r="7" spans="1:7" ht="12.75">
      <c r="A7" s="13" t="s">
        <v>118</v>
      </c>
      <c r="D7" s="22" t="s">
        <v>38</v>
      </c>
      <c r="E7" s="22" t="s">
        <v>39</v>
      </c>
      <c r="F7" s="25" t="s">
        <v>40</v>
      </c>
      <c r="G7" s="22" t="s">
        <v>41</v>
      </c>
    </row>
    <row r="8" spans="1:8" ht="12.75">
      <c r="A8" s="13" t="s">
        <v>49</v>
      </c>
      <c r="D8" s="162">
        <v>0.335</v>
      </c>
      <c r="E8" s="162">
        <f>0.6036-PovDist!D8</f>
        <v>0.2686</v>
      </c>
      <c r="F8" s="3">
        <f>0.893-(D8+E8)</f>
        <v>0.2894</v>
      </c>
      <c r="G8" s="3">
        <f>1-SUM(D8:F8)</f>
        <v>0.10699999999999998</v>
      </c>
      <c r="H8" s="13" t="s">
        <v>119</v>
      </c>
    </row>
    <row r="10" spans="1:8" ht="12.75">
      <c r="A10" s="13" t="s">
        <v>120</v>
      </c>
      <c r="D10" s="3">
        <f>D8*C14</f>
        <v>0.46161417322834647</v>
      </c>
      <c r="E10" s="3">
        <f>E8*C14</f>
        <v>0.3701181102362205</v>
      </c>
      <c r="F10" s="3">
        <v>0.17</v>
      </c>
      <c r="G10" s="3">
        <f>1-SUM(D10:F10)</f>
        <v>-0.0017322834645669971</v>
      </c>
      <c r="H10" s="13" t="s">
        <v>121</v>
      </c>
    </row>
    <row r="11" spans="3:7" ht="12.75">
      <c r="C11" t="s">
        <v>116</v>
      </c>
      <c r="D11" s="3"/>
      <c r="E11" s="3"/>
      <c r="F11" s="3"/>
      <c r="G11" s="3"/>
    </row>
    <row r="12" spans="1:4" ht="12.75">
      <c r="A12" t="s">
        <v>49</v>
      </c>
      <c r="C12">
        <v>0.508</v>
      </c>
      <c r="D12" s="13" t="s">
        <v>123</v>
      </c>
    </row>
    <row r="13" spans="1:4" ht="12.75">
      <c r="A13" s="13" t="s">
        <v>120</v>
      </c>
      <c r="C13">
        <v>0.7</v>
      </c>
      <c r="D13" s="13" t="s">
        <v>123</v>
      </c>
    </row>
    <row r="14" spans="1:3" ht="12.75">
      <c r="A14" s="13" t="s">
        <v>122</v>
      </c>
      <c r="C14">
        <f>C13/C12</f>
        <v>1.3779527559055118</v>
      </c>
    </row>
    <row r="24" spans="4:7" ht="12.75">
      <c r="D24" s="5"/>
      <c r="E24" s="5"/>
      <c r="F24" s="6"/>
      <c r="G24" s="5"/>
    </row>
    <row r="25" spans="4:7" ht="12.75">
      <c r="D25" s="3"/>
      <c r="E25" s="3"/>
      <c r="F25" s="3"/>
      <c r="G25" s="3"/>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V83"/>
  <sheetViews>
    <sheetView zoomScalePageLayoutView="0" workbookViewId="0" topLeftCell="A1">
      <selection activeCell="B25" sqref="B25"/>
    </sheetView>
  </sheetViews>
  <sheetFormatPr defaultColWidth="9.140625" defaultRowHeight="12.75"/>
  <cols>
    <col min="1" max="1" width="15.140625" style="0" customWidth="1"/>
    <col min="2" max="2" width="14.421875" style="0" bestFit="1" customWidth="1"/>
    <col min="3" max="3" width="12.421875" style="0" bestFit="1" customWidth="1"/>
    <col min="4" max="5" width="9.57421875" style="0" bestFit="1" customWidth="1"/>
    <col min="6" max="6" width="9.421875" style="0" customWidth="1"/>
    <col min="9" max="9" width="10.57421875" style="0" customWidth="1"/>
    <col min="18" max="18" width="10.57421875" style="0" bestFit="1" customWidth="1"/>
  </cols>
  <sheetData>
    <row r="1" ht="12.75">
      <c r="A1" t="s">
        <v>0</v>
      </c>
    </row>
    <row r="3" ht="12.75">
      <c r="A3" t="s">
        <v>1</v>
      </c>
    </row>
    <row r="5" spans="1:6" ht="12.75">
      <c r="A5" t="s">
        <v>2</v>
      </c>
      <c r="B5" s="1">
        <v>2011</v>
      </c>
      <c r="C5" s="1">
        <v>2012</v>
      </c>
      <c r="D5" s="1">
        <v>2025</v>
      </c>
      <c r="E5" t="s">
        <v>6</v>
      </c>
      <c r="F5" s="1">
        <v>2030</v>
      </c>
    </row>
    <row r="6" spans="1:7" ht="12.75">
      <c r="A6" t="s">
        <v>3</v>
      </c>
      <c r="B6">
        <v>1368</v>
      </c>
      <c r="C6">
        <v>1476</v>
      </c>
      <c r="D6">
        <v>2175</v>
      </c>
      <c r="E6">
        <f>(D6/C6)^(1/13)-1</f>
        <v>0.030271679246606897</v>
      </c>
      <c r="F6" s="2">
        <f>C6*(1+E6)^18</f>
        <v>2524.7481953523406</v>
      </c>
      <c r="G6" t="s">
        <v>8</v>
      </c>
    </row>
    <row r="7" spans="1:6" ht="12.75">
      <c r="A7" t="s">
        <v>4</v>
      </c>
      <c r="B7">
        <v>1547</v>
      </c>
      <c r="C7">
        <v>2014</v>
      </c>
      <c r="D7">
        <v>2969</v>
      </c>
      <c r="E7">
        <f>(D7/C7)^(1/13)-1</f>
        <v>0.030304130392987183</v>
      </c>
      <c r="F7" s="2">
        <f>C7*(1+E7)^18</f>
        <v>3446.969193141515</v>
      </c>
    </row>
    <row r="8" spans="1:6" ht="12.75">
      <c r="A8" t="s">
        <v>5</v>
      </c>
      <c r="B8">
        <v>1742</v>
      </c>
      <c r="C8">
        <v>1814</v>
      </c>
      <c r="D8">
        <v>2674</v>
      </c>
      <c r="E8">
        <f>(D8/C8)^(1/13)-1</f>
        <v>0.030299274145290545</v>
      </c>
      <c r="F8" s="2">
        <f>C8*(1+E8)^18</f>
        <v>3104.404985622353</v>
      </c>
    </row>
    <row r="11" spans="1:8" ht="12.75">
      <c r="A11" t="s">
        <v>7</v>
      </c>
      <c r="H11" t="s">
        <v>21</v>
      </c>
    </row>
    <row r="12" spans="3:11" ht="12.75">
      <c r="C12" t="s">
        <v>18</v>
      </c>
      <c r="D12" t="s">
        <v>19</v>
      </c>
      <c r="E12" t="s">
        <v>5</v>
      </c>
      <c r="F12" t="s">
        <v>25</v>
      </c>
      <c r="H12" t="s">
        <v>22</v>
      </c>
      <c r="J12" t="s">
        <v>24</v>
      </c>
      <c r="K12" t="s">
        <v>30</v>
      </c>
    </row>
    <row r="13" spans="1:11" ht="12.75">
      <c r="A13" t="s">
        <v>9</v>
      </c>
      <c r="C13" s="155">
        <v>0.274</v>
      </c>
      <c r="D13" s="155">
        <v>0.289</v>
      </c>
      <c r="E13" s="3">
        <f aca="true" t="shared" si="0" ref="E13:E21">(C13+D13)/2</f>
        <v>0.2815</v>
      </c>
      <c r="F13">
        <v>4</v>
      </c>
      <c r="H13" s="4">
        <f aca="true" t="shared" si="1" ref="H13:H21">B$25*E13</f>
        <v>8445000</v>
      </c>
      <c r="J13" s="2">
        <f>F13*(F$6+F$7+F$8)/3*E13*365</f>
        <v>1243398.5115126735</v>
      </c>
      <c r="K13" s="2">
        <f>J13/365</f>
        <v>3406.5712644182836</v>
      </c>
    </row>
    <row r="14" spans="1:11" ht="12.75">
      <c r="A14" t="s">
        <v>10</v>
      </c>
      <c r="C14" s="155">
        <v>0.392</v>
      </c>
      <c r="D14" s="155">
        <v>0.31</v>
      </c>
      <c r="E14" s="3">
        <f t="shared" si="0"/>
        <v>0.351</v>
      </c>
      <c r="F14">
        <v>1</v>
      </c>
      <c r="H14" s="4">
        <f t="shared" si="1"/>
        <v>10530000</v>
      </c>
      <c r="J14" s="2">
        <f>F14*(F$6+F$7+F$8)/3*E14*365</f>
        <v>387595.80598663265</v>
      </c>
      <c r="K14" s="2">
        <f>J14/365</f>
        <v>1061.9063177715964</v>
      </c>
    </row>
    <row r="15" spans="1:11" ht="12.75">
      <c r="A15" t="s">
        <v>11</v>
      </c>
      <c r="C15" s="155">
        <v>0.114</v>
      </c>
      <c r="D15" s="155">
        <v>0.189</v>
      </c>
      <c r="E15" s="3">
        <f t="shared" si="0"/>
        <v>0.1515</v>
      </c>
      <c r="F15">
        <v>18</v>
      </c>
      <c r="H15" s="4">
        <f t="shared" si="1"/>
        <v>4545000</v>
      </c>
      <c r="J15" s="2">
        <f>F15*(F$6+F$7+F$8)/3*E15*365</f>
        <v>3011321.2618961465</v>
      </c>
      <c r="K15" s="2">
        <f>J15/365</f>
        <v>8250.195238071634</v>
      </c>
    </row>
    <row r="16" spans="1:11" ht="12.75">
      <c r="A16" t="s">
        <v>12</v>
      </c>
      <c r="C16" s="155">
        <v>0.016</v>
      </c>
      <c r="D16" s="155">
        <v>0.009</v>
      </c>
      <c r="E16" s="3">
        <f t="shared" si="0"/>
        <v>0.0125</v>
      </c>
      <c r="F16">
        <v>39</v>
      </c>
      <c r="H16" s="4">
        <f t="shared" si="1"/>
        <v>375000</v>
      </c>
      <c r="J16" s="2">
        <f>F16*(F$6+F$7+F$8)/3*E16*365</f>
        <v>538327.5083147677</v>
      </c>
      <c r="K16" s="2">
        <f>J16/365</f>
        <v>1474.8698857938841</v>
      </c>
    </row>
    <row r="17" spans="1:8" ht="12.75">
      <c r="A17" t="s">
        <v>13</v>
      </c>
      <c r="C17" s="155">
        <v>0.097</v>
      </c>
      <c r="D17" s="155">
        <v>0.045</v>
      </c>
      <c r="E17" s="3">
        <f t="shared" si="0"/>
        <v>0.07100000000000001</v>
      </c>
      <c r="H17" s="4">
        <f t="shared" si="1"/>
        <v>2130000</v>
      </c>
    </row>
    <row r="18" spans="1:8" ht="12.75">
      <c r="A18" t="s">
        <v>14</v>
      </c>
      <c r="C18" s="155">
        <v>0.017</v>
      </c>
      <c r="D18" s="155">
        <v>0.033</v>
      </c>
      <c r="E18" s="3">
        <f t="shared" si="0"/>
        <v>0.025</v>
      </c>
      <c r="H18" s="4">
        <f t="shared" si="1"/>
        <v>750000</v>
      </c>
    </row>
    <row r="19" spans="1:8" ht="12.75">
      <c r="A19" t="s">
        <v>15</v>
      </c>
      <c r="C19" s="155">
        <v>0.019</v>
      </c>
      <c r="D19" s="155">
        <v>0.017</v>
      </c>
      <c r="E19" s="3">
        <f t="shared" si="0"/>
        <v>0.018000000000000002</v>
      </c>
      <c r="H19" s="4">
        <f t="shared" si="1"/>
        <v>540000.0000000001</v>
      </c>
    </row>
    <row r="20" spans="1:8" ht="12.75">
      <c r="A20" t="s">
        <v>16</v>
      </c>
      <c r="C20" s="155">
        <v>0.025</v>
      </c>
      <c r="D20" s="155">
        <v>0.036</v>
      </c>
      <c r="E20" s="3">
        <f t="shared" si="0"/>
        <v>0.0305</v>
      </c>
      <c r="H20" s="4">
        <f t="shared" si="1"/>
        <v>915000</v>
      </c>
    </row>
    <row r="21" spans="1:8" ht="12.75">
      <c r="A21" t="s">
        <v>17</v>
      </c>
      <c r="C21" s="155">
        <v>0.046</v>
      </c>
      <c r="D21" s="155">
        <v>0.071</v>
      </c>
      <c r="E21" s="3">
        <f t="shared" si="0"/>
        <v>0.058499999999999996</v>
      </c>
      <c r="F21">
        <v>7</v>
      </c>
      <c r="H21" s="4">
        <f t="shared" si="1"/>
        <v>1755000</v>
      </c>
    </row>
    <row r="22" spans="12:13" ht="12.75">
      <c r="L22" t="s">
        <v>31</v>
      </c>
      <c r="M22" t="s">
        <v>37</v>
      </c>
    </row>
    <row r="23" spans="1:12" ht="12.75">
      <c r="A23" t="s">
        <v>23</v>
      </c>
      <c r="B23">
        <v>0.65</v>
      </c>
      <c r="J23" s="2">
        <f>SUM(J13:J22)</f>
        <v>5180643.08771022</v>
      </c>
      <c r="K23" s="2">
        <f>SUM(K13:K22)</f>
        <v>14193.542706055398</v>
      </c>
      <c r="L23" s="2">
        <f>K23/2</f>
        <v>7096.771353027699</v>
      </c>
    </row>
    <row r="24" spans="10:13" ht="12.75">
      <c r="J24">
        <f>J23*B23</f>
        <v>3367418.007011643</v>
      </c>
      <c r="K24" s="2">
        <f>K23*B23</f>
        <v>9225.802758936008</v>
      </c>
      <c r="L24" s="2">
        <f>K24/2</f>
        <v>4612.901379468004</v>
      </c>
      <c r="M24">
        <f>K24/1.5</f>
        <v>6150.535172624005</v>
      </c>
    </row>
    <row r="25" spans="1:3" ht="12.75">
      <c r="A25">
        <v>200000000</v>
      </c>
      <c r="B25" s="4">
        <f>A25*0.15</f>
        <v>30000000</v>
      </c>
      <c r="C25" s="4"/>
    </row>
    <row r="26" ht="12.75">
      <c r="R26" s="2"/>
    </row>
    <row r="27" spans="3:18" ht="12.75">
      <c r="C27">
        <v>2010</v>
      </c>
      <c r="D27">
        <v>2030</v>
      </c>
      <c r="E27" t="s">
        <v>52</v>
      </c>
      <c r="J27" t="s">
        <v>27</v>
      </c>
      <c r="R27" s="2"/>
    </row>
    <row r="28" spans="1:18" ht="12.75">
      <c r="A28" t="s">
        <v>45</v>
      </c>
      <c r="C28">
        <v>51000</v>
      </c>
      <c r="D28" s="2">
        <f>C28*(1+0.03)^20</f>
        <v>92111.67296814008</v>
      </c>
      <c r="E28" s="2">
        <f>D28*(C39+D39)</f>
        <v>76612.25209153257</v>
      </c>
      <c r="I28" t="s">
        <v>28</v>
      </c>
      <c r="J28">
        <f>52*2</f>
        <v>104</v>
      </c>
      <c r="R28" s="2"/>
    </row>
    <row r="29" spans="1:18" ht="12.75">
      <c r="A29" t="s">
        <v>26</v>
      </c>
      <c r="C29">
        <f>C28*12</f>
        <v>612000</v>
      </c>
      <c r="D29">
        <f>D28*12</f>
        <v>1105340.0756176808</v>
      </c>
      <c r="I29" t="s">
        <v>29</v>
      </c>
      <c r="R29" s="2"/>
    </row>
    <row r="30" spans="1:18" ht="12.75">
      <c r="A30" t="s">
        <v>36</v>
      </c>
      <c r="C30">
        <f>C29/317</f>
        <v>1930.5993690851735</v>
      </c>
      <c r="R30" s="2"/>
    </row>
    <row r="31" spans="3:18" ht="12.75">
      <c r="C31">
        <f>C30/12</f>
        <v>160.8832807570978</v>
      </c>
      <c r="R31" s="2"/>
    </row>
    <row r="32" spans="1:18" ht="12.75">
      <c r="A32" t="s">
        <v>32</v>
      </c>
      <c r="B32">
        <v>0.8</v>
      </c>
      <c r="R32" s="2"/>
    </row>
    <row r="33" spans="1:18" ht="12.75">
      <c r="A33" t="s">
        <v>33</v>
      </c>
      <c r="B33">
        <v>0.2</v>
      </c>
      <c r="R33" s="2"/>
    </row>
    <row r="34" ht="12.75">
      <c r="R34" s="2"/>
    </row>
    <row r="35" spans="1:18" ht="12.75">
      <c r="A35" t="s">
        <v>34</v>
      </c>
      <c r="D35">
        <v>0.5</v>
      </c>
      <c r="E35" t="s">
        <v>35</v>
      </c>
      <c r="R35" s="2"/>
    </row>
    <row r="36" ht="12.75">
      <c r="R36" s="2"/>
    </row>
    <row r="37" spans="3:18" ht="12.75">
      <c r="C37" s="5" t="s">
        <v>38</v>
      </c>
      <c r="D37" s="5" t="s">
        <v>39</v>
      </c>
      <c r="E37" s="6" t="s">
        <v>40</v>
      </c>
      <c r="F37" s="5" t="s">
        <v>41</v>
      </c>
      <c r="I37" t="s">
        <v>58</v>
      </c>
      <c r="R37" s="2"/>
    </row>
    <row r="38" spans="3:18" ht="12.75">
      <c r="C38" s="155">
        <v>0.335</v>
      </c>
      <c r="D38" s="155">
        <v>0.2686</v>
      </c>
      <c r="E38" s="155">
        <v>0.2894</v>
      </c>
      <c r="F38" s="155">
        <v>0.10699999999999998</v>
      </c>
      <c r="G38" t="s">
        <v>48</v>
      </c>
      <c r="I38" s="5" t="s">
        <v>38</v>
      </c>
      <c r="J38" s="5" t="s">
        <v>68</v>
      </c>
      <c r="K38" s="6" t="s">
        <v>40</v>
      </c>
      <c r="L38" s="5" t="s">
        <v>41</v>
      </c>
      <c r="M38" s="5" t="s">
        <v>67</v>
      </c>
      <c r="R38" s="2"/>
    </row>
    <row r="39" spans="1:18" ht="12.75">
      <c r="A39" t="s">
        <v>50</v>
      </c>
      <c r="C39" s="155">
        <f>PovDist!D10</f>
        <v>0.46161417322834647</v>
      </c>
      <c r="D39" s="155">
        <f>PovDist!E10</f>
        <v>0.3701181102362205</v>
      </c>
      <c r="E39" s="155">
        <f>PovDist!F10</f>
        <v>0.17</v>
      </c>
      <c r="F39" s="155">
        <f>PovDist!G10</f>
        <v>-0.0017322834645669971</v>
      </c>
      <c r="G39" t="s">
        <v>51</v>
      </c>
      <c r="I39" s="2">
        <f>$D28*C39</f>
        <v>42520.05376186781</v>
      </c>
      <c r="J39" s="2">
        <f>I39+$D28*D39</f>
        <v>76612.25209153257</v>
      </c>
      <c r="K39" s="2">
        <f>$D28*E39</f>
        <v>15658.984404583814</v>
      </c>
      <c r="L39" s="2">
        <v>0</v>
      </c>
      <c r="M39" s="2">
        <f>ROUND(SUM(J39:K39),-2)</f>
        <v>92300</v>
      </c>
      <c r="R39" s="2"/>
    </row>
    <row r="40" spans="1:18" ht="12.75">
      <c r="A40" t="s">
        <v>43</v>
      </c>
      <c r="I40" s="2" t="s">
        <v>59</v>
      </c>
      <c r="J40" s="2"/>
      <c r="K40" s="2"/>
      <c r="L40" s="2"/>
      <c r="M40" s="2"/>
      <c r="R40" s="2"/>
    </row>
    <row r="41" spans="1:18" ht="12.75">
      <c r="A41" t="s">
        <v>20</v>
      </c>
      <c r="C41" s="155">
        <f>$B32*$D35*C39</f>
        <v>0.1846456692913386</v>
      </c>
      <c r="D41" s="155">
        <f>$B32*$D35*D39</f>
        <v>0.1480472440944882</v>
      </c>
      <c r="E41" s="155">
        <f>$B32*$D35*E39</f>
        <v>0.068</v>
      </c>
      <c r="F41" s="155">
        <f>$B32*$D35*F39</f>
        <v>-0.0006929133858267989</v>
      </c>
      <c r="I41" s="2">
        <f>I39*12</f>
        <v>510240.6451424138</v>
      </c>
      <c r="J41" s="2">
        <f>J39*12</f>
        <v>919347.0250983909</v>
      </c>
      <c r="K41" s="2">
        <f>K39*12</f>
        <v>187907.8128550058</v>
      </c>
      <c r="L41" s="2">
        <f>L39*12</f>
        <v>0</v>
      </c>
      <c r="M41" s="2">
        <f>ROUND(SUM(J41:K41),-3)</f>
        <v>1107000</v>
      </c>
      <c r="R41" s="2"/>
    </row>
    <row r="42" spans="1:18" ht="12.75">
      <c r="A42" t="s">
        <v>42</v>
      </c>
      <c r="E42" s="155">
        <f>B32*(1-D35)/2</f>
        <v>0.2</v>
      </c>
      <c r="F42" s="155">
        <f>E42</f>
        <v>0.2</v>
      </c>
      <c r="R42" s="2"/>
    </row>
    <row r="43" ht="12.75">
      <c r="R43" s="2"/>
    </row>
    <row r="44" spans="1:18" ht="12.75">
      <c r="A44" t="s">
        <v>44</v>
      </c>
      <c r="R44" s="2"/>
    </row>
    <row r="45" spans="3:6" ht="12.75">
      <c r="C45" s="155">
        <f>$B33*$D35*C39</f>
        <v>0.04616141732283465</v>
      </c>
      <c r="D45" s="155">
        <f>$B33*$D35*D39</f>
        <v>0.03701181102362205</v>
      </c>
      <c r="E45" s="155">
        <f>$B33*$D35*E39</f>
        <v>0.017</v>
      </c>
      <c r="F45" s="155">
        <f>$B33*$D35*F39</f>
        <v>-0.00017322834645669972</v>
      </c>
    </row>
    <row r="46" spans="3:6" ht="12.75">
      <c r="C46" s="1"/>
      <c r="D46" s="1"/>
      <c r="E46" s="158">
        <f>B33*(1-D35)/2</f>
        <v>0.05</v>
      </c>
      <c r="F46" s="158">
        <f>E46</f>
        <v>0.05</v>
      </c>
    </row>
    <row r="47" spans="3:6" ht="12.75">
      <c r="C47" s="3">
        <f>SUM(C41:C46)</f>
        <v>0.23080708661417326</v>
      </c>
      <c r="D47" s="3">
        <f>SUM(D41:D46)</f>
        <v>0.18505905511811024</v>
      </c>
      <c r="E47" s="3">
        <f>SUM(E41:E46)</f>
        <v>0.335</v>
      </c>
      <c r="F47" s="3">
        <f>SUM(F41:F46)</f>
        <v>0.2491338582677165</v>
      </c>
    </row>
    <row r="49" spans="1:6" ht="12.75">
      <c r="A49" t="s">
        <v>56</v>
      </c>
      <c r="C49" s="7">
        <f>$B25*C47</f>
        <v>6924212.598425197</v>
      </c>
      <c r="D49" s="7">
        <f>$B25*D47</f>
        <v>5551771.653543307</v>
      </c>
      <c r="E49" s="7">
        <f>$B25*E47</f>
        <v>10050000</v>
      </c>
      <c r="F49" s="7">
        <f>$B25*F47</f>
        <v>7474015.748031495</v>
      </c>
    </row>
    <row r="50" spans="1:6" ht="12.75">
      <c r="A50" t="s">
        <v>60</v>
      </c>
      <c r="C50" s="2">
        <f>C49/(C51*12)</f>
        <v>13.5704841712337</v>
      </c>
      <c r="D50" s="2">
        <f>D49/(D51*12)</f>
        <v>13.570484171233701</v>
      </c>
      <c r="E50" s="2">
        <f>E49/(E51*12)</f>
        <v>53.483672910156336</v>
      </c>
      <c r="F50" s="7"/>
    </row>
    <row r="51" spans="1:9" ht="12.75">
      <c r="A51" t="s">
        <v>53</v>
      </c>
      <c r="C51" s="2">
        <f>$D28*C39</f>
        <v>42520.05376186781</v>
      </c>
      <c r="D51" s="2">
        <f>$D28*D39</f>
        <v>34092.19832966476</v>
      </c>
      <c r="E51" s="2">
        <f>$D28*E39</f>
        <v>15658.984404583814</v>
      </c>
      <c r="F51" s="2">
        <v>0</v>
      </c>
      <c r="H51" s="2">
        <f>SUM(C51:F51)</f>
        <v>92271.23649611638</v>
      </c>
      <c r="I51" s="13" t="s">
        <v>67</v>
      </c>
    </row>
    <row r="52" spans="1:8" ht="12.75">
      <c r="A52" t="s">
        <v>57</v>
      </c>
      <c r="C52" s="2">
        <f>C49/C51</f>
        <v>162.84581005480442</v>
      </c>
      <c r="D52" s="2">
        <f>D49/D51</f>
        <v>162.84581005480442</v>
      </c>
      <c r="E52" s="2">
        <f>E49/E51</f>
        <v>641.8040749218761</v>
      </c>
      <c r="F52" s="2"/>
      <c r="H52">
        <f>H51*12</f>
        <v>1107254.8379533966</v>
      </c>
    </row>
    <row r="54" spans="1:6" ht="12.75">
      <c r="A54" t="s">
        <v>54</v>
      </c>
      <c r="C54" s="14" t="s">
        <v>38</v>
      </c>
      <c r="D54" s="5" t="s">
        <v>39</v>
      </c>
      <c r="E54" s="6" t="s">
        <v>40</v>
      </c>
      <c r="F54" s="5" t="s">
        <v>41</v>
      </c>
    </row>
    <row r="55" spans="3:6" ht="12.75">
      <c r="C55">
        <v>5472</v>
      </c>
      <c r="D55">
        <v>7117.5</v>
      </c>
      <c r="E55">
        <v>13140</v>
      </c>
      <c r="F55" s="2">
        <v>19441.528037383177</v>
      </c>
    </row>
    <row r="56" spans="1:6" ht="12.75">
      <c r="A56" t="s">
        <v>55</v>
      </c>
      <c r="C56" s="155">
        <f>C52/C55</f>
        <v>0.029759833708845836</v>
      </c>
      <c r="D56" s="155">
        <f>D52/D55</f>
        <v>0.022879636115884006</v>
      </c>
      <c r="E56" s="155">
        <f>E52/E55</f>
        <v>0.04884353690425237</v>
      </c>
      <c r="F56" t="e">
        <f>NA()</f>
        <v>#N/A</v>
      </c>
    </row>
    <row r="58" spans="3:22" ht="12.75">
      <c r="C58">
        <v>1</v>
      </c>
      <c r="D58">
        <v>2</v>
      </c>
      <c r="E58">
        <v>3</v>
      </c>
      <c r="F58">
        <v>4</v>
      </c>
      <c r="G58">
        <v>5</v>
      </c>
      <c r="H58">
        <v>6</v>
      </c>
      <c r="I58">
        <v>7</v>
      </c>
      <c r="J58">
        <v>8</v>
      </c>
      <c r="K58">
        <v>9</v>
      </c>
      <c r="L58">
        <v>10</v>
      </c>
      <c r="M58">
        <v>11</v>
      </c>
      <c r="N58">
        <v>12</v>
      </c>
      <c r="O58">
        <v>13</v>
      </c>
      <c r="P58">
        <v>14</v>
      </c>
      <c r="Q58">
        <v>15</v>
      </c>
      <c r="R58">
        <v>16</v>
      </c>
      <c r="S58">
        <v>17</v>
      </c>
      <c r="T58">
        <v>18</v>
      </c>
      <c r="U58">
        <v>19</v>
      </c>
      <c r="V58">
        <v>20</v>
      </c>
    </row>
    <row r="59" spans="3:22" ht="12.75">
      <c r="C59" s="7">
        <f>C49</f>
        <v>6924212.598425197</v>
      </c>
      <c r="D59" s="7">
        <f aca="true" t="shared" si="2" ref="D59:V59">C59</f>
        <v>6924212.598425197</v>
      </c>
      <c r="E59" s="7">
        <f t="shared" si="2"/>
        <v>6924212.598425197</v>
      </c>
      <c r="F59" s="7">
        <f t="shared" si="2"/>
        <v>6924212.598425197</v>
      </c>
      <c r="G59" s="7">
        <f t="shared" si="2"/>
        <v>6924212.598425197</v>
      </c>
      <c r="H59" s="7">
        <f t="shared" si="2"/>
        <v>6924212.598425197</v>
      </c>
      <c r="I59" s="7">
        <f t="shared" si="2"/>
        <v>6924212.598425197</v>
      </c>
      <c r="J59" s="7">
        <f t="shared" si="2"/>
        <v>6924212.598425197</v>
      </c>
      <c r="K59" s="7">
        <f t="shared" si="2"/>
        <v>6924212.598425197</v>
      </c>
      <c r="L59" s="7">
        <f t="shared" si="2"/>
        <v>6924212.598425197</v>
      </c>
      <c r="M59" s="7">
        <f t="shared" si="2"/>
        <v>6924212.598425197</v>
      </c>
      <c r="N59" s="7">
        <f t="shared" si="2"/>
        <v>6924212.598425197</v>
      </c>
      <c r="O59" s="7">
        <f t="shared" si="2"/>
        <v>6924212.598425197</v>
      </c>
      <c r="P59" s="7">
        <f t="shared" si="2"/>
        <v>6924212.598425197</v>
      </c>
      <c r="Q59" s="7">
        <f t="shared" si="2"/>
        <v>6924212.598425197</v>
      </c>
      <c r="R59" s="7">
        <f t="shared" si="2"/>
        <v>6924212.598425197</v>
      </c>
      <c r="S59" s="7">
        <f t="shared" si="2"/>
        <v>6924212.598425197</v>
      </c>
      <c r="T59" s="7">
        <f t="shared" si="2"/>
        <v>6924212.598425197</v>
      </c>
      <c r="U59" s="7">
        <f t="shared" si="2"/>
        <v>6924212.598425197</v>
      </c>
      <c r="V59" s="7">
        <f t="shared" si="2"/>
        <v>6924212.598425197</v>
      </c>
    </row>
    <row r="60" spans="3:22" ht="12.75">
      <c r="C60" s="7">
        <f>D49</f>
        <v>5551771.653543307</v>
      </c>
      <c r="D60" s="7">
        <f aca="true" t="shared" si="3" ref="D60:V60">C60</f>
        <v>5551771.653543307</v>
      </c>
      <c r="E60" s="7">
        <f t="shared" si="3"/>
        <v>5551771.653543307</v>
      </c>
      <c r="F60" s="7">
        <f t="shared" si="3"/>
        <v>5551771.653543307</v>
      </c>
      <c r="G60" s="7">
        <f t="shared" si="3"/>
        <v>5551771.653543307</v>
      </c>
      <c r="H60" s="7">
        <f t="shared" si="3"/>
        <v>5551771.653543307</v>
      </c>
      <c r="I60" s="7">
        <f t="shared" si="3"/>
        <v>5551771.653543307</v>
      </c>
      <c r="J60" s="7">
        <f t="shared" si="3"/>
        <v>5551771.653543307</v>
      </c>
      <c r="K60" s="7">
        <f t="shared" si="3"/>
        <v>5551771.653543307</v>
      </c>
      <c r="L60" s="7">
        <f t="shared" si="3"/>
        <v>5551771.653543307</v>
      </c>
      <c r="M60" s="7">
        <f t="shared" si="3"/>
        <v>5551771.653543307</v>
      </c>
      <c r="N60" s="7">
        <f t="shared" si="3"/>
        <v>5551771.653543307</v>
      </c>
      <c r="O60" s="7">
        <f t="shared" si="3"/>
        <v>5551771.653543307</v>
      </c>
      <c r="P60" s="7">
        <f t="shared" si="3"/>
        <v>5551771.653543307</v>
      </c>
      <c r="Q60" s="7">
        <f t="shared" si="3"/>
        <v>5551771.653543307</v>
      </c>
      <c r="R60" s="7">
        <f t="shared" si="3"/>
        <v>5551771.653543307</v>
      </c>
      <c r="S60" s="7">
        <f t="shared" si="3"/>
        <v>5551771.653543307</v>
      </c>
      <c r="T60" s="7">
        <f t="shared" si="3"/>
        <v>5551771.653543307</v>
      </c>
      <c r="U60" s="7">
        <f t="shared" si="3"/>
        <v>5551771.653543307</v>
      </c>
      <c r="V60" s="7">
        <f t="shared" si="3"/>
        <v>5551771.653543307</v>
      </c>
    </row>
    <row r="61" spans="3:22" ht="12.75">
      <c r="C61" s="7">
        <f>E49</f>
        <v>10050000</v>
      </c>
      <c r="D61" s="7">
        <f aca="true" t="shared" si="4" ref="D61:V61">C61</f>
        <v>10050000</v>
      </c>
      <c r="E61" s="7">
        <f t="shared" si="4"/>
        <v>10050000</v>
      </c>
      <c r="F61" s="7">
        <f t="shared" si="4"/>
        <v>10050000</v>
      </c>
      <c r="G61" s="7">
        <f t="shared" si="4"/>
        <v>10050000</v>
      </c>
      <c r="H61" s="7">
        <f t="shared" si="4"/>
        <v>10050000</v>
      </c>
      <c r="I61" s="7">
        <f t="shared" si="4"/>
        <v>10050000</v>
      </c>
      <c r="J61" s="7">
        <f t="shared" si="4"/>
        <v>10050000</v>
      </c>
      <c r="K61" s="7">
        <f t="shared" si="4"/>
        <v>10050000</v>
      </c>
      <c r="L61" s="7">
        <f t="shared" si="4"/>
        <v>10050000</v>
      </c>
      <c r="M61" s="7">
        <f t="shared" si="4"/>
        <v>10050000</v>
      </c>
      <c r="N61" s="7">
        <f t="shared" si="4"/>
        <v>10050000</v>
      </c>
      <c r="O61" s="7">
        <f t="shared" si="4"/>
        <v>10050000</v>
      </c>
      <c r="P61" s="7">
        <f t="shared" si="4"/>
        <v>10050000</v>
      </c>
      <c r="Q61" s="7">
        <f t="shared" si="4"/>
        <v>10050000</v>
      </c>
      <c r="R61" s="7">
        <f t="shared" si="4"/>
        <v>10050000</v>
      </c>
      <c r="S61" s="7">
        <f t="shared" si="4"/>
        <v>10050000</v>
      </c>
      <c r="T61" s="7">
        <f t="shared" si="4"/>
        <v>10050000</v>
      </c>
      <c r="U61" s="7">
        <f t="shared" si="4"/>
        <v>10050000</v>
      </c>
      <c r="V61" s="7">
        <f t="shared" si="4"/>
        <v>10050000</v>
      </c>
    </row>
    <row r="62" spans="3:22" ht="12.75">
      <c r="C62" s="7">
        <f>F49</f>
        <v>7474015.748031495</v>
      </c>
      <c r="D62" s="7">
        <f aca="true" t="shared" si="5" ref="D62:V62">C62</f>
        <v>7474015.748031495</v>
      </c>
      <c r="E62" s="7">
        <f t="shared" si="5"/>
        <v>7474015.748031495</v>
      </c>
      <c r="F62" s="7">
        <f t="shared" si="5"/>
        <v>7474015.748031495</v>
      </c>
      <c r="G62" s="7">
        <f t="shared" si="5"/>
        <v>7474015.748031495</v>
      </c>
      <c r="H62" s="7">
        <f t="shared" si="5"/>
        <v>7474015.748031495</v>
      </c>
      <c r="I62" s="7">
        <f t="shared" si="5"/>
        <v>7474015.748031495</v>
      </c>
      <c r="J62" s="7">
        <f t="shared" si="5"/>
        <v>7474015.748031495</v>
      </c>
      <c r="K62" s="7">
        <f t="shared" si="5"/>
        <v>7474015.748031495</v>
      </c>
      <c r="L62" s="7">
        <f t="shared" si="5"/>
        <v>7474015.748031495</v>
      </c>
      <c r="M62" s="7">
        <f t="shared" si="5"/>
        <v>7474015.748031495</v>
      </c>
      <c r="N62" s="7">
        <f t="shared" si="5"/>
        <v>7474015.748031495</v>
      </c>
      <c r="O62" s="7">
        <f t="shared" si="5"/>
        <v>7474015.748031495</v>
      </c>
      <c r="P62" s="7">
        <f t="shared" si="5"/>
        <v>7474015.748031495</v>
      </c>
      <c r="Q62" s="7">
        <f t="shared" si="5"/>
        <v>7474015.748031495</v>
      </c>
      <c r="R62" s="7">
        <f t="shared" si="5"/>
        <v>7474015.748031495</v>
      </c>
      <c r="S62" s="7">
        <f t="shared" si="5"/>
        <v>7474015.748031495</v>
      </c>
      <c r="T62" s="7">
        <f t="shared" si="5"/>
        <v>7474015.748031495</v>
      </c>
      <c r="U62" s="7">
        <f t="shared" si="5"/>
        <v>7474015.748031495</v>
      </c>
      <c r="V62" s="7">
        <f t="shared" si="5"/>
        <v>7474015.748031495</v>
      </c>
    </row>
    <row r="64" spans="3:6" ht="12.75">
      <c r="C64" s="9">
        <f>NPV(0.08,C59:V59)</f>
        <v>67982939.97185603</v>
      </c>
      <c r="D64" s="9">
        <f>C64+NPV(0.08,C60:V60)</f>
        <v>122491052.43884268</v>
      </c>
      <c r="E64" s="9">
        <f>NPV(0.08,C61:V61)</f>
        <v>98672381.44486533</v>
      </c>
      <c r="F64" s="9">
        <f>NPV(0.08,C62:V62)</f>
        <v>73380988.33977056</v>
      </c>
    </row>
    <row r="65" spans="3:5" ht="12.75">
      <c r="C65" s="2">
        <f>C64/I41</f>
        <v>133.2370139836297</v>
      </c>
      <c r="D65" s="2">
        <f>D64/J41</f>
        <v>133.2370139836297</v>
      </c>
      <c r="E65" s="2">
        <f>E64/K41</f>
        <v>525.1105845237171</v>
      </c>
    </row>
    <row r="66" spans="3:5" ht="12.75">
      <c r="C66" s="2"/>
      <c r="D66" s="2"/>
      <c r="E66" s="2"/>
    </row>
    <row r="67" spans="3:5" ht="12.75">
      <c r="C67" s="2"/>
      <c r="D67" s="2"/>
      <c r="E67" s="2"/>
    </row>
    <row r="69" spans="3:6" ht="12.75">
      <c r="C69">
        <v>4477.075217796875</v>
      </c>
      <c r="D69">
        <v>5823.388681043358</v>
      </c>
      <c r="E69">
        <v>10750.87141115697</v>
      </c>
      <c r="F69">
        <v>15906.649008090519</v>
      </c>
    </row>
    <row r="70" spans="1:5" ht="12.75">
      <c r="A70" t="s">
        <v>61</v>
      </c>
      <c r="C70" s="9">
        <f>C69*I41</f>
        <v>2284385747.47979</v>
      </c>
      <c r="D70" s="9">
        <f>D69*J41</f>
        <v>5353715059.908854</v>
      </c>
      <c r="E70" s="9">
        <f>E69*K41</f>
        <v>2020172733.155916</v>
      </c>
    </row>
    <row r="71" spans="1:5" ht="12.75">
      <c r="A71" t="s">
        <v>62</v>
      </c>
      <c r="C71" s="163">
        <f>C64/C70</f>
        <v>0.029759833708845825</v>
      </c>
      <c r="D71" s="163">
        <f>D64/D70</f>
        <v>0.022879636115884002</v>
      </c>
      <c r="E71" s="163">
        <f>E64/E70</f>
        <v>0.04884353690425236</v>
      </c>
    </row>
    <row r="73" spans="3:5" ht="12.75">
      <c r="C73" s="10"/>
      <c r="D73" s="10"/>
      <c r="E73" s="10"/>
    </row>
    <row r="77" spans="1:22" ht="12.75">
      <c r="A77" t="s">
        <v>64</v>
      </c>
      <c r="B77" s="5" t="s">
        <v>38</v>
      </c>
      <c r="C77" s="7">
        <f>C49</f>
        <v>6924212.598425197</v>
      </c>
      <c r="D77" s="7">
        <f aca="true" t="shared" si="6" ref="D77:V77">C77</f>
        <v>6924212.598425197</v>
      </c>
      <c r="E77" s="7">
        <f t="shared" si="6"/>
        <v>6924212.598425197</v>
      </c>
      <c r="F77" s="7">
        <f t="shared" si="6"/>
        <v>6924212.598425197</v>
      </c>
      <c r="G77" s="7">
        <f t="shared" si="6"/>
        <v>6924212.598425197</v>
      </c>
      <c r="H77" s="7">
        <f t="shared" si="6"/>
        <v>6924212.598425197</v>
      </c>
      <c r="I77" s="7">
        <f t="shared" si="6"/>
        <v>6924212.598425197</v>
      </c>
      <c r="J77" s="7">
        <f t="shared" si="6"/>
        <v>6924212.598425197</v>
      </c>
      <c r="K77" s="7">
        <f t="shared" si="6"/>
        <v>6924212.598425197</v>
      </c>
      <c r="L77" s="7">
        <f t="shared" si="6"/>
        <v>6924212.598425197</v>
      </c>
      <c r="M77" s="7">
        <f t="shared" si="6"/>
        <v>6924212.598425197</v>
      </c>
      <c r="N77" s="7">
        <f t="shared" si="6"/>
        <v>6924212.598425197</v>
      </c>
      <c r="O77" s="7">
        <f t="shared" si="6"/>
        <v>6924212.598425197</v>
      </c>
      <c r="P77" s="7">
        <f t="shared" si="6"/>
        <v>6924212.598425197</v>
      </c>
      <c r="Q77" s="7">
        <f t="shared" si="6"/>
        <v>6924212.598425197</v>
      </c>
      <c r="R77" s="7">
        <f t="shared" si="6"/>
        <v>6924212.598425197</v>
      </c>
      <c r="S77" s="7">
        <f t="shared" si="6"/>
        <v>6924212.598425197</v>
      </c>
      <c r="T77" s="7">
        <f t="shared" si="6"/>
        <v>6924212.598425197</v>
      </c>
      <c r="U77" s="7">
        <f t="shared" si="6"/>
        <v>6924212.598425197</v>
      </c>
      <c r="V77" s="7">
        <f t="shared" si="6"/>
        <v>6924212.598425197</v>
      </c>
    </row>
    <row r="78" spans="2:22" ht="12.75">
      <c r="B78" s="5" t="s">
        <v>39</v>
      </c>
      <c r="C78" s="7">
        <f>D49</f>
        <v>5551771.653543307</v>
      </c>
      <c r="D78" s="7">
        <f aca="true" t="shared" si="7" ref="D78:V78">C78</f>
        <v>5551771.653543307</v>
      </c>
      <c r="E78" s="7">
        <f t="shared" si="7"/>
        <v>5551771.653543307</v>
      </c>
      <c r="F78" s="7">
        <f t="shared" si="7"/>
        <v>5551771.653543307</v>
      </c>
      <c r="G78" s="7">
        <f t="shared" si="7"/>
        <v>5551771.653543307</v>
      </c>
      <c r="H78" s="7">
        <f t="shared" si="7"/>
        <v>5551771.653543307</v>
      </c>
      <c r="I78" s="7">
        <f t="shared" si="7"/>
        <v>5551771.653543307</v>
      </c>
      <c r="J78" s="7">
        <f t="shared" si="7"/>
        <v>5551771.653543307</v>
      </c>
      <c r="K78" s="7">
        <f t="shared" si="7"/>
        <v>5551771.653543307</v>
      </c>
      <c r="L78" s="7">
        <f t="shared" si="7"/>
        <v>5551771.653543307</v>
      </c>
      <c r="M78" s="7">
        <f t="shared" si="7"/>
        <v>5551771.653543307</v>
      </c>
      <c r="N78" s="7">
        <f t="shared" si="7"/>
        <v>5551771.653543307</v>
      </c>
      <c r="O78" s="7">
        <f t="shared" si="7"/>
        <v>5551771.653543307</v>
      </c>
      <c r="P78" s="7">
        <f t="shared" si="7"/>
        <v>5551771.653543307</v>
      </c>
      <c r="Q78" s="7">
        <f t="shared" si="7"/>
        <v>5551771.653543307</v>
      </c>
      <c r="R78" s="7">
        <f t="shared" si="7"/>
        <v>5551771.653543307</v>
      </c>
      <c r="S78" s="7">
        <f t="shared" si="7"/>
        <v>5551771.653543307</v>
      </c>
      <c r="T78" s="7">
        <f t="shared" si="7"/>
        <v>5551771.653543307</v>
      </c>
      <c r="U78" s="7">
        <f t="shared" si="7"/>
        <v>5551771.653543307</v>
      </c>
      <c r="V78" s="7">
        <f t="shared" si="7"/>
        <v>5551771.653543307</v>
      </c>
    </row>
    <row r="79" spans="2:22" ht="12.75">
      <c r="B79" s="6" t="s">
        <v>40</v>
      </c>
      <c r="C79" s="7">
        <f>E49</f>
        <v>10050000</v>
      </c>
      <c r="D79" s="7">
        <f aca="true" t="shared" si="8" ref="D79:V79">C79</f>
        <v>10050000</v>
      </c>
      <c r="E79" s="7">
        <f t="shared" si="8"/>
        <v>10050000</v>
      </c>
      <c r="F79" s="7">
        <f t="shared" si="8"/>
        <v>10050000</v>
      </c>
      <c r="G79" s="7">
        <f t="shared" si="8"/>
        <v>10050000</v>
      </c>
      <c r="H79" s="7">
        <f t="shared" si="8"/>
        <v>10050000</v>
      </c>
      <c r="I79" s="7">
        <f t="shared" si="8"/>
        <v>10050000</v>
      </c>
      <c r="J79" s="7">
        <f t="shared" si="8"/>
        <v>10050000</v>
      </c>
      <c r="K79" s="7">
        <f t="shared" si="8"/>
        <v>10050000</v>
      </c>
      <c r="L79" s="7">
        <f t="shared" si="8"/>
        <v>10050000</v>
      </c>
      <c r="M79" s="7">
        <f t="shared" si="8"/>
        <v>10050000</v>
      </c>
      <c r="N79" s="7">
        <f t="shared" si="8"/>
        <v>10050000</v>
      </c>
      <c r="O79" s="7">
        <f t="shared" si="8"/>
        <v>10050000</v>
      </c>
      <c r="P79" s="7">
        <f t="shared" si="8"/>
        <v>10050000</v>
      </c>
      <c r="Q79" s="7">
        <f t="shared" si="8"/>
        <v>10050000</v>
      </c>
      <c r="R79" s="7">
        <f t="shared" si="8"/>
        <v>10050000</v>
      </c>
      <c r="S79" s="7">
        <f t="shared" si="8"/>
        <v>10050000</v>
      </c>
      <c r="T79" s="7">
        <f t="shared" si="8"/>
        <v>10050000</v>
      </c>
      <c r="U79" s="7">
        <f t="shared" si="8"/>
        <v>10050000</v>
      </c>
      <c r="V79" s="7">
        <f t="shared" si="8"/>
        <v>10050000</v>
      </c>
    </row>
    <row r="80" spans="2:22" ht="12.75">
      <c r="B80" s="6"/>
      <c r="C80" s="7">
        <f>F49</f>
        <v>7474015.748031495</v>
      </c>
      <c r="D80" s="7">
        <f aca="true" t="shared" si="9" ref="D80:V80">C80</f>
        <v>7474015.748031495</v>
      </c>
      <c r="E80" s="7">
        <f t="shared" si="9"/>
        <v>7474015.748031495</v>
      </c>
      <c r="F80" s="7">
        <f t="shared" si="9"/>
        <v>7474015.748031495</v>
      </c>
      <c r="G80" s="7">
        <f t="shared" si="9"/>
        <v>7474015.748031495</v>
      </c>
      <c r="H80" s="7">
        <f t="shared" si="9"/>
        <v>7474015.748031495</v>
      </c>
      <c r="I80" s="7">
        <f t="shared" si="9"/>
        <v>7474015.748031495</v>
      </c>
      <c r="J80" s="7">
        <f t="shared" si="9"/>
        <v>7474015.748031495</v>
      </c>
      <c r="K80" s="7">
        <f t="shared" si="9"/>
        <v>7474015.748031495</v>
      </c>
      <c r="L80" s="7">
        <f t="shared" si="9"/>
        <v>7474015.748031495</v>
      </c>
      <c r="M80" s="7">
        <f t="shared" si="9"/>
        <v>7474015.748031495</v>
      </c>
      <c r="N80" s="7">
        <f t="shared" si="9"/>
        <v>7474015.748031495</v>
      </c>
      <c r="O80" s="7">
        <f t="shared" si="9"/>
        <v>7474015.748031495</v>
      </c>
      <c r="P80" s="7">
        <f t="shared" si="9"/>
        <v>7474015.748031495</v>
      </c>
      <c r="Q80" s="7">
        <f t="shared" si="9"/>
        <v>7474015.748031495</v>
      </c>
      <c r="R80" s="7">
        <f t="shared" si="9"/>
        <v>7474015.748031495</v>
      </c>
      <c r="S80" s="7">
        <f t="shared" si="9"/>
        <v>7474015.748031495</v>
      </c>
      <c r="T80" s="7">
        <f t="shared" si="9"/>
        <v>7474015.748031495</v>
      </c>
      <c r="U80" s="7">
        <f t="shared" si="9"/>
        <v>7474015.748031495</v>
      </c>
      <c r="V80" s="7">
        <f t="shared" si="9"/>
        <v>7474015.748031495</v>
      </c>
    </row>
    <row r="81" spans="3:6" ht="12.75">
      <c r="C81" s="5" t="s">
        <v>38</v>
      </c>
      <c r="D81" s="5" t="s">
        <v>63</v>
      </c>
      <c r="E81" s="6" t="s">
        <v>40</v>
      </c>
      <c r="F81" s="5" t="s">
        <v>41</v>
      </c>
    </row>
    <row r="82" spans="2:6" ht="12.75">
      <c r="B82" s="12" t="s">
        <v>65</v>
      </c>
      <c r="C82" s="9">
        <f>NPV(0.1,C77:V77)</f>
        <v>58949725.16584788</v>
      </c>
      <c r="D82" s="9">
        <f>C82+NPV(0.1,C78:V78)</f>
        <v>106215086.89583817</v>
      </c>
      <c r="E82" s="9">
        <f>NPV(0.1,C79:V79)</f>
        <v>85561315.3835735</v>
      </c>
      <c r="F82" s="9">
        <f>NPV(0.1,C80:V80)</f>
        <v>63630509.313345045</v>
      </c>
    </row>
    <row r="83" spans="2:7" ht="12.75">
      <c r="B83" s="12" t="s">
        <v>66</v>
      </c>
      <c r="C83" s="11">
        <f>C82/$A25</f>
        <v>0.2947486258292394</v>
      </c>
      <c r="D83" s="11">
        <f>D82/$A25</f>
        <v>0.5310754344791908</v>
      </c>
      <c r="E83" s="11">
        <f>E82/$A25</f>
        <v>0.4278065769178675</v>
      </c>
      <c r="F83" s="11">
        <f>F82/$A25</f>
        <v>0.3181525465667252</v>
      </c>
      <c r="G83" s="11">
        <f>SUM(D83:F83)</f>
        <v>1.2770345579637836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J28"/>
  <sheetViews>
    <sheetView showGridLines="0" zoomScale="80" zoomScaleNormal="80" zoomScalePageLayoutView="0" workbookViewId="0" topLeftCell="A1">
      <selection activeCell="A1" sqref="A1"/>
    </sheetView>
  </sheetViews>
  <sheetFormatPr defaultColWidth="9.140625" defaultRowHeight="12.75"/>
  <cols>
    <col min="1" max="1" width="5.7109375" style="0" customWidth="1"/>
    <col min="2" max="2" width="25.00390625" style="0" customWidth="1"/>
    <col min="3" max="3" width="57.28125" style="0" customWidth="1"/>
    <col min="4" max="4" width="21.421875" style="0" customWidth="1"/>
    <col min="5" max="5" width="17.140625" style="0" customWidth="1"/>
    <col min="6" max="6" width="21.57421875" style="0" customWidth="1"/>
    <col min="7" max="7" width="25.28125" style="0" customWidth="1"/>
    <col min="8" max="8" width="5.7109375" style="0" customWidth="1"/>
    <col min="9" max="9" width="5.8515625" style="0" customWidth="1"/>
    <col min="10" max="10" width="17.7109375" style="0" customWidth="1"/>
    <col min="11" max="11" width="5.7109375" style="0" customWidth="1"/>
  </cols>
  <sheetData>
    <row r="1" spans="2:7" ht="12" customHeight="1">
      <c r="B1" s="178" t="s">
        <v>298</v>
      </c>
      <c r="C1" s="178"/>
      <c r="D1" s="179"/>
      <c r="E1" s="179"/>
      <c r="F1" s="179"/>
      <c r="G1" s="179"/>
    </row>
    <row r="2" spans="2:7" ht="12" customHeight="1">
      <c r="B2" s="178"/>
      <c r="C2" s="178"/>
      <c r="D2" s="179"/>
      <c r="E2" s="179"/>
      <c r="F2" s="179"/>
      <c r="G2" s="179"/>
    </row>
    <row r="3" spans="1:7" ht="12" customHeight="1">
      <c r="A3" s="46"/>
      <c r="B3" s="178"/>
      <c r="C3" s="178"/>
      <c r="D3" s="179"/>
      <c r="E3" s="179"/>
      <c r="F3" s="179"/>
      <c r="G3" s="179"/>
    </row>
    <row r="4" spans="1:7" ht="12" customHeight="1">
      <c r="A4" s="46"/>
      <c r="B4" s="178"/>
      <c r="C4" s="178"/>
      <c r="D4" s="179"/>
      <c r="E4" s="179"/>
      <c r="F4" s="179"/>
      <c r="G4" s="179"/>
    </row>
    <row r="5" spans="1:7" ht="12" customHeight="1">
      <c r="A5" s="46"/>
      <c r="B5" s="178"/>
      <c r="C5" s="178"/>
      <c r="D5" s="179"/>
      <c r="E5" s="179"/>
      <c r="F5" s="179"/>
      <c r="G5" s="179"/>
    </row>
    <row r="6" spans="1:7" ht="12" customHeight="1">
      <c r="A6" s="46"/>
      <c r="B6" s="169" t="s">
        <v>326</v>
      </c>
      <c r="C6" s="169"/>
      <c r="D6" s="169"/>
      <c r="E6" s="169"/>
      <c r="F6" s="169"/>
      <c r="G6" s="169"/>
    </row>
    <row r="7" ht="12" customHeight="1">
      <c r="A7" s="46"/>
    </row>
    <row r="8" spans="1:7" ht="17.25" customHeight="1">
      <c r="A8" s="46"/>
      <c r="B8" s="180" t="s">
        <v>312</v>
      </c>
      <c r="C8" s="180"/>
      <c r="D8" s="180"/>
      <c r="E8" s="180"/>
      <c r="F8" s="180"/>
      <c r="G8" s="180" t="s">
        <v>313</v>
      </c>
    </row>
    <row r="9" ht="13.5" thickBot="1">
      <c r="A9" s="46"/>
    </row>
    <row r="10" spans="1:7" ht="13.5" thickTop="1">
      <c r="A10" s="46"/>
      <c r="B10" s="66" t="s">
        <v>314</v>
      </c>
      <c r="C10" s="56"/>
      <c r="D10" s="56"/>
      <c r="E10" s="56"/>
      <c r="F10" s="56"/>
      <c r="G10" s="67"/>
    </row>
    <row r="11" spans="1:7" ht="12.75">
      <c r="A11" s="46"/>
      <c r="B11" s="181" t="s">
        <v>315</v>
      </c>
      <c r="C11" s="182"/>
      <c r="D11" s="182"/>
      <c r="E11" s="182"/>
      <c r="F11" s="182"/>
      <c r="G11" s="183"/>
    </row>
    <row r="12" spans="1:7" ht="12.75">
      <c r="A12" s="46"/>
      <c r="B12" s="181"/>
      <c r="C12" s="182"/>
      <c r="D12" s="182"/>
      <c r="E12" s="182"/>
      <c r="F12" s="182"/>
      <c r="G12" s="183"/>
    </row>
    <row r="13" spans="1:7" ht="13.5" thickBot="1">
      <c r="A13" s="46"/>
      <c r="B13" s="184"/>
      <c r="C13" s="185"/>
      <c r="D13" s="185"/>
      <c r="E13" s="185"/>
      <c r="F13" s="185"/>
      <c r="G13" s="186"/>
    </row>
    <row r="14" spans="1:2" ht="13.5" thickTop="1">
      <c r="A14" s="46"/>
      <c r="B14" s="46"/>
    </row>
    <row r="15" spans="1:2" ht="12.75">
      <c r="A15" s="46"/>
      <c r="B15" s="124">
        <f>IF('ERR and Sensitivity Analysis'!J18="Y",IF('ERR and Sensitivity Analysis'!J19="Y","","Note: Current calculations are based on user input and are not the original MCC estimates"),"Note: Current calculations are based on user input and are not the original MCC estimates")</f>
      </c>
    </row>
    <row r="16" spans="2:7" ht="19.5" customHeight="1">
      <c r="B16" s="190" t="s">
        <v>278</v>
      </c>
      <c r="C16" s="192" t="s">
        <v>267</v>
      </c>
      <c r="D16" s="187" t="s">
        <v>268</v>
      </c>
      <c r="E16" s="188"/>
      <c r="F16" s="188"/>
      <c r="G16" s="189"/>
    </row>
    <row r="17" spans="2:10" ht="54.75" customHeight="1" thickBot="1">
      <c r="B17" s="191"/>
      <c r="C17" s="193"/>
      <c r="D17" s="128" t="s">
        <v>269</v>
      </c>
      <c r="E17" s="96" t="s">
        <v>270</v>
      </c>
      <c r="F17" s="96" t="s">
        <v>271</v>
      </c>
      <c r="G17" s="96" t="s">
        <v>272</v>
      </c>
      <c r="J17" s="68" t="s">
        <v>316</v>
      </c>
    </row>
    <row r="18" spans="2:10" ht="35.25" customHeight="1">
      <c r="B18" s="97" t="s">
        <v>266</v>
      </c>
      <c r="C18" s="98" t="s">
        <v>273</v>
      </c>
      <c r="D18" s="126">
        <v>1</v>
      </c>
      <c r="E18" s="99">
        <v>1</v>
      </c>
      <c r="F18" s="100" t="s">
        <v>275</v>
      </c>
      <c r="G18" s="101">
        <f>D18</f>
        <v>1</v>
      </c>
      <c r="J18" s="69" t="str">
        <f>IF(D18=E18,IF(D19=E19,"Y","N"),"N")</f>
        <v>Y</v>
      </c>
    </row>
    <row r="19" spans="2:10" ht="35.25" customHeight="1">
      <c r="B19" s="102" t="s">
        <v>266</v>
      </c>
      <c r="C19" s="103" t="s">
        <v>274</v>
      </c>
      <c r="D19" s="127">
        <v>1</v>
      </c>
      <c r="E19" s="104">
        <v>1</v>
      </c>
      <c r="F19" s="105" t="s">
        <v>275</v>
      </c>
      <c r="G19" s="106">
        <f>D19</f>
        <v>1</v>
      </c>
      <c r="J19" s="123" t="str">
        <f>IF(D21=E21,IF(D22=E22,"Y","N"),"N")</f>
        <v>Y</v>
      </c>
    </row>
    <row r="20" spans="2:7" ht="12.75">
      <c r="B20" s="107"/>
      <c r="C20" s="13"/>
      <c r="D20" s="131"/>
      <c r="E20" s="109"/>
      <c r="F20" s="109"/>
      <c r="G20" s="108"/>
    </row>
    <row r="21" spans="2:10" ht="35.25" customHeight="1">
      <c r="B21" s="110" t="s">
        <v>276</v>
      </c>
      <c r="C21" s="110" t="s">
        <v>282</v>
      </c>
      <c r="D21" s="129">
        <v>485</v>
      </c>
      <c r="E21" s="111">
        <v>485</v>
      </c>
      <c r="F21" s="112" t="s">
        <v>283</v>
      </c>
      <c r="G21" s="113">
        <f>D21</f>
        <v>485</v>
      </c>
      <c r="J21" s="118" t="s">
        <v>318</v>
      </c>
    </row>
    <row r="22" spans="2:10" ht="35.25" customHeight="1">
      <c r="B22" s="114" t="s">
        <v>276</v>
      </c>
      <c r="C22" s="102" t="s">
        <v>332</v>
      </c>
      <c r="D22" s="153">
        <v>1</v>
      </c>
      <c r="E22" s="115">
        <v>1</v>
      </c>
      <c r="F22" s="115" t="s">
        <v>331</v>
      </c>
      <c r="G22" s="116">
        <f>D22</f>
        <v>1</v>
      </c>
      <c r="J22" s="119" t="s">
        <v>295</v>
      </c>
    </row>
    <row r="23" spans="2:10" ht="35.25" customHeight="1">
      <c r="B23" s="107"/>
      <c r="C23" s="13"/>
      <c r="D23" s="132"/>
      <c r="E23" s="13"/>
      <c r="F23" s="13"/>
      <c r="G23" s="13"/>
      <c r="J23" s="122" t="s">
        <v>319</v>
      </c>
    </row>
    <row r="24" spans="2:10" ht="12.75">
      <c r="B24" s="47"/>
      <c r="C24" s="19" t="s">
        <v>277</v>
      </c>
      <c r="D24" s="117">
        <f>IF(D22=1,'ERR Calculation'!C26,'ERR Calculation'!C14)</f>
        <v>0.11279073668899953</v>
      </c>
      <c r="E24" s="13"/>
      <c r="G24" s="13"/>
      <c r="J24" s="13"/>
    </row>
    <row r="25" spans="2:7" ht="18.75" customHeight="1">
      <c r="B25" s="13"/>
      <c r="C25" s="13"/>
      <c r="D25" s="13"/>
      <c r="E25" s="13"/>
      <c r="G25" s="13"/>
    </row>
    <row r="26" spans="2:7" ht="12.75">
      <c r="B26" s="13"/>
      <c r="C26" s="120" t="s">
        <v>317</v>
      </c>
      <c r="D26" s="121">
        <v>0.113</v>
      </c>
      <c r="E26" s="13"/>
      <c r="G26" s="13"/>
    </row>
    <row r="27" spans="2:7" ht="24.75" customHeight="1">
      <c r="B27" s="13"/>
      <c r="C27" s="130">
        <f>IF(J18="N",IF(J19="N","Reminder: Please reset all summary parameters to original values before changing specific parameters.  Specific parameters will only be used in ERR computation when all summary parameters are set to initial values",0),0)</f>
        <v>0</v>
      </c>
      <c r="D27" s="130"/>
      <c r="E27" s="130"/>
      <c r="F27" s="130"/>
      <c r="G27" s="130"/>
    </row>
    <row r="28" spans="2:8" ht="12.75">
      <c r="B28" s="13"/>
      <c r="C28" s="13"/>
      <c r="D28" s="13"/>
      <c r="E28" s="13"/>
      <c r="F28" s="13"/>
      <c r="G28" s="13"/>
      <c r="H28" s="130"/>
    </row>
  </sheetData>
  <sheetProtection/>
  <mergeCells count="7">
    <mergeCell ref="B1:G5"/>
    <mergeCell ref="B6:G6"/>
    <mergeCell ref="B8:G8"/>
    <mergeCell ref="B11:G13"/>
    <mergeCell ref="D16:G16"/>
    <mergeCell ref="B16:B17"/>
    <mergeCell ref="C16:C17"/>
  </mergeCells>
  <conditionalFormatting sqref="C27">
    <cfRule type="cellIs" priority="1" dxfId="1" operator="equal" stopIfTrue="1">
      <formula>0</formula>
    </cfRule>
    <cfRule type="cellIs" priority="2" dxfId="0" operator="notEqual" stopIfTrue="1">
      <formula>0</formula>
    </cfRule>
  </conditionalFormatting>
  <hyperlinks>
    <hyperlink ref="J22" location="'Activity Description'!A1" display="Activity Description"/>
    <hyperlink ref="J23" location="'User Guide'!A1" display="User's Guide"/>
  </hyperlinks>
  <printOptions/>
  <pageMargins left="0.7" right="0.7" top="0.75" bottom="0.75" header="0.3" footer="0.3"/>
  <pageSetup horizontalDpi="200" verticalDpi="2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B2:X229"/>
  <sheetViews>
    <sheetView showGridLines="0" zoomScale="85" zoomScaleNormal="85" zoomScalePageLayoutView="0" workbookViewId="0" topLeftCell="A1">
      <selection activeCell="A1" sqref="A1"/>
    </sheetView>
  </sheetViews>
  <sheetFormatPr defaultColWidth="9.140625" defaultRowHeight="12.75"/>
  <cols>
    <col min="1" max="1" width="4.57421875" style="0" customWidth="1"/>
    <col min="2" max="2" width="29.7109375" style="0" customWidth="1"/>
    <col min="3" max="3" width="11.7109375" style="0" customWidth="1"/>
    <col min="4" max="4" width="24.421875" style="0" customWidth="1"/>
    <col min="5" max="5" width="7.00390625" style="0" customWidth="1"/>
    <col min="6" max="6" width="6.8515625" style="0" customWidth="1"/>
    <col min="7" max="7" width="7.00390625" style="0" customWidth="1"/>
    <col min="8" max="8" width="6.7109375" style="0" customWidth="1"/>
    <col min="9" max="9" width="7.421875" style="0" customWidth="1"/>
    <col min="10" max="10" width="7.28125" style="0" customWidth="1"/>
    <col min="11" max="12" width="7.57421875" style="0" customWidth="1"/>
    <col min="13" max="13" width="6.8515625" style="0" customWidth="1"/>
    <col min="14" max="14" width="7.421875" style="0" customWidth="1"/>
    <col min="15" max="15" width="7.57421875" style="0" customWidth="1"/>
    <col min="16" max="18" width="7.140625" style="0" customWidth="1"/>
    <col min="19" max="19" width="7.8515625" style="0" customWidth="1"/>
    <col min="20" max="20" width="7.140625" style="0" customWidth="1"/>
    <col min="21" max="21" width="7.00390625" style="0" customWidth="1"/>
    <col min="22" max="22" width="6.8515625" style="0" customWidth="1"/>
    <col min="23" max="23" width="6.57421875" style="0" customWidth="1"/>
  </cols>
  <sheetData>
    <row r="2" spans="2:23" ht="15">
      <c r="B2" s="49"/>
      <c r="C2" s="194" t="s">
        <v>281</v>
      </c>
      <c r="D2" s="194"/>
      <c r="E2" s="194"/>
      <c r="F2" s="194"/>
      <c r="G2" s="194"/>
      <c r="H2" s="194"/>
      <c r="I2" s="194"/>
      <c r="J2" s="195"/>
      <c r="K2" s="195"/>
      <c r="L2" s="195"/>
      <c r="M2" s="195"/>
      <c r="N2" s="49"/>
      <c r="O2" s="49"/>
      <c r="P2" s="49"/>
      <c r="Q2" s="49"/>
      <c r="R2" s="49"/>
      <c r="S2" s="49"/>
      <c r="T2" s="49"/>
      <c r="U2" s="49"/>
      <c r="V2" s="49"/>
      <c r="W2" s="49"/>
    </row>
    <row r="3" spans="3:23" ht="15.75">
      <c r="C3" s="196" t="s">
        <v>298</v>
      </c>
      <c r="D3" s="196"/>
      <c r="E3" s="196"/>
      <c r="F3" s="196"/>
      <c r="G3" s="196"/>
      <c r="H3" s="196"/>
      <c r="I3" s="196"/>
      <c r="J3" s="195"/>
      <c r="K3" s="195"/>
      <c r="L3" s="195"/>
      <c r="M3" s="195"/>
      <c r="N3" s="49"/>
      <c r="O3" s="49"/>
      <c r="P3" s="49"/>
      <c r="Q3" s="49"/>
      <c r="R3" s="49"/>
      <c r="S3" s="49"/>
      <c r="T3" s="49"/>
      <c r="U3" s="49"/>
      <c r="V3" s="49"/>
      <c r="W3" s="49"/>
    </row>
    <row r="4" spans="2:23" ht="22.5">
      <c r="B4" s="50" t="s">
        <v>279</v>
      </c>
      <c r="C4" s="49"/>
      <c r="D4" s="49"/>
      <c r="E4" s="49"/>
      <c r="F4" s="49"/>
      <c r="G4" s="49"/>
      <c r="H4" s="49"/>
      <c r="I4" s="49"/>
      <c r="J4" s="49"/>
      <c r="K4" s="197" t="s">
        <v>326</v>
      </c>
      <c r="L4" s="197"/>
      <c r="M4" s="197"/>
      <c r="N4" s="124">
        <f>IF('ERR and Sensitivity Analysis'!J18="Y",IF('ERR and Sensitivity Analysis'!J19="Y","","Note: Current calculations are based on user input and are not the original MCC estimates"),"Note: Current calculations are based on user input and are not the original MCC estimates")</f>
      </c>
      <c r="O4" s="49"/>
      <c r="P4" s="49"/>
      <c r="Q4" s="49"/>
      <c r="R4" s="49"/>
      <c r="S4" s="49"/>
      <c r="T4" s="49"/>
      <c r="U4" s="49"/>
      <c r="V4" s="49"/>
      <c r="W4" s="49"/>
    </row>
    <row r="5" spans="2:23" ht="12.75">
      <c r="B5" s="50" t="s">
        <v>21</v>
      </c>
      <c r="C5" s="152">
        <f>'ERR and Sensitivity Analysis'!D19</f>
        <v>1</v>
      </c>
      <c r="D5" s="49"/>
      <c r="E5" s="49"/>
      <c r="F5" s="49"/>
      <c r="G5" s="49"/>
      <c r="H5" s="49"/>
      <c r="I5" s="49"/>
      <c r="J5" s="49"/>
      <c r="K5" s="124">
        <f>IF('ERR and Sensitivity Analysis'!J18="Y",IF('ERR and Sensitivity Analysis'!J19="Y","","Note: Current calculations are based on user input and are not the original MCC estimates"),"Note: Current calculations are based on user input and are not the original MCC estimates")</f>
      </c>
      <c r="L5" s="151"/>
      <c r="M5" s="151"/>
      <c r="N5" s="124"/>
      <c r="O5" s="49"/>
      <c r="P5" s="49"/>
      <c r="Q5" s="49"/>
      <c r="R5" s="49"/>
      <c r="S5" s="49"/>
      <c r="T5" s="49"/>
      <c r="U5" s="49"/>
      <c r="V5" s="49"/>
      <c r="W5" s="49"/>
    </row>
    <row r="6" spans="2:23" ht="12.75">
      <c r="B6" s="50" t="s">
        <v>280</v>
      </c>
      <c r="C6" s="152">
        <f>'ERR and Sensitivity Analysis'!D18</f>
        <v>1</v>
      </c>
      <c r="D6" s="49"/>
      <c r="E6" s="49"/>
      <c r="F6" s="49"/>
      <c r="G6" s="49"/>
      <c r="H6" s="49"/>
      <c r="I6" s="49"/>
      <c r="J6" s="49"/>
      <c r="K6" s="151"/>
      <c r="L6" s="151"/>
      <c r="M6" s="151"/>
      <c r="N6" s="124"/>
      <c r="O6" s="49"/>
      <c r="P6" s="49"/>
      <c r="Q6" s="49"/>
      <c r="R6" s="49"/>
      <c r="S6" s="49"/>
      <c r="T6" s="49"/>
      <c r="U6" s="49"/>
      <c r="V6" s="49"/>
      <c r="W6" s="49"/>
    </row>
    <row r="7" spans="2:23" ht="22.5" customHeight="1">
      <c r="B7" s="133" t="s">
        <v>102</v>
      </c>
      <c r="C7" s="134">
        <v>1</v>
      </c>
      <c r="D7" s="52">
        <v>2</v>
      </c>
      <c r="E7" s="52">
        <v>3</v>
      </c>
      <c r="F7" s="52">
        <v>4</v>
      </c>
      <c r="G7" s="52">
        <v>5</v>
      </c>
      <c r="H7" s="52">
        <v>6</v>
      </c>
      <c r="I7" s="52">
        <v>7</v>
      </c>
      <c r="J7" s="52">
        <v>8</v>
      </c>
      <c r="K7" s="52">
        <v>9</v>
      </c>
      <c r="L7" s="52">
        <v>10</v>
      </c>
      <c r="M7" s="52">
        <v>11</v>
      </c>
      <c r="N7" s="52">
        <v>12</v>
      </c>
      <c r="O7" s="52">
        <v>13</v>
      </c>
      <c r="P7" s="52">
        <v>14</v>
      </c>
      <c r="Q7" s="52">
        <v>15</v>
      </c>
      <c r="R7" s="52">
        <v>16</v>
      </c>
      <c r="S7" s="52">
        <v>17</v>
      </c>
      <c r="T7" s="52">
        <v>18</v>
      </c>
      <c r="U7" s="52">
        <v>19</v>
      </c>
      <c r="V7" s="52">
        <v>20</v>
      </c>
      <c r="W7" s="52"/>
    </row>
    <row r="8" spans="2:23" ht="12.75">
      <c r="B8" s="50" t="s">
        <v>78</v>
      </c>
      <c r="C8" s="135">
        <v>24988839351.002388</v>
      </c>
      <c r="D8" s="52">
        <v>29986607221.202866</v>
      </c>
      <c r="E8" s="52">
        <v>44979910831.80429</v>
      </c>
      <c r="F8" s="52"/>
      <c r="G8" s="52"/>
      <c r="H8" s="52"/>
      <c r="I8" s="52"/>
      <c r="J8" s="52"/>
      <c r="K8" s="52"/>
      <c r="L8" s="52"/>
      <c r="M8" s="52"/>
      <c r="N8" s="52"/>
      <c r="O8" s="52"/>
      <c r="P8" s="52"/>
      <c r="Q8" s="52"/>
      <c r="R8" s="52"/>
      <c r="S8" s="52"/>
      <c r="T8" s="52"/>
      <c r="U8" s="52"/>
      <c r="V8" s="52"/>
      <c r="W8" s="52"/>
    </row>
    <row r="9" spans="2:23" ht="12.75">
      <c r="B9" s="50" t="s">
        <v>103</v>
      </c>
      <c r="C9" s="136">
        <v>1158611111.1111112</v>
      </c>
      <c r="D9" s="52">
        <v>2317222222.2222223</v>
      </c>
      <c r="E9" s="52">
        <v>2317222222.2222223</v>
      </c>
      <c r="F9" s="52">
        <v>2317222222.2222223</v>
      </c>
      <c r="G9" s="52">
        <v>2317222222.2222223</v>
      </c>
      <c r="H9" s="52"/>
      <c r="I9" s="52"/>
      <c r="J9" s="52"/>
      <c r="K9" s="52"/>
      <c r="L9" s="52"/>
      <c r="M9" s="52"/>
      <c r="N9" s="52"/>
      <c r="O9" s="52"/>
      <c r="P9" s="52"/>
      <c r="Q9" s="52"/>
      <c r="R9" s="52"/>
      <c r="S9" s="52"/>
      <c r="T9" s="52"/>
      <c r="U9" s="52"/>
      <c r="V9" s="52"/>
      <c r="W9" s="52"/>
    </row>
    <row r="10" spans="2:23" ht="12.75">
      <c r="B10" s="137" t="s">
        <v>137</v>
      </c>
      <c r="C10" s="51">
        <v>0</v>
      </c>
      <c r="D10" s="53">
        <v>534343618.84615386</v>
      </c>
      <c r="E10" s="53">
        <v>923443424.6153846</v>
      </c>
      <c r="F10" s="53">
        <v>565515111.5384616</v>
      </c>
      <c r="G10" s="53">
        <v>945978180</v>
      </c>
      <c r="H10" s="53">
        <v>580321726.9230769</v>
      </c>
      <c r="I10" s="53">
        <v>1004234150.7692308</v>
      </c>
      <c r="J10" s="53">
        <v>589383813.8461539</v>
      </c>
      <c r="K10" s="53">
        <v>1064160698.4615384</v>
      </c>
      <c r="L10" s="53">
        <v>595609032.3076923</v>
      </c>
      <c r="M10" s="53">
        <v>1128986244.6153846</v>
      </c>
      <c r="N10" s="53">
        <v>600993949.2307692</v>
      </c>
      <c r="O10" s="53">
        <v>1201157009.2307692</v>
      </c>
      <c r="P10" s="53">
        <v>932737927.6923077</v>
      </c>
      <c r="Q10" s="53">
        <v>955929638.4615384</v>
      </c>
      <c r="R10" s="53">
        <v>980307566.6030769</v>
      </c>
      <c r="S10" s="53">
        <v>1006060953.0156555</v>
      </c>
      <c r="T10" s="53">
        <v>1033270836.7585553</v>
      </c>
      <c r="U10" s="53">
        <v>1062022680.3477949</v>
      </c>
      <c r="V10" s="53">
        <v>1092407233.3298407</v>
      </c>
      <c r="W10" s="53"/>
    </row>
    <row r="11" spans="2:23" ht="12.75">
      <c r="B11" s="138" t="s">
        <v>79</v>
      </c>
      <c r="C11" s="139">
        <v>0</v>
      </c>
      <c r="D11" s="52">
        <v>0</v>
      </c>
      <c r="E11" s="52">
        <v>0</v>
      </c>
      <c r="F11" s="52">
        <v>12939873738.476864</v>
      </c>
      <c r="G11" s="52">
        <v>13328069950.63117</v>
      </c>
      <c r="H11" s="52">
        <v>13727912049.150105</v>
      </c>
      <c r="I11" s="52">
        <v>14139749410.624609</v>
      </c>
      <c r="J11" s="52">
        <v>14563941892.943346</v>
      </c>
      <c r="K11" s="52">
        <v>15000860149.731644</v>
      </c>
      <c r="L11" s="52">
        <v>15450885954.223595</v>
      </c>
      <c r="M11" s="52">
        <v>15914412532.850304</v>
      </c>
      <c r="N11" s="52">
        <v>16391844908.835812</v>
      </c>
      <c r="O11" s="52">
        <v>16883600256.100885</v>
      </c>
      <c r="P11" s="52">
        <v>17390108263.783913</v>
      </c>
      <c r="Q11" s="52">
        <v>17911811511.69743</v>
      </c>
      <c r="R11" s="52">
        <v>18449165857.048347</v>
      </c>
      <c r="S11" s="52">
        <v>19002640832.7598</v>
      </c>
      <c r="T11" s="52">
        <v>19572720057.742596</v>
      </c>
      <c r="U11" s="52">
        <v>20159901659.474873</v>
      </c>
      <c r="V11" s="52">
        <v>20764698709.259117</v>
      </c>
      <c r="W11" s="52"/>
    </row>
    <row r="12" spans="2:23" ht="12.75">
      <c r="B12" s="51" t="s">
        <v>104</v>
      </c>
      <c r="C12" s="139">
        <f>(C11+C10)*$C$5-(C9+C8)*$C$6</f>
        <v>-26147450462.1135</v>
      </c>
      <c r="D12" s="139">
        <f aca="true" t="shared" si="0" ref="D12:V12">(D11+D10)*$C$5-(D9+D8)*$C$6</f>
        <v>-31769485824.578934</v>
      </c>
      <c r="E12" s="139">
        <f t="shared" si="0"/>
        <v>-46373689629.411125</v>
      </c>
      <c r="F12" s="139">
        <f t="shared" si="0"/>
        <v>11188166627.793102</v>
      </c>
      <c r="G12" s="139">
        <f t="shared" si="0"/>
        <v>11956825908.408947</v>
      </c>
      <c r="H12" s="139">
        <f t="shared" si="0"/>
        <v>14308233776.073181</v>
      </c>
      <c r="I12" s="139">
        <f t="shared" si="0"/>
        <v>15143983561.39384</v>
      </c>
      <c r="J12" s="139">
        <f t="shared" si="0"/>
        <v>15153325706.7895</v>
      </c>
      <c r="K12" s="139">
        <f t="shared" si="0"/>
        <v>16065020848.193182</v>
      </c>
      <c r="L12" s="139">
        <f t="shared" si="0"/>
        <v>16046494986.531286</v>
      </c>
      <c r="M12" s="139">
        <f t="shared" si="0"/>
        <v>17043398777.465689</v>
      </c>
      <c r="N12" s="139">
        <f t="shared" si="0"/>
        <v>16992838858.066582</v>
      </c>
      <c r="O12" s="139">
        <f t="shared" si="0"/>
        <v>18084757265.331654</v>
      </c>
      <c r="P12" s="139">
        <f t="shared" si="0"/>
        <v>18322846191.47622</v>
      </c>
      <c r="Q12" s="139">
        <f t="shared" si="0"/>
        <v>18867741150.15897</v>
      </c>
      <c r="R12" s="139">
        <f t="shared" si="0"/>
        <v>19429473423.651424</v>
      </c>
      <c r="S12" s="139">
        <f t="shared" si="0"/>
        <v>20008701785.775455</v>
      </c>
      <c r="T12" s="139">
        <f t="shared" si="0"/>
        <v>20605990894.501152</v>
      </c>
      <c r="U12" s="139">
        <f t="shared" si="0"/>
        <v>21221924339.822666</v>
      </c>
      <c r="V12" s="139">
        <f t="shared" si="0"/>
        <v>21857105942.58896</v>
      </c>
      <c r="W12" s="52"/>
    </row>
    <row r="13" spans="2:23" ht="12.75">
      <c r="B13" s="51" t="s">
        <v>258</v>
      </c>
      <c r="C13" s="140">
        <v>805052.8141431182</v>
      </c>
      <c r="D13" s="53"/>
      <c r="E13" s="53"/>
      <c r="F13" s="53"/>
      <c r="G13" s="53"/>
      <c r="H13" s="53"/>
      <c r="I13" s="52"/>
      <c r="J13" s="52"/>
      <c r="K13" s="52"/>
      <c r="L13" s="52"/>
      <c r="M13" s="52"/>
      <c r="N13" s="52"/>
      <c r="O13" s="52"/>
      <c r="P13" s="52"/>
      <c r="Q13" s="52"/>
      <c r="R13" s="52"/>
      <c r="S13" s="52"/>
      <c r="T13" s="52"/>
      <c r="U13" s="52"/>
      <c r="V13" s="52"/>
      <c r="W13" s="52"/>
    </row>
    <row r="14" spans="2:23" ht="12.75">
      <c r="B14" s="141" t="s">
        <v>105</v>
      </c>
      <c r="C14" s="142">
        <v>0.11572847416006048</v>
      </c>
      <c r="D14" s="52" t="s">
        <v>165</v>
      </c>
      <c r="E14" s="52"/>
      <c r="F14" s="52"/>
      <c r="G14" s="52"/>
      <c r="H14" s="52"/>
      <c r="I14" s="52"/>
      <c r="J14" s="52"/>
      <c r="K14" s="52"/>
      <c r="L14" s="52"/>
      <c r="M14" s="52"/>
      <c r="N14" s="52"/>
      <c r="O14" s="52"/>
      <c r="P14" s="52"/>
      <c r="Q14" s="52"/>
      <c r="R14" s="52"/>
      <c r="S14" s="52"/>
      <c r="T14" s="52"/>
      <c r="U14" s="52"/>
      <c r="V14" s="52"/>
      <c r="W14" s="52"/>
    </row>
    <row r="15" spans="2:24" ht="12.75">
      <c r="B15" s="143"/>
      <c r="C15" s="142"/>
      <c r="D15" s="53"/>
      <c r="E15" s="53"/>
      <c r="F15" s="53"/>
      <c r="G15" s="53"/>
      <c r="H15" s="53"/>
      <c r="I15" s="53"/>
      <c r="J15" s="53"/>
      <c r="K15" s="53"/>
      <c r="L15" s="53"/>
      <c r="M15" s="53"/>
      <c r="N15" s="53"/>
      <c r="O15" s="53"/>
      <c r="P15" s="53"/>
      <c r="Q15" s="53"/>
      <c r="R15" s="53"/>
      <c r="S15" s="53"/>
      <c r="T15" s="53"/>
      <c r="U15" s="53"/>
      <c r="V15" s="53"/>
      <c r="W15" s="53"/>
      <c r="X15" s="7"/>
    </row>
    <row r="16" spans="2:24" ht="12.75">
      <c r="B16" s="143" t="s">
        <v>257</v>
      </c>
      <c r="C16" s="142" t="s">
        <v>149</v>
      </c>
      <c r="D16" s="54"/>
      <c r="E16" s="55"/>
      <c r="F16" s="55"/>
      <c r="G16" s="54"/>
      <c r="H16" s="54"/>
      <c r="I16" s="54"/>
      <c r="J16" s="54"/>
      <c r="K16" s="54"/>
      <c r="L16" s="54"/>
      <c r="M16" s="54"/>
      <c r="N16" s="54"/>
      <c r="O16" s="54"/>
      <c r="P16" s="54"/>
      <c r="Q16" s="54"/>
      <c r="R16" s="54"/>
      <c r="S16" s="54"/>
      <c r="T16" s="54"/>
      <c r="U16" s="54"/>
      <c r="V16" s="54"/>
      <c r="W16" s="54"/>
      <c r="X16" s="46"/>
    </row>
    <row r="17" spans="2:24" ht="12.75">
      <c r="B17" s="144" t="s">
        <v>145</v>
      </c>
      <c r="C17" s="51">
        <v>3124863.87161049</v>
      </c>
      <c r="D17" s="53"/>
      <c r="E17" s="53"/>
      <c r="F17" s="53"/>
      <c r="G17" s="53"/>
      <c r="H17" s="53"/>
      <c r="I17" s="53"/>
      <c r="J17" s="53"/>
      <c r="K17" s="53"/>
      <c r="L17" s="53"/>
      <c r="M17" s="53"/>
      <c r="N17" s="53"/>
      <c r="O17" s="53"/>
      <c r="P17" s="53"/>
      <c r="Q17" s="53"/>
      <c r="R17" s="53"/>
      <c r="S17" s="53"/>
      <c r="T17" s="53"/>
      <c r="U17" s="53"/>
      <c r="V17" s="53"/>
      <c r="W17" s="53"/>
      <c r="X17" s="46"/>
    </row>
    <row r="18" spans="2:23" ht="12.75">
      <c r="B18" s="51" t="s">
        <v>146</v>
      </c>
      <c r="C18" s="51">
        <v>240000</v>
      </c>
      <c r="D18" s="52"/>
      <c r="E18" s="52"/>
      <c r="F18" s="52"/>
      <c r="G18" s="52"/>
      <c r="H18" s="52"/>
      <c r="I18" s="52"/>
      <c r="J18" s="52"/>
      <c r="K18" s="52"/>
      <c r="L18" s="52"/>
      <c r="M18" s="52"/>
      <c r="N18" s="52"/>
      <c r="O18" s="52"/>
      <c r="P18" s="52"/>
      <c r="Q18" s="52"/>
      <c r="R18" s="52"/>
      <c r="S18" s="52"/>
      <c r="T18" s="52"/>
      <c r="U18" s="52"/>
      <c r="V18" s="52"/>
      <c r="W18" s="52"/>
    </row>
    <row r="19" spans="2:23" ht="12.75">
      <c r="B19" s="145" t="s">
        <v>147</v>
      </c>
      <c r="C19" s="51">
        <v>240000</v>
      </c>
      <c r="D19" s="52"/>
      <c r="E19" s="52"/>
      <c r="F19" s="52"/>
      <c r="G19" s="52"/>
      <c r="H19" s="52"/>
      <c r="I19" s="52"/>
      <c r="J19" s="52"/>
      <c r="K19" s="52"/>
      <c r="L19" s="52"/>
      <c r="M19" s="52"/>
      <c r="N19" s="52"/>
      <c r="O19" s="52"/>
      <c r="P19" s="52"/>
      <c r="Q19" s="52"/>
      <c r="R19" s="52"/>
      <c r="S19" s="52"/>
      <c r="T19" s="52"/>
      <c r="U19" s="52"/>
      <c r="V19" s="52"/>
      <c r="W19" s="52"/>
    </row>
    <row r="20" spans="2:23" ht="12.75">
      <c r="B20" s="138" t="s">
        <v>148</v>
      </c>
      <c r="C20" s="51">
        <v>220000</v>
      </c>
      <c r="D20" s="52"/>
      <c r="E20" s="52"/>
      <c r="F20" s="52"/>
      <c r="G20" s="52"/>
      <c r="H20" s="52"/>
      <c r="I20" s="52"/>
      <c r="J20" s="52"/>
      <c r="K20" s="52"/>
      <c r="L20" s="52"/>
      <c r="M20" s="52"/>
      <c r="N20" s="52"/>
      <c r="O20" s="52"/>
      <c r="P20" s="52"/>
      <c r="Q20" s="52"/>
      <c r="R20" s="52"/>
      <c r="S20" s="52"/>
      <c r="T20" s="52"/>
      <c r="U20" s="52"/>
      <c r="V20" s="52"/>
      <c r="W20" s="52"/>
    </row>
    <row r="21" spans="2:23" ht="12.75">
      <c r="B21" s="51" t="s">
        <v>167</v>
      </c>
      <c r="C21" s="51">
        <v>900000</v>
      </c>
      <c r="D21" s="53" t="s">
        <v>256</v>
      </c>
      <c r="E21" s="53"/>
      <c r="F21" s="53"/>
      <c r="G21" s="53"/>
      <c r="H21" s="53"/>
      <c r="I21" s="52"/>
      <c r="J21" s="52"/>
      <c r="K21" s="52"/>
      <c r="L21" s="52"/>
      <c r="M21" s="52"/>
      <c r="N21" s="52"/>
      <c r="O21" s="52"/>
      <c r="P21" s="52"/>
      <c r="Q21" s="52"/>
      <c r="R21" s="52"/>
      <c r="S21" s="52"/>
      <c r="T21" s="52"/>
      <c r="U21" s="52"/>
      <c r="V21" s="52"/>
      <c r="W21" s="52"/>
    </row>
    <row r="22" spans="2:23" ht="12.75">
      <c r="B22" s="51" t="s">
        <v>67</v>
      </c>
      <c r="C22" s="51">
        <v>4724863.871610491</v>
      </c>
      <c r="D22" s="53"/>
      <c r="E22" s="53"/>
      <c r="F22" s="53"/>
      <c r="G22" s="53"/>
      <c r="H22" s="53"/>
      <c r="I22" s="52"/>
      <c r="J22" s="52"/>
      <c r="K22" s="52"/>
      <c r="L22" s="52"/>
      <c r="M22" s="52"/>
      <c r="N22" s="52"/>
      <c r="O22" s="52"/>
      <c r="P22" s="52"/>
      <c r="Q22" s="52"/>
      <c r="R22" s="52"/>
      <c r="S22" s="52"/>
      <c r="T22" s="52"/>
      <c r="U22" s="52"/>
      <c r="V22" s="52"/>
      <c r="W22" s="52"/>
    </row>
    <row r="23" spans="2:23" ht="12.75">
      <c r="B23" s="138"/>
      <c r="C23" s="51"/>
      <c r="D23" s="53"/>
      <c r="E23" s="53"/>
      <c r="F23" s="53"/>
      <c r="G23" s="53"/>
      <c r="H23" s="53"/>
      <c r="I23" s="53"/>
      <c r="J23" s="53"/>
      <c r="K23" s="53"/>
      <c r="L23" s="53"/>
      <c r="M23" s="53"/>
      <c r="N23" s="53"/>
      <c r="O23" s="53"/>
      <c r="P23" s="53"/>
      <c r="Q23" s="53"/>
      <c r="R23" s="53"/>
      <c r="S23" s="53"/>
      <c r="T23" s="53"/>
      <c r="U23" s="53"/>
      <c r="V23" s="53"/>
      <c r="W23" s="53"/>
    </row>
    <row r="24" spans="2:23" ht="12.75">
      <c r="B24" s="51" t="s">
        <v>168</v>
      </c>
      <c r="C24" s="9">
        <f>C12-$C$22*'ERR and Sensitivity Analysis'!D21*0.25</f>
        <v>-26720340206.546272</v>
      </c>
      <c r="D24" s="9">
        <f>D12-$C$22*'ERR and Sensitivity Analysis'!D21*0.3</f>
        <v>-32456953517.898262</v>
      </c>
      <c r="E24" s="9">
        <f>E12-$C$22*'ERR and Sensitivity Analysis'!D21*0.45</f>
        <v>-47404891169.390114</v>
      </c>
      <c r="F24" s="9">
        <f>F12</f>
        <v>11188166627.793102</v>
      </c>
      <c r="G24" s="9">
        <f aca="true" t="shared" si="1" ref="G24:V24">G12</f>
        <v>11956825908.408947</v>
      </c>
      <c r="H24" s="9">
        <f t="shared" si="1"/>
        <v>14308233776.073181</v>
      </c>
      <c r="I24" s="9">
        <f t="shared" si="1"/>
        <v>15143983561.39384</v>
      </c>
      <c r="J24" s="9">
        <f t="shared" si="1"/>
        <v>15153325706.7895</v>
      </c>
      <c r="K24" s="9">
        <f t="shared" si="1"/>
        <v>16065020848.193182</v>
      </c>
      <c r="L24" s="9">
        <f t="shared" si="1"/>
        <v>16046494986.531286</v>
      </c>
      <c r="M24" s="9">
        <f t="shared" si="1"/>
        <v>17043398777.465689</v>
      </c>
      <c r="N24" s="9">
        <f t="shared" si="1"/>
        <v>16992838858.066582</v>
      </c>
      <c r="O24" s="9">
        <f t="shared" si="1"/>
        <v>18084757265.331654</v>
      </c>
      <c r="P24" s="9">
        <f t="shared" si="1"/>
        <v>18322846191.47622</v>
      </c>
      <c r="Q24" s="9">
        <f t="shared" si="1"/>
        <v>18867741150.15897</v>
      </c>
      <c r="R24" s="9">
        <f t="shared" si="1"/>
        <v>19429473423.651424</v>
      </c>
      <c r="S24" s="9">
        <f t="shared" si="1"/>
        <v>20008701785.775455</v>
      </c>
      <c r="T24" s="9">
        <f t="shared" si="1"/>
        <v>20605990894.501152</v>
      </c>
      <c r="U24" s="9">
        <f t="shared" si="1"/>
        <v>21221924339.822666</v>
      </c>
      <c r="V24" s="9">
        <f t="shared" si="1"/>
        <v>21857105942.58896</v>
      </c>
      <c r="W24" s="53"/>
    </row>
    <row r="25" spans="2:23" ht="12.75">
      <c r="B25" s="51"/>
      <c r="C25" s="51"/>
      <c r="D25" s="54"/>
      <c r="E25" s="55"/>
      <c r="F25" s="55"/>
      <c r="G25" s="54"/>
      <c r="H25" s="54"/>
      <c r="I25" s="54"/>
      <c r="J25" s="54"/>
      <c r="K25" s="54"/>
      <c r="L25" s="54"/>
      <c r="M25" s="54"/>
      <c r="N25" s="54"/>
      <c r="O25" s="54"/>
      <c r="P25" s="54"/>
      <c r="Q25" s="54"/>
      <c r="R25" s="54"/>
      <c r="S25" s="54"/>
      <c r="T25" s="54"/>
      <c r="U25" s="54"/>
      <c r="V25" s="54"/>
      <c r="W25" s="54"/>
    </row>
    <row r="26" spans="2:23" ht="12.75">
      <c r="B26" s="144" t="s">
        <v>105</v>
      </c>
      <c r="C26" s="150">
        <f>IRR(C24:V24,0.11)</f>
        <v>0.11279073668899953</v>
      </c>
      <c r="D26" s="53"/>
      <c r="F26" s="53" t="s">
        <v>327</v>
      </c>
      <c r="G26" s="53"/>
      <c r="H26" s="53"/>
      <c r="I26" s="53"/>
      <c r="J26" s="53"/>
      <c r="K26" s="53"/>
      <c r="L26" s="53"/>
      <c r="M26" s="53"/>
      <c r="N26" s="53"/>
      <c r="O26" s="53"/>
      <c r="P26" s="53"/>
      <c r="Q26" s="53"/>
      <c r="R26" s="53"/>
      <c r="S26" s="53"/>
      <c r="T26" s="53"/>
      <c r="U26" s="53"/>
      <c r="V26" s="53"/>
      <c r="W26" s="53"/>
    </row>
    <row r="27" spans="2:23" ht="12.75">
      <c r="B27" s="51"/>
      <c r="C27" s="51"/>
      <c r="D27" s="52"/>
      <c r="E27" s="52"/>
      <c r="F27" s="52"/>
      <c r="G27" s="52"/>
      <c r="H27" s="52"/>
      <c r="I27" s="52"/>
      <c r="J27" s="52"/>
      <c r="K27" s="52"/>
      <c r="L27" s="52"/>
      <c r="M27" s="52"/>
      <c r="N27" s="52"/>
      <c r="O27" s="52"/>
      <c r="P27" s="52"/>
      <c r="Q27" s="52"/>
      <c r="R27" s="52"/>
      <c r="S27" s="52"/>
      <c r="T27" s="52"/>
      <c r="U27" s="52"/>
      <c r="V27" s="52"/>
      <c r="W27" s="52"/>
    </row>
    <row r="28" spans="2:23" ht="12.75">
      <c r="B28" s="145"/>
      <c r="C28" s="51"/>
      <c r="D28" s="52"/>
      <c r="E28" s="52"/>
      <c r="F28" s="52"/>
      <c r="G28" s="52"/>
      <c r="H28" s="52"/>
      <c r="I28" s="52"/>
      <c r="J28" s="52"/>
      <c r="K28" s="52"/>
      <c r="L28" s="52"/>
      <c r="M28" s="52"/>
      <c r="N28" s="52"/>
      <c r="O28" s="52"/>
      <c r="P28" s="52"/>
      <c r="Q28" s="52"/>
      <c r="R28" s="52"/>
      <c r="S28" s="52"/>
      <c r="T28" s="52"/>
      <c r="U28" s="52"/>
      <c r="V28" s="52"/>
      <c r="W28" s="52"/>
    </row>
    <row r="29" spans="2:23" ht="12.75">
      <c r="B29" s="138"/>
      <c r="C29" s="51"/>
      <c r="D29" s="52"/>
      <c r="E29" s="52"/>
      <c r="F29" s="52"/>
      <c r="G29" s="52"/>
      <c r="H29" s="52"/>
      <c r="I29" s="52"/>
      <c r="J29" s="52"/>
      <c r="K29" s="52"/>
      <c r="L29" s="52"/>
      <c r="M29" s="52"/>
      <c r="N29" s="52"/>
      <c r="O29" s="52"/>
      <c r="P29" s="52"/>
      <c r="Q29" s="52"/>
      <c r="R29" s="52"/>
      <c r="S29" s="52"/>
      <c r="T29" s="52"/>
      <c r="U29" s="52"/>
      <c r="V29" s="52"/>
      <c r="W29" s="52"/>
    </row>
    <row r="30" spans="2:23" ht="12.75">
      <c r="B30" s="51"/>
      <c r="C30" s="51"/>
      <c r="D30" s="53"/>
      <c r="E30" s="53"/>
      <c r="F30" s="53"/>
      <c r="G30" s="53"/>
      <c r="H30" s="53"/>
      <c r="I30" s="52"/>
      <c r="J30" s="52"/>
      <c r="K30" s="52"/>
      <c r="L30" s="52"/>
      <c r="M30" s="52"/>
      <c r="N30" s="52"/>
      <c r="O30" s="52"/>
      <c r="P30" s="52"/>
      <c r="Q30" s="52"/>
      <c r="R30" s="52"/>
      <c r="S30" s="52"/>
      <c r="T30" s="52"/>
      <c r="U30" s="52"/>
      <c r="V30" s="52"/>
      <c r="W30" s="52"/>
    </row>
    <row r="31" spans="2:23" ht="12.75">
      <c r="B31" s="51"/>
      <c r="C31" s="51"/>
      <c r="D31" s="53"/>
      <c r="E31" s="53"/>
      <c r="F31" s="53"/>
      <c r="G31" s="53"/>
      <c r="H31" s="53"/>
      <c r="I31" s="52"/>
      <c r="J31" s="52"/>
      <c r="K31" s="52"/>
      <c r="L31" s="52"/>
      <c r="M31" s="52"/>
      <c r="N31" s="52"/>
      <c r="O31" s="52"/>
      <c r="P31" s="52"/>
      <c r="Q31" s="52"/>
      <c r="R31" s="52"/>
      <c r="S31" s="52"/>
      <c r="T31" s="52"/>
      <c r="U31" s="52"/>
      <c r="V31" s="52"/>
      <c r="W31" s="52"/>
    </row>
    <row r="32" spans="2:23" ht="12.75">
      <c r="B32" s="138"/>
      <c r="C32" s="51"/>
      <c r="D32" s="52"/>
      <c r="E32" s="52"/>
      <c r="F32" s="52"/>
      <c r="G32" s="52"/>
      <c r="H32" s="52"/>
      <c r="I32" s="52"/>
      <c r="J32" s="52"/>
      <c r="K32" s="52"/>
      <c r="L32" s="52"/>
      <c r="M32" s="52"/>
      <c r="N32" s="52"/>
      <c r="O32" s="52"/>
      <c r="P32" s="52"/>
      <c r="Q32" s="52"/>
      <c r="R32" s="52"/>
      <c r="S32" s="52"/>
      <c r="T32" s="52"/>
      <c r="U32" s="52"/>
      <c r="V32" s="52"/>
      <c r="W32" s="52"/>
    </row>
    <row r="33" spans="2:23" ht="12.75">
      <c r="B33" s="51"/>
      <c r="C33" s="51"/>
      <c r="D33" s="53"/>
      <c r="E33" s="53"/>
      <c r="F33" s="53"/>
      <c r="G33" s="53"/>
      <c r="H33" s="53"/>
      <c r="I33" s="53"/>
      <c r="J33" s="53"/>
      <c r="K33" s="53"/>
      <c r="L33" s="53"/>
      <c r="M33" s="53"/>
      <c r="N33" s="53"/>
      <c r="O33" s="53"/>
      <c r="P33" s="53"/>
      <c r="Q33" s="53"/>
      <c r="R33" s="53"/>
      <c r="S33" s="53"/>
      <c r="T33" s="53"/>
      <c r="U33" s="53"/>
      <c r="V33" s="53"/>
      <c r="W33" s="53"/>
    </row>
    <row r="34" spans="2:23" ht="12.75">
      <c r="B34" s="51"/>
      <c r="C34" s="51"/>
      <c r="D34" s="54"/>
      <c r="E34" s="55"/>
      <c r="F34" s="55"/>
      <c r="G34" s="54"/>
      <c r="H34" s="54"/>
      <c r="I34" s="54"/>
      <c r="J34" s="54"/>
      <c r="K34" s="54"/>
      <c r="L34" s="54"/>
      <c r="M34" s="54"/>
      <c r="N34" s="54"/>
      <c r="O34" s="54"/>
      <c r="P34" s="54"/>
      <c r="Q34" s="54"/>
      <c r="R34" s="54"/>
      <c r="S34" s="54"/>
      <c r="T34" s="54"/>
      <c r="U34" s="54"/>
      <c r="V34" s="54"/>
      <c r="W34" s="54"/>
    </row>
    <row r="35" spans="2:23" ht="12.75">
      <c r="B35" s="144"/>
      <c r="C35" s="51"/>
      <c r="D35" s="53"/>
      <c r="E35" s="53"/>
      <c r="F35" s="53"/>
      <c r="G35" s="53"/>
      <c r="H35" s="53"/>
      <c r="I35" s="53"/>
      <c r="J35" s="53"/>
      <c r="K35" s="53"/>
      <c r="L35" s="53"/>
      <c r="M35" s="53"/>
      <c r="N35" s="53"/>
      <c r="O35" s="53"/>
      <c r="P35" s="53"/>
      <c r="Q35" s="53"/>
      <c r="R35" s="53"/>
      <c r="S35" s="53"/>
      <c r="T35" s="53"/>
      <c r="U35" s="53"/>
      <c r="V35" s="53"/>
      <c r="W35" s="53"/>
    </row>
    <row r="36" spans="2:23" ht="12.75">
      <c r="B36" s="51"/>
      <c r="C36" s="51"/>
      <c r="D36" s="53"/>
      <c r="E36" s="53"/>
      <c r="F36" s="53"/>
      <c r="G36" s="53"/>
      <c r="H36" s="53"/>
      <c r="I36" s="53"/>
      <c r="J36" s="53"/>
      <c r="K36" s="53"/>
      <c r="L36" s="53"/>
      <c r="M36" s="53"/>
      <c r="N36" s="53"/>
      <c r="O36" s="53"/>
      <c r="P36" s="53"/>
      <c r="Q36" s="53"/>
      <c r="R36" s="53"/>
      <c r="S36" s="53"/>
      <c r="T36" s="52"/>
      <c r="U36" s="52"/>
      <c r="V36" s="52"/>
      <c r="W36" s="52"/>
    </row>
    <row r="37" spans="2:23" ht="12.75">
      <c r="B37" s="145"/>
      <c r="C37" s="51"/>
      <c r="D37" s="52"/>
      <c r="E37" s="52"/>
      <c r="F37" s="52"/>
      <c r="G37" s="52"/>
      <c r="H37" s="52"/>
      <c r="I37" s="52"/>
      <c r="J37" s="52"/>
      <c r="K37" s="52"/>
      <c r="L37" s="52"/>
      <c r="M37" s="52"/>
      <c r="N37" s="52"/>
      <c r="O37" s="52"/>
      <c r="P37" s="52"/>
      <c r="Q37" s="52"/>
      <c r="R37" s="52"/>
      <c r="S37" s="52"/>
      <c r="T37" s="52"/>
      <c r="U37" s="52"/>
      <c r="V37" s="52"/>
      <c r="W37" s="52"/>
    </row>
    <row r="38" spans="2:23" ht="12.75">
      <c r="B38" s="138"/>
      <c r="C38" s="140"/>
      <c r="D38" s="52"/>
      <c r="E38" s="52"/>
      <c r="F38" s="52"/>
      <c r="G38" s="52"/>
      <c r="H38" s="52"/>
      <c r="I38" s="52"/>
      <c r="J38" s="52"/>
      <c r="K38" s="52"/>
      <c r="L38" s="52"/>
      <c r="M38" s="52"/>
      <c r="N38" s="52"/>
      <c r="O38" s="52"/>
      <c r="P38" s="52"/>
      <c r="Q38" s="52"/>
      <c r="R38" s="52"/>
      <c r="S38" s="52"/>
      <c r="T38" s="52"/>
      <c r="U38" s="52"/>
      <c r="V38" s="52"/>
      <c r="W38" s="52"/>
    </row>
    <row r="39" spans="2:23" ht="12.75">
      <c r="B39" s="146"/>
      <c r="C39" s="51"/>
      <c r="D39" s="53"/>
      <c r="E39" s="52"/>
      <c r="F39" s="52"/>
      <c r="G39" s="52"/>
      <c r="H39" s="52"/>
      <c r="I39" s="52"/>
      <c r="J39" s="52"/>
      <c r="K39" s="52"/>
      <c r="L39" s="52"/>
      <c r="M39" s="52"/>
      <c r="N39" s="52"/>
      <c r="O39" s="52"/>
      <c r="P39" s="52"/>
      <c r="Q39" s="52"/>
      <c r="R39" s="52"/>
      <c r="S39" s="52"/>
      <c r="T39" s="52"/>
      <c r="U39" s="52"/>
      <c r="V39" s="52"/>
      <c r="W39" s="52"/>
    </row>
    <row r="40" spans="2:23" ht="12.75">
      <c r="B40" s="51"/>
      <c r="C40" s="51"/>
      <c r="D40" s="53"/>
      <c r="E40" s="53"/>
      <c r="F40" s="53"/>
      <c r="G40" s="52"/>
      <c r="H40" s="52"/>
      <c r="I40" s="52"/>
      <c r="J40" s="52"/>
      <c r="K40" s="52"/>
      <c r="L40" s="52"/>
      <c r="M40" s="52"/>
      <c r="N40" s="52"/>
      <c r="O40" s="52"/>
      <c r="P40" s="52"/>
      <c r="Q40" s="52"/>
      <c r="R40" s="52"/>
      <c r="S40" s="52"/>
      <c r="T40" s="52"/>
      <c r="U40" s="52"/>
      <c r="V40" s="52"/>
      <c r="W40" s="52"/>
    </row>
    <row r="41" spans="2:23" ht="12.75">
      <c r="B41" s="51"/>
      <c r="C41" s="51"/>
      <c r="D41" s="53"/>
      <c r="E41" s="53"/>
      <c r="F41" s="53"/>
      <c r="G41" s="53"/>
      <c r="H41" s="53"/>
      <c r="I41" s="52"/>
      <c r="J41" s="52"/>
      <c r="K41" s="52"/>
      <c r="L41" s="52"/>
      <c r="M41" s="52"/>
      <c r="N41" s="52"/>
      <c r="O41" s="52"/>
      <c r="P41" s="52"/>
      <c r="Q41" s="52"/>
      <c r="R41" s="52"/>
      <c r="S41" s="52"/>
      <c r="T41" s="52"/>
      <c r="U41" s="52"/>
      <c r="V41" s="52"/>
      <c r="W41" s="52"/>
    </row>
    <row r="42" spans="2:23" ht="12.75">
      <c r="B42" s="138"/>
      <c r="C42" s="51"/>
      <c r="D42" s="52"/>
      <c r="E42" s="52"/>
      <c r="F42" s="52"/>
      <c r="G42" s="52"/>
      <c r="H42" s="52"/>
      <c r="I42" s="52"/>
      <c r="J42" s="52"/>
      <c r="K42" s="52"/>
      <c r="L42" s="52"/>
      <c r="M42" s="52"/>
      <c r="N42" s="52"/>
      <c r="O42" s="52"/>
      <c r="P42" s="52"/>
      <c r="Q42" s="52"/>
      <c r="R42" s="52"/>
      <c r="S42" s="52"/>
      <c r="T42" s="52"/>
      <c r="U42" s="52"/>
      <c r="V42" s="52"/>
      <c r="W42" s="52"/>
    </row>
    <row r="43" spans="2:23" ht="12.75">
      <c r="B43" s="51"/>
      <c r="C43" s="51"/>
      <c r="D43" s="53"/>
      <c r="E43" s="53"/>
      <c r="F43" s="53"/>
      <c r="G43" s="53"/>
      <c r="H43" s="53"/>
      <c r="I43" s="53"/>
      <c r="J43" s="53"/>
      <c r="K43" s="53"/>
      <c r="L43" s="53"/>
      <c r="M43" s="53"/>
      <c r="N43" s="53"/>
      <c r="O43" s="53"/>
      <c r="P43" s="53"/>
      <c r="Q43" s="53"/>
      <c r="R43" s="53"/>
      <c r="S43" s="53"/>
      <c r="T43" s="53"/>
      <c r="U43" s="53"/>
      <c r="V43" s="53"/>
      <c r="W43" s="53"/>
    </row>
    <row r="44" spans="2:23" ht="12.75">
      <c r="B44" s="51"/>
      <c r="C44" s="51"/>
      <c r="D44" s="53"/>
      <c r="E44" s="53"/>
      <c r="F44" s="53"/>
      <c r="G44" s="53"/>
      <c r="H44" s="53"/>
      <c r="I44" s="53"/>
      <c r="J44" s="53"/>
      <c r="K44" s="53"/>
      <c r="L44" s="53"/>
      <c r="M44" s="53"/>
      <c r="N44" s="53"/>
      <c r="O44" s="53"/>
      <c r="P44" s="53"/>
      <c r="Q44" s="53"/>
      <c r="R44" s="53"/>
      <c r="S44" s="53"/>
      <c r="T44" s="53"/>
      <c r="U44" s="53"/>
      <c r="V44" s="53"/>
      <c r="W44" s="53"/>
    </row>
    <row r="45" spans="2:23" ht="12.75">
      <c r="B45" s="144"/>
      <c r="C45" s="51"/>
      <c r="D45" s="53"/>
      <c r="E45" s="53"/>
      <c r="F45" s="53"/>
      <c r="G45" s="53"/>
      <c r="H45" s="53"/>
      <c r="I45" s="53"/>
      <c r="J45" s="53"/>
      <c r="K45" s="53"/>
      <c r="L45" s="53"/>
      <c r="M45" s="53"/>
      <c r="N45" s="53"/>
      <c r="O45" s="53"/>
      <c r="P45" s="53"/>
      <c r="Q45" s="53"/>
      <c r="R45" s="53"/>
      <c r="S45" s="53"/>
      <c r="T45" s="53"/>
      <c r="U45" s="53"/>
      <c r="V45" s="53"/>
      <c r="W45" s="53"/>
    </row>
    <row r="46" spans="2:23" ht="12.75">
      <c r="B46" s="51"/>
      <c r="C46" s="51"/>
      <c r="D46" s="52"/>
      <c r="E46" s="52"/>
      <c r="F46" s="52"/>
      <c r="G46" s="52"/>
      <c r="H46" s="52"/>
      <c r="I46" s="52"/>
      <c r="J46" s="52"/>
      <c r="K46" s="52"/>
      <c r="L46" s="52"/>
      <c r="M46" s="52"/>
      <c r="N46" s="52"/>
      <c r="O46" s="52"/>
      <c r="P46" s="52"/>
      <c r="Q46" s="52"/>
      <c r="R46" s="52"/>
      <c r="S46" s="52"/>
      <c r="T46" s="52"/>
      <c r="U46" s="52"/>
      <c r="V46" s="52"/>
      <c r="W46" s="52"/>
    </row>
    <row r="47" spans="2:23" ht="12.75">
      <c r="B47" s="145"/>
      <c r="C47" s="51"/>
      <c r="D47" s="52"/>
      <c r="E47" s="52"/>
      <c r="F47" s="52"/>
      <c r="G47" s="52"/>
      <c r="H47" s="52"/>
      <c r="I47" s="52"/>
      <c r="J47" s="52"/>
      <c r="K47" s="52"/>
      <c r="L47" s="52"/>
      <c r="M47" s="52"/>
      <c r="N47" s="52"/>
      <c r="O47" s="52"/>
      <c r="P47" s="52"/>
      <c r="Q47" s="52"/>
      <c r="R47" s="52"/>
      <c r="S47" s="52"/>
      <c r="T47" s="52"/>
      <c r="U47" s="52"/>
      <c r="V47" s="52"/>
      <c r="W47" s="52"/>
    </row>
    <row r="48" spans="2:23" ht="12.75">
      <c r="B48" s="147"/>
      <c r="C48" s="140"/>
      <c r="D48" s="52"/>
      <c r="E48" s="52"/>
      <c r="F48" s="52"/>
      <c r="G48" s="52"/>
      <c r="H48" s="52"/>
      <c r="I48" s="52"/>
      <c r="J48" s="52"/>
      <c r="K48" s="52"/>
      <c r="L48" s="52"/>
      <c r="M48" s="52"/>
      <c r="N48" s="52"/>
      <c r="O48" s="52"/>
      <c r="P48" s="52"/>
      <c r="Q48" s="52"/>
      <c r="R48" s="52"/>
      <c r="S48" s="52"/>
      <c r="T48" s="52"/>
      <c r="U48" s="52"/>
      <c r="V48" s="52"/>
      <c r="W48" s="52"/>
    </row>
    <row r="49" spans="2:23" ht="12.75">
      <c r="B49" s="147"/>
      <c r="C49" s="140"/>
      <c r="D49" s="52"/>
      <c r="E49" s="52"/>
      <c r="F49" s="52"/>
      <c r="G49" s="52"/>
      <c r="H49" s="52"/>
      <c r="I49" s="52"/>
      <c r="J49" s="52"/>
      <c r="K49" s="52"/>
      <c r="L49" s="52"/>
      <c r="M49" s="52"/>
      <c r="N49" s="52"/>
      <c r="O49" s="52"/>
      <c r="P49" s="52"/>
      <c r="Q49" s="52"/>
      <c r="R49" s="52"/>
      <c r="S49" s="52"/>
      <c r="T49" s="52"/>
      <c r="U49" s="52"/>
      <c r="V49" s="52"/>
      <c r="W49" s="52"/>
    </row>
    <row r="50" spans="2:23" ht="12.75">
      <c r="B50" s="147"/>
      <c r="C50" s="140"/>
      <c r="D50" s="52"/>
      <c r="E50" s="52"/>
      <c r="F50" s="52"/>
      <c r="G50" s="52"/>
      <c r="H50" s="52"/>
      <c r="I50" s="52"/>
      <c r="J50" s="52"/>
      <c r="K50" s="52"/>
      <c r="L50" s="52"/>
      <c r="M50" s="52"/>
      <c r="N50" s="52"/>
      <c r="O50" s="52"/>
      <c r="P50" s="52"/>
      <c r="Q50" s="52"/>
      <c r="R50" s="52"/>
      <c r="S50" s="52"/>
      <c r="T50" s="52"/>
      <c r="U50" s="52"/>
      <c r="V50" s="52"/>
      <c r="W50" s="52"/>
    </row>
    <row r="51" spans="2:23" ht="12.75">
      <c r="B51" s="147"/>
      <c r="C51" s="140"/>
      <c r="D51" s="52"/>
      <c r="E51" s="52"/>
      <c r="F51" s="52"/>
      <c r="G51" s="52"/>
      <c r="H51" s="52"/>
      <c r="I51" s="52"/>
      <c r="J51" s="52"/>
      <c r="K51" s="52"/>
      <c r="L51" s="52"/>
      <c r="M51" s="52"/>
      <c r="N51" s="52"/>
      <c r="O51" s="52"/>
      <c r="P51" s="52"/>
      <c r="Q51" s="52"/>
      <c r="R51" s="52"/>
      <c r="S51" s="52"/>
      <c r="T51" s="52"/>
      <c r="U51" s="52"/>
      <c r="V51" s="52"/>
      <c r="W51" s="52"/>
    </row>
    <row r="52" spans="2:23" ht="12.75">
      <c r="B52" s="147"/>
      <c r="C52" s="140"/>
      <c r="D52" s="52"/>
      <c r="E52" s="52"/>
      <c r="F52" s="52"/>
      <c r="G52" s="52"/>
      <c r="H52" s="52"/>
      <c r="I52" s="52"/>
      <c r="J52" s="52"/>
      <c r="K52" s="52"/>
      <c r="L52" s="52"/>
      <c r="M52" s="52"/>
      <c r="N52" s="52"/>
      <c r="O52" s="52"/>
      <c r="P52" s="52"/>
      <c r="Q52" s="52"/>
      <c r="R52" s="52"/>
      <c r="S52" s="52"/>
      <c r="T52" s="52"/>
      <c r="U52" s="52"/>
      <c r="V52" s="52"/>
      <c r="W52" s="52"/>
    </row>
    <row r="53" spans="2:23" ht="12.75">
      <c r="B53" s="147"/>
      <c r="C53" s="140"/>
      <c r="D53" s="52"/>
      <c r="E53" s="52"/>
      <c r="F53" s="52"/>
      <c r="G53" s="52"/>
      <c r="H53" s="52"/>
      <c r="I53" s="52"/>
      <c r="J53" s="52"/>
      <c r="K53" s="52"/>
      <c r="L53" s="52"/>
      <c r="M53" s="52"/>
      <c r="N53" s="52"/>
      <c r="O53" s="52"/>
      <c r="P53" s="52"/>
      <c r="Q53" s="52"/>
      <c r="R53" s="52"/>
      <c r="S53" s="52"/>
      <c r="T53" s="52"/>
      <c r="U53" s="52"/>
      <c r="V53" s="52"/>
      <c r="W53" s="52"/>
    </row>
    <row r="54" spans="2:23" ht="12.75">
      <c r="B54" s="51"/>
      <c r="C54" s="51"/>
      <c r="D54" s="52"/>
      <c r="E54" s="52"/>
      <c r="F54" s="52"/>
      <c r="G54" s="52"/>
      <c r="H54" s="52"/>
      <c r="I54" s="52"/>
      <c r="J54" s="52"/>
      <c r="K54" s="52"/>
      <c r="L54" s="52"/>
      <c r="M54" s="52"/>
      <c r="N54" s="52"/>
      <c r="O54" s="52"/>
      <c r="P54" s="52"/>
      <c r="Q54" s="52"/>
      <c r="R54" s="52"/>
      <c r="S54" s="52"/>
      <c r="T54" s="52"/>
      <c r="U54" s="52"/>
      <c r="V54" s="52"/>
      <c r="W54" s="52"/>
    </row>
    <row r="55" spans="2:23" ht="12.75">
      <c r="B55" s="144"/>
      <c r="C55" s="51"/>
      <c r="D55" s="53"/>
      <c r="E55" s="53"/>
      <c r="F55" s="53"/>
      <c r="G55" s="53"/>
      <c r="H55" s="53"/>
      <c r="I55" s="53"/>
      <c r="J55" s="53"/>
      <c r="K55" s="53"/>
      <c r="L55" s="53"/>
      <c r="M55" s="53"/>
      <c r="N55" s="53"/>
      <c r="O55" s="53"/>
      <c r="P55" s="53"/>
      <c r="Q55" s="53"/>
      <c r="R55" s="53"/>
      <c r="S55" s="53"/>
      <c r="T55" s="53"/>
      <c r="U55" s="53"/>
      <c r="V55" s="53"/>
      <c r="W55" s="53"/>
    </row>
    <row r="56" spans="2:23" ht="12.75">
      <c r="B56" s="144"/>
      <c r="C56" s="148"/>
      <c r="D56" s="51"/>
      <c r="E56" s="51"/>
      <c r="F56" s="51"/>
      <c r="G56" s="51"/>
      <c r="H56" s="51"/>
      <c r="I56" s="51"/>
      <c r="J56" s="51"/>
      <c r="K56" s="51"/>
      <c r="L56" s="51"/>
      <c r="M56" s="51"/>
      <c r="N56" s="51"/>
      <c r="O56" s="51"/>
      <c r="P56" s="51"/>
      <c r="Q56" s="51"/>
      <c r="R56" s="51"/>
      <c r="S56" s="51"/>
      <c r="T56" s="51"/>
      <c r="U56" s="51"/>
      <c r="V56" s="51"/>
      <c r="W56" s="51"/>
    </row>
    <row r="57" spans="2:23" ht="12.75">
      <c r="B57" s="144"/>
      <c r="C57" s="149"/>
      <c r="D57" s="51"/>
      <c r="E57" s="51"/>
      <c r="F57" s="51"/>
      <c r="G57" s="51"/>
      <c r="H57" s="51"/>
      <c r="I57" s="51"/>
      <c r="J57" s="51"/>
      <c r="K57" s="51"/>
      <c r="L57" s="51"/>
      <c r="M57" s="51"/>
      <c r="N57" s="51"/>
      <c r="O57" s="51"/>
      <c r="P57" s="51"/>
      <c r="Q57" s="51"/>
      <c r="R57" s="51"/>
      <c r="S57" s="51"/>
      <c r="T57" s="51"/>
      <c r="U57" s="51"/>
      <c r="V57" s="51"/>
      <c r="W57" s="51"/>
    </row>
    <row r="58" spans="2:23" ht="12.75">
      <c r="B58" s="51"/>
      <c r="C58" s="51"/>
      <c r="D58" s="51"/>
      <c r="E58" s="51"/>
      <c r="F58" s="51"/>
      <c r="G58" s="51"/>
      <c r="H58" s="51"/>
      <c r="I58" s="51"/>
      <c r="J58" s="51"/>
      <c r="K58" s="51"/>
      <c r="L58" s="51"/>
      <c r="M58" s="51"/>
      <c r="N58" s="51"/>
      <c r="O58" s="51"/>
      <c r="P58" s="51"/>
      <c r="Q58" s="51"/>
      <c r="R58" s="51"/>
      <c r="S58" s="51"/>
      <c r="T58" s="51"/>
      <c r="U58" s="51"/>
      <c r="V58" s="51"/>
      <c r="W58" s="51"/>
    </row>
    <row r="59" spans="2:23" ht="12.75">
      <c r="B59" s="49"/>
      <c r="C59" s="49"/>
      <c r="D59" s="49"/>
      <c r="E59" s="49"/>
      <c r="F59" s="49"/>
      <c r="G59" s="49"/>
      <c r="H59" s="49"/>
      <c r="I59" s="49"/>
      <c r="J59" s="49"/>
      <c r="K59" s="49"/>
      <c r="L59" s="49"/>
      <c r="M59" s="49"/>
      <c r="N59" s="49"/>
      <c r="O59" s="49"/>
      <c r="P59" s="49"/>
      <c r="Q59" s="49"/>
      <c r="R59" s="49"/>
      <c r="S59" s="49"/>
      <c r="T59" s="49"/>
      <c r="U59" s="49"/>
      <c r="V59" s="49"/>
      <c r="W59" s="49"/>
    </row>
    <row r="60" spans="2:23" ht="12.75">
      <c r="B60" s="49"/>
      <c r="C60" s="49"/>
      <c r="D60" s="49"/>
      <c r="E60" s="49"/>
      <c r="F60" s="49"/>
      <c r="G60" s="49"/>
      <c r="H60" s="49"/>
      <c r="I60" s="49"/>
      <c r="J60" s="49"/>
      <c r="K60" s="49"/>
      <c r="L60" s="49"/>
      <c r="M60" s="49"/>
      <c r="N60" s="49"/>
      <c r="O60" s="49"/>
      <c r="P60" s="49"/>
      <c r="Q60" s="49"/>
      <c r="R60" s="49"/>
      <c r="S60" s="49"/>
      <c r="T60" s="49"/>
      <c r="U60" s="49"/>
      <c r="V60" s="49"/>
      <c r="W60" s="49"/>
    </row>
    <row r="61" spans="2:23" ht="12.75">
      <c r="B61" s="49"/>
      <c r="C61" s="49"/>
      <c r="D61" s="49"/>
      <c r="E61" s="49"/>
      <c r="F61" s="49"/>
      <c r="G61" s="49"/>
      <c r="H61" s="49"/>
      <c r="I61" s="49"/>
      <c r="J61" s="49"/>
      <c r="K61" s="49"/>
      <c r="L61" s="49"/>
      <c r="M61" s="49"/>
      <c r="N61" s="49"/>
      <c r="O61" s="49"/>
      <c r="P61" s="49"/>
      <c r="Q61" s="49"/>
      <c r="R61" s="49"/>
      <c r="S61" s="49"/>
      <c r="T61" s="49"/>
      <c r="U61" s="49"/>
      <c r="V61" s="49"/>
      <c r="W61" s="49"/>
    </row>
    <row r="62" spans="2:23" ht="12.75">
      <c r="B62" s="49"/>
      <c r="C62" s="49"/>
      <c r="D62" s="49"/>
      <c r="E62" s="49"/>
      <c r="F62" s="49"/>
      <c r="G62" s="49"/>
      <c r="H62" s="49"/>
      <c r="I62" s="49"/>
      <c r="J62" s="49"/>
      <c r="K62" s="49"/>
      <c r="L62" s="49"/>
      <c r="M62" s="49"/>
      <c r="N62" s="49"/>
      <c r="O62" s="49"/>
      <c r="P62" s="49"/>
      <c r="Q62" s="49"/>
      <c r="R62" s="49"/>
      <c r="S62" s="49"/>
      <c r="T62" s="49"/>
      <c r="U62" s="49"/>
      <c r="V62" s="49"/>
      <c r="W62" s="49"/>
    </row>
    <row r="63" spans="2:23" ht="12.75">
      <c r="B63" s="49"/>
      <c r="C63" s="49"/>
      <c r="D63" s="49"/>
      <c r="E63" s="49"/>
      <c r="F63" s="49"/>
      <c r="G63" s="49"/>
      <c r="H63" s="49"/>
      <c r="I63" s="49"/>
      <c r="J63" s="49"/>
      <c r="K63" s="49"/>
      <c r="L63" s="49"/>
      <c r="M63" s="49"/>
      <c r="N63" s="49"/>
      <c r="O63" s="49"/>
      <c r="P63" s="49"/>
      <c r="Q63" s="49"/>
      <c r="R63" s="49"/>
      <c r="S63" s="49"/>
      <c r="T63" s="49"/>
      <c r="U63" s="49"/>
      <c r="V63" s="49"/>
      <c r="W63" s="49"/>
    </row>
    <row r="64" spans="2:23" ht="12.75">
      <c r="B64" s="49"/>
      <c r="C64" s="49"/>
      <c r="D64" s="49"/>
      <c r="E64" s="49"/>
      <c r="F64" s="49"/>
      <c r="G64" s="49"/>
      <c r="H64" s="49"/>
      <c r="I64" s="49"/>
      <c r="J64" s="49"/>
      <c r="K64" s="49"/>
      <c r="L64" s="49"/>
      <c r="M64" s="49"/>
      <c r="N64" s="49"/>
      <c r="O64" s="49"/>
      <c r="P64" s="49"/>
      <c r="Q64" s="49"/>
      <c r="R64" s="49"/>
      <c r="S64" s="49"/>
      <c r="T64" s="49"/>
      <c r="U64" s="49"/>
      <c r="V64" s="49"/>
      <c r="W64" s="49"/>
    </row>
    <row r="65" spans="2:23" ht="12.75">
      <c r="B65" s="49"/>
      <c r="C65" s="49"/>
      <c r="D65" s="49"/>
      <c r="E65" s="49"/>
      <c r="F65" s="49"/>
      <c r="G65" s="49"/>
      <c r="H65" s="49"/>
      <c r="I65" s="49"/>
      <c r="J65" s="49"/>
      <c r="K65" s="49"/>
      <c r="L65" s="49"/>
      <c r="M65" s="49"/>
      <c r="N65" s="49"/>
      <c r="O65" s="49"/>
      <c r="P65" s="49"/>
      <c r="Q65" s="49"/>
      <c r="R65" s="49"/>
      <c r="S65" s="49"/>
      <c r="T65" s="49"/>
      <c r="U65" s="49"/>
      <c r="V65" s="49"/>
      <c r="W65" s="49"/>
    </row>
    <row r="66" spans="2:23" ht="12.75">
      <c r="B66" s="49"/>
      <c r="C66" s="49"/>
      <c r="D66" s="49"/>
      <c r="E66" s="49"/>
      <c r="F66" s="49"/>
      <c r="G66" s="49"/>
      <c r="H66" s="49"/>
      <c r="I66" s="49"/>
      <c r="J66" s="49"/>
      <c r="K66" s="49"/>
      <c r="L66" s="49"/>
      <c r="M66" s="49"/>
      <c r="N66" s="49"/>
      <c r="O66" s="49"/>
      <c r="P66" s="49"/>
      <c r="Q66" s="49"/>
      <c r="R66" s="49"/>
      <c r="S66" s="49"/>
      <c r="T66" s="49"/>
      <c r="U66" s="49"/>
      <c r="V66" s="49"/>
      <c r="W66" s="49"/>
    </row>
    <row r="67" spans="2:23" ht="12.75">
      <c r="B67" s="49"/>
      <c r="C67" s="49"/>
      <c r="D67" s="49"/>
      <c r="E67" s="49"/>
      <c r="F67" s="49"/>
      <c r="G67" s="49"/>
      <c r="H67" s="49"/>
      <c r="I67" s="49"/>
      <c r="J67" s="49"/>
      <c r="K67" s="49"/>
      <c r="L67" s="49"/>
      <c r="M67" s="49"/>
      <c r="N67" s="49"/>
      <c r="O67" s="49"/>
      <c r="P67" s="49"/>
      <c r="Q67" s="49"/>
      <c r="R67" s="49"/>
      <c r="S67" s="49"/>
      <c r="T67" s="49"/>
      <c r="U67" s="49"/>
      <c r="V67" s="49"/>
      <c r="W67" s="49"/>
    </row>
    <row r="68" spans="2:23" ht="12.75">
      <c r="B68" s="49"/>
      <c r="C68" s="49"/>
      <c r="D68" s="49"/>
      <c r="E68" s="49"/>
      <c r="F68" s="49"/>
      <c r="G68" s="49"/>
      <c r="H68" s="49"/>
      <c r="I68" s="49"/>
      <c r="J68" s="49"/>
      <c r="K68" s="49"/>
      <c r="L68" s="49"/>
      <c r="M68" s="49"/>
      <c r="N68" s="49"/>
      <c r="O68" s="49"/>
      <c r="P68" s="49"/>
      <c r="Q68" s="49"/>
      <c r="R68" s="49"/>
      <c r="S68" s="49"/>
      <c r="T68" s="49"/>
      <c r="U68" s="49"/>
      <c r="V68" s="49"/>
      <c r="W68" s="49"/>
    </row>
    <row r="69" spans="2:23" ht="12.75">
      <c r="B69" s="49"/>
      <c r="C69" s="49"/>
      <c r="D69" s="49"/>
      <c r="E69" s="49"/>
      <c r="F69" s="49"/>
      <c r="G69" s="49"/>
      <c r="H69" s="49"/>
      <c r="I69" s="49"/>
      <c r="J69" s="49"/>
      <c r="K69" s="49"/>
      <c r="L69" s="49"/>
      <c r="M69" s="49"/>
      <c r="N69" s="49"/>
      <c r="O69" s="49"/>
      <c r="P69" s="49"/>
      <c r="Q69" s="49"/>
      <c r="R69" s="49"/>
      <c r="S69" s="49"/>
      <c r="T69" s="49"/>
      <c r="U69" s="49"/>
      <c r="V69" s="49"/>
      <c r="W69" s="49"/>
    </row>
    <row r="70" spans="2:23" ht="12.75">
      <c r="B70" s="49"/>
      <c r="C70" s="49"/>
      <c r="D70" s="49"/>
      <c r="E70" s="49"/>
      <c r="F70" s="49"/>
      <c r="G70" s="49"/>
      <c r="H70" s="49"/>
      <c r="I70" s="49"/>
      <c r="J70" s="49"/>
      <c r="K70" s="49"/>
      <c r="L70" s="49"/>
      <c r="M70" s="49"/>
      <c r="N70" s="49"/>
      <c r="O70" s="49"/>
      <c r="P70" s="49"/>
      <c r="Q70" s="49"/>
      <c r="R70" s="49"/>
      <c r="S70" s="49"/>
      <c r="T70" s="49"/>
      <c r="U70" s="49"/>
      <c r="V70" s="49"/>
      <c r="W70" s="49"/>
    </row>
    <row r="71" spans="2:23" ht="12.75">
      <c r="B71" s="49"/>
      <c r="C71" s="49"/>
      <c r="D71" s="49"/>
      <c r="E71" s="49"/>
      <c r="F71" s="49"/>
      <c r="G71" s="49"/>
      <c r="H71" s="49"/>
      <c r="I71" s="49"/>
      <c r="J71" s="49"/>
      <c r="K71" s="49"/>
      <c r="L71" s="49"/>
      <c r="M71" s="49"/>
      <c r="N71" s="49"/>
      <c r="O71" s="49"/>
      <c r="P71" s="49"/>
      <c r="Q71" s="49"/>
      <c r="R71" s="49"/>
      <c r="S71" s="49"/>
      <c r="T71" s="49"/>
      <c r="U71" s="49"/>
      <c r="V71" s="49"/>
      <c r="W71" s="49"/>
    </row>
    <row r="72" spans="2:23" ht="12.75">
      <c r="B72" s="49"/>
      <c r="C72" s="49"/>
      <c r="D72" s="49"/>
      <c r="E72" s="49"/>
      <c r="F72" s="49"/>
      <c r="G72" s="49"/>
      <c r="H72" s="49"/>
      <c r="I72" s="49"/>
      <c r="J72" s="49"/>
      <c r="K72" s="49"/>
      <c r="L72" s="49"/>
      <c r="M72" s="49"/>
      <c r="N72" s="49"/>
      <c r="O72" s="49"/>
      <c r="P72" s="49"/>
      <c r="Q72" s="49"/>
      <c r="R72" s="49"/>
      <c r="S72" s="49"/>
      <c r="T72" s="49"/>
      <c r="U72" s="49"/>
      <c r="V72" s="49"/>
      <c r="W72" s="49"/>
    </row>
    <row r="73" spans="2:23" ht="12.75">
      <c r="B73" s="49"/>
      <c r="C73" s="49"/>
      <c r="D73" s="49"/>
      <c r="E73" s="49"/>
      <c r="F73" s="49"/>
      <c r="G73" s="49"/>
      <c r="H73" s="49"/>
      <c r="I73" s="49"/>
      <c r="J73" s="49"/>
      <c r="K73" s="49"/>
      <c r="L73" s="49"/>
      <c r="M73" s="49"/>
      <c r="N73" s="49"/>
      <c r="O73" s="49"/>
      <c r="P73" s="49"/>
      <c r="Q73" s="49"/>
      <c r="R73" s="49"/>
      <c r="S73" s="49"/>
      <c r="T73" s="49"/>
      <c r="U73" s="49"/>
      <c r="V73" s="49"/>
      <c r="W73" s="49"/>
    </row>
    <row r="74" spans="2:23" ht="12.75">
      <c r="B74" s="49"/>
      <c r="C74" s="49"/>
      <c r="D74" s="49"/>
      <c r="E74" s="49"/>
      <c r="F74" s="49"/>
      <c r="G74" s="49"/>
      <c r="H74" s="49"/>
      <c r="I74" s="49"/>
      <c r="J74" s="49"/>
      <c r="K74" s="49"/>
      <c r="L74" s="49"/>
      <c r="M74" s="49"/>
      <c r="N74" s="49"/>
      <c r="O74" s="49"/>
      <c r="P74" s="49"/>
      <c r="Q74" s="49"/>
      <c r="R74" s="49"/>
      <c r="S74" s="49"/>
      <c r="T74" s="49"/>
      <c r="U74" s="49"/>
      <c r="V74" s="49"/>
      <c r="W74" s="49"/>
    </row>
    <row r="75" spans="2:23" ht="12.75">
      <c r="B75" s="49"/>
      <c r="C75" s="49"/>
      <c r="D75" s="49"/>
      <c r="E75" s="49"/>
      <c r="F75" s="49"/>
      <c r="G75" s="49"/>
      <c r="H75" s="49"/>
      <c r="I75" s="49"/>
      <c r="J75" s="49"/>
      <c r="K75" s="49"/>
      <c r="L75" s="49"/>
      <c r="M75" s="49"/>
      <c r="N75" s="49"/>
      <c r="O75" s="49"/>
      <c r="P75" s="49"/>
      <c r="Q75" s="49"/>
      <c r="R75" s="49"/>
      <c r="S75" s="49"/>
      <c r="T75" s="49"/>
      <c r="U75" s="49"/>
      <c r="V75" s="49"/>
      <c r="W75" s="49"/>
    </row>
    <row r="76" spans="2:23" ht="12.75">
      <c r="B76" s="49"/>
      <c r="C76" s="49"/>
      <c r="D76" s="49"/>
      <c r="E76" s="49"/>
      <c r="F76" s="49"/>
      <c r="G76" s="49"/>
      <c r="H76" s="49"/>
      <c r="I76" s="49"/>
      <c r="J76" s="49"/>
      <c r="K76" s="49"/>
      <c r="L76" s="49"/>
      <c r="M76" s="49"/>
      <c r="N76" s="49"/>
      <c r="O76" s="49"/>
      <c r="P76" s="49"/>
      <c r="Q76" s="49"/>
      <c r="R76" s="49"/>
      <c r="S76" s="49"/>
      <c r="T76" s="49"/>
      <c r="U76" s="49"/>
      <c r="V76" s="49"/>
      <c r="W76" s="49"/>
    </row>
    <row r="77" spans="2:23" ht="12.75">
      <c r="B77" s="49"/>
      <c r="C77" s="49"/>
      <c r="D77" s="49"/>
      <c r="E77" s="49"/>
      <c r="F77" s="49"/>
      <c r="G77" s="49"/>
      <c r="H77" s="49"/>
      <c r="I77" s="49"/>
      <c r="J77" s="49"/>
      <c r="K77" s="49"/>
      <c r="L77" s="49"/>
      <c r="M77" s="49"/>
      <c r="N77" s="49"/>
      <c r="O77" s="49"/>
      <c r="P77" s="49"/>
      <c r="Q77" s="49"/>
      <c r="R77" s="49"/>
      <c r="S77" s="49"/>
      <c r="T77" s="49"/>
      <c r="U77" s="49"/>
      <c r="V77" s="49"/>
      <c r="W77" s="49"/>
    </row>
    <row r="78" spans="2:23" ht="12.75">
      <c r="B78" s="49"/>
      <c r="C78" s="49"/>
      <c r="D78" s="49"/>
      <c r="E78" s="49"/>
      <c r="F78" s="49"/>
      <c r="G78" s="49"/>
      <c r="H78" s="49"/>
      <c r="I78" s="49"/>
      <c r="J78" s="49"/>
      <c r="K78" s="49"/>
      <c r="L78" s="49"/>
      <c r="M78" s="49"/>
      <c r="N78" s="49"/>
      <c r="O78" s="49"/>
      <c r="P78" s="49"/>
      <c r="Q78" s="49"/>
      <c r="R78" s="49"/>
      <c r="S78" s="49"/>
      <c r="T78" s="49"/>
      <c r="U78" s="49"/>
      <c r="V78" s="49"/>
      <c r="W78" s="49"/>
    </row>
    <row r="79" spans="2:23" ht="12.75">
      <c r="B79" s="49"/>
      <c r="C79" s="49"/>
      <c r="D79" s="49"/>
      <c r="E79" s="49"/>
      <c r="F79" s="49"/>
      <c r="G79" s="49"/>
      <c r="H79" s="49"/>
      <c r="I79" s="49"/>
      <c r="J79" s="49"/>
      <c r="K79" s="49"/>
      <c r="L79" s="49"/>
      <c r="M79" s="49"/>
      <c r="N79" s="49"/>
      <c r="O79" s="49"/>
      <c r="P79" s="49"/>
      <c r="Q79" s="49"/>
      <c r="R79" s="49"/>
      <c r="S79" s="49"/>
      <c r="T79" s="49"/>
      <c r="U79" s="49"/>
      <c r="V79" s="49"/>
      <c r="W79" s="49"/>
    </row>
    <row r="80" spans="2:23" ht="12.75">
      <c r="B80" s="49"/>
      <c r="C80" s="49"/>
      <c r="D80" s="49"/>
      <c r="E80" s="49"/>
      <c r="F80" s="49"/>
      <c r="G80" s="49"/>
      <c r="H80" s="49"/>
      <c r="I80" s="49"/>
      <c r="J80" s="49"/>
      <c r="K80" s="49"/>
      <c r="L80" s="49"/>
      <c r="M80" s="49"/>
      <c r="N80" s="49"/>
      <c r="O80" s="49"/>
      <c r="P80" s="49"/>
      <c r="Q80" s="49"/>
      <c r="R80" s="49"/>
      <c r="S80" s="49"/>
      <c r="T80" s="49"/>
      <c r="U80" s="49"/>
      <c r="V80" s="49"/>
      <c r="W80" s="49"/>
    </row>
    <row r="81" spans="2:23" ht="12.75">
      <c r="B81" s="49"/>
      <c r="C81" s="49"/>
      <c r="D81" s="49"/>
      <c r="E81" s="49"/>
      <c r="F81" s="49"/>
      <c r="G81" s="49"/>
      <c r="H81" s="49"/>
      <c r="I81" s="49"/>
      <c r="J81" s="49"/>
      <c r="K81" s="49"/>
      <c r="L81" s="49"/>
      <c r="M81" s="49"/>
      <c r="N81" s="49"/>
      <c r="O81" s="49"/>
      <c r="P81" s="49"/>
      <c r="Q81" s="49"/>
      <c r="R81" s="49"/>
      <c r="S81" s="49"/>
      <c r="T81" s="49"/>
      <c r="U81" s="49"/>
      <c r="V81" s="49"/>
      <c r="W81" s="49"/>
    </row>
    <row r="82" spans="2:23" ht="12.75">
      <c r="B82" s="49"/>
      <c r="C82" s="49"/>
      <c r="D82" s="49"/>
      <c r="E82" s="49"/>
      <c r="F82" s="49"/>
      <c r="G82" s="49"/>
      <c r="H82" s="49"/>
      <c r="I82" s="49"/>
      <c r="J82" s="49"/>
      <c r="K82" s="49"/>
      <c r="L82" s="49"/>
      <c r="M82" s="49"/>
      <c r="N82" s="49"/>
      <c r="O82" s="49"/>
      <c r="P82" s="49"/>
      <c r="Q82" s="49"/>
      <c r="R82" s="49"/>
      <c r="S82" s="49"/>
      <c r="T82" s="49"/>
      <c r="U82" s="49"/>
      <c r="V82" s="49"/>
      <c r="W82" s="49"/>
    </row>
    <row r="83" spans="2:23" ht="12.75">
      <c r="B83" s="49"/>
      <c r="C83" s="49"/>
      <c r="D83" s="49"/>
      <c r="E83" s="49"/>
      <c r="F83" s="49"/>
      <c r="G83" s="49"/>
      <c r="H83" s="49"/>
      <c r="I83" s="49"/>
      <c r="J83" s="49"/>
      <c r="K83" s="49"/>
      <c r="L83" s="49"/>
      <c r="M83" s="49"/>
      <c r="N83" s="49"/>
      <c r="O83" s="49"/>
      <c r="P83" s="49"/>
      <c r="Q83" s="49"/>
      <c r="R83" s="49"/>
      <c r="S83" s="49"/>
      <c r="T83" s="49"/>
      <c r="U83" s="49"/>
      <c r="V83" s="49"/>
      <c r="W83" s="49"/>
    </row>
    <row r="84" spans="2:23" ht="12.75">
      <c r="B84" s="49"/>
      <c r="C84" s="49"/>
      <c r="D84" s="49"/>
      <c r="E84" s="49"/>
      <c r="F84" s="49"/>
      <c r="G84" s="49"/>
      <c r="H84" s="49"/>
      <c r="I84" s="49"/>
      <c r="J84" s="49"/>
      <c r="K84" s="49"/>
      <c r="L84" s="49"/>
      <c r="M84" s="49"/>
      <c r="N84" s="49"/>
      <c r="O84" s="49"/>
      <c r="P84" s="49"/>
      <c r="Q84" s="49"/>
      <c r="R84" s="49"/>
      <c r="S84" s="49"/>
      <c r="T84" s="49"/>
      <c r="U84" s="49"/>
      <c r="V84" s="49"/>
      <c r="W84" s="49"/>
    </row>
    <row r="85" spans="2:23" ht="12.75">
      <c r="B85" s="49"/>
      <c r="C85" s="49"/>
      <c r="D85" s="49"/>
      <c r="E85" s="49"/>
      <c r="F85" s="49"/>
      <c r="G85" s="49"/>
      <c r="H85" s="49"/>
      <c r="I85" s="49"/>
      <c r="J85" s="49"/>
      <c r="K85" s="49"/>
      <c r="L85" s="49"/>
      <c r="M85" s="49"/>
      <c r="N85" s="49"/>
      <c r="O85" s="49"/>
      <c r="P85" s="49"/>
      <c r="Q85" s="49"/>
      <c r="R85" s="49"/>
      <c r="S85" s="49"/>
      <c r="T85" s="49"/>
      <c r="U85" s="49"/>
      <c r="V85" s="49"/>
      <c r="W85" s="49"/>
    </row>
    <row r="86" spans="2:23" ht="12.75">
      <c r="B86" s="49"/>
      <c r="C86" s="49"/>
      <c r="D86" s="49"/>
      <c r="E86" s="49"/>
      <c r="F86" s="49"/>
      <c r="G86" s="49"/>
      <c r="H86" s="49"/>
      <c r="I86" s="49"/>
      <c r="J86" s="49"/>
      <c r="K86" s="49"/>
      <c r="L86" s="49"/>
      <c r="M86" s="49"/>
      <c r="N86" s="49"/>
      <c r="O86" s="49"/>
      <c r="P86" s="49"/>
      <c r="Q86" s="49"/>
      <c r="R86" s="49"/>
      <c r="S86" s="49"/>
      <c r="T86" s="49"/>
      <c r="U86" s="49"/>
      <c r="V86" s="49"/>
      <c r="W86" s="49"/>
    </row>
    <row r="87" spans="2:23" ht="12.75">
      <c r="B87" s="49"/>
      <c r="C87" s="49"/>
      <c r="D87" s="49"/>
      <c r="E87" s="49"/>
      <c r="F87" s="49"/>
      <c r="G87" s="49"/>
      <c r="H87" s="49"/>
      <c r="I87" s="49"/>
      <c r="J87" s="49"/>
      <c r="K87" s="49"/>
      <c r="L87" s="49"/>
      <c r="M87" s="49"/>
      <c r="N87" s="49"/>
      <c r="O87" s="49"/>
      <c r="P87" s="49"/>
      <c r="Q87" s="49"/>
      <c r="R87" s="49"/>
      <c r="S87" s="49"/>
      <c r="T87" s="49"/>
      <c r="U87" s="49"/>
      <c r="V87" s="49"/>
      <c r="W87" s="49"/>
    </row>
    <row r="88" spans="2:23" ht="12.75">
      <c r="B88" s="49"/>
      <c r="C88" s="49"/>
      <c r="D88" s="49"/>
      <c r="E88" s="49"/>
      <c r="F88" s="49"/>
      <c r="G88" s="49"/>
      <c r="H88" s="49"/>
      <c r="I88" s="49"/>
      <c r="J88" s="49"/>
      <c r="K88" s="49"/>
      <c r="L88" s="49"/>
      <c r="M88" s="49"/>
      <c r="N88" s="49"/>
      <c r="O88" s="49"/>
      <c r="P88" s="49"/>
      <c r="Q88" s="49"/>
      <c r="R88" s="49"/>
      <c r="S88" s="49"/>
      <c r="T88" s="49"/>
      <c r="U88" s="49"/>
      <c r="V88" s="49"/>
      <c r="W88" s="49"/>
    </row>
    <row r="89" spans="2:23" ht="12.75">
      <c r="B89" s="49"/>
      <c r="C89" s="49"/>
      <c r="D89" s="49"/>
      <c r="E89" s="49"/>
      <c r="F89" s="49"/>
      <c r="G89" s="49"/>
      <c r="H89" s="49"/>
      <c r="I89" s="49"/>
      <c r="J89" s="49"/>
      <c r="K89" s="49"/>
      <c r="L89" s="49"/>
      <c r="M89" s="49"/>
      <c r="N89" s="49"/>
      <c r="O89" s="49"/>
      <c r="P89" s="49"/>
      <c r="Q89" s="49"/>
      <c r="R89" s="49"/>
      <c r="S89" s="49"/>
      <c r="T89" s="49"/>
      <c r="U89" s="49"/>
      <c r="V89" s="49"/>
      <c r="W89" s="49"/>
    </row>
    <row r="90" spans="2:23" ht="12.75">
      <c r="B90" s="49"/>
      <c r="C90" s="49"/>
      <c r="D90" s="49"/>
      <c r="E90" s="49"/>
      <c r="F90" s="49"/>
      <c r="G90" s="49"/>
      <c r="H90" s="49"/>
      <c r="I90" s="49"/>
      <c r="J90" s="49"/>
      <c r="K90" s="49"/>
      <c r="L90" s="49"/>
      <c r="M90" s="49"/>
      <c r="N90" s="49"/>
      <c r="O90" s="49"/>
      <c r="P90" s="49"/>
      <c r="Q90" s="49"/>
      <c r="R90" s="49"/>
      <c r="S90" s="49"/>
      <c r="T90" s="49"/>
      <c r="U90" s="49"/>
      <c r="V90" s="49"/>
      <c r="W90" s="49"/>
    </row>
    <row r="91" spans="2:23" ht="12.75">
      <c r="B91" s="49"/>
      <c r="C91" s="49"/>
      <c r="D91" s="49"/>
      <c r="E91" s="49"/>
      <c r="F91" s="49"/>
      <c r="G91" s="49"/>
      <c r="H91" s="49"/>
      <c r="I91" s="49"/>
      <c r="J91" s="49"/>
      <c r="K91" s="49"/>
      <c r="L91" s="49"/>
      <c r="M91" s="49"/>
      <c r="N91" s="49"/>
      <c r="O91" s="49"/>
      <c r="P91" s="49"/>
      <c r="Q91" s="49"/>
      <c r="R91" s="49"/>
      <c r="S91" s="49"/>
      <c r="T91" s="49"/>
      <c r="U91" s="49"/>
      <c r="V91" s="49"/>
      <c r="W91" s="49"/>
    </row>
    <row r="92" spans="2:23" ht="12.75">
      <c r="B92" s="49"/>
      <c r="C92" s="49"/>
      <c r="D92" s="49"/>
      <c r="E92" s="49"/>
      <c r="F92" s="49"/>
      <c r="G92" s="49"/>
      <c r="H92" s="49"/>
      <c r="I92" s="49"/>
      <c r="J92" s="49"/>
      <c r="K92" s="49"/>
      <c r="L92" s="49"/>
      <c r="M92" s="49"/>
      <c r="N92" s="49"/>
      <c r="O92" s="49"/>
      <c r="P92" s="49"/>
      <c r="Q92" s="49"/>
      <c r="R92" s="49"/>
      <c r="S92" s="49"/>
      <c r="T92" s="49"/>
      <c r="U92" s="49"/>
      <c r="V92" s="49"/>
      <c r="W92" s="49"/>
    </row>
    <row r="93" spans="2:23" ht="12.75">
      <c r="B93" s="49"/>
      <c r="C93" s="49"/>
      <c r="D93" s="49"/>
      <c r="E93" s="49"/>
      <c r="F93" s="49"/>
      <c r="G93" s="49"/>
      <c r="H93" s="49"/>
      <c r="I93" s="49"/>
      <c r="J93" s="49"/>
      <c r="K93" s="49"/>
      <c r="L93" s="49"/>
      <c r="M93" s="49"/>
      <c r="N93" s="49"/>
      <c r="O93" s="49"/>
      <c r="P93" s="49"/>
      <c r="Q93" s="49"/>
      <c r="R93" s="49"/>
      <c r="S93" s="49"/>
      <c r="T93" s="49"/>
      <c r="U93" s="49"/>
      <c r="V93" s="49"/>
      <c r="W93" s="49"/>
    </row>
    <row r="94" spans="2:23" ht="12.75">
      <c r="B94" s="49"/>
      <c r="C94" s="49"/>
      <c r="D94" s="49"/>
      <c r="E94" s="49"/>
      <c r="F94" s="49"/>
      <c r="G94" s="49"/>
      <c r="H94" s="49"/>
      <c r="I94" s="49"/>
      <c r="J94" s="49"/>
      <c r="K94" s="49"/>
      <c r="L94" s="49"/>
      <c r="M94" s="49"/>
      <c r="N94" s="49"/>
      <c r="O94" s="49"/>
      <c r="P94" s="49"/>
      <c r="Q94" s="49"/>
      <c r="R94" s="49"/>
      <c r="S94" s="49"/>
      <c r="T94" s="49"/>
      <c r="U94" s="49"/>
      <c r="V94" s="49"/>
      <c r="W94" s="49"/>
    </row>
    <row r="95" spans="2:23" ht="12.75">
      <c r="B95" s="49"/>
      <c r="C95" s="49"/>
      <c r="D95" s="49"/>
      <c r="E95" s="49"/>
      <c r="F95" s="49"/>
      <c r="G95" s="49"/>
      <c r="H95" s="49"/>
      <c r="I95" s="49"/>
      <c r="J95" s="49"/>
      <c r="K95" s="49"/>
      <c r="L95" s="49"/>
      <c r="M95" s="49"/>
      <c r="N95" s="49"/>
      <c r="O95" s="49"/>
      <c r="P95" s="49"/>
      <c r="Q95" s="49"/>
      <c r="R95" s="49"/>
      <c r="S95" s="49"/>
      <c r="T95" s="49"/>
      <c r="U95" s="49"/>
      <c r="V95" s="49"/>
      <c r="W95" s="49"/>
    </row>
    <row r="96" spans="2:23" ht="12.75">
      <c r="B96" s="49"/>
      <c r="C96" s="49"/>
      <c r="D96" s="49"/>
      <c r="E96" s="49"/>
      <c r="F96" s="49"/>
      <c r="G96" s="49"/>
      <c r="H96" s="49"/>
      <c r="I96" s="49"/>
      <c r="J96" s="49"/>
      <c r="K96" s="49"/>
      <c r="L96" s="49"/>
      <c r="M96" s="49"/>
      <c r="N96" s="49"/>
      <c r="O96" s="49"/>
      <c r="P96" s="49"/>
      <c r="Q96" s="49"/>
      <c r="R96" s="49"/>
      <c r="S96" s="49"/>
      <c r="T96" s="49"/>
      <c r="U96" s="49"/>
      <c r="V96" s="49"/>
      <c r="W96" s="49"/>
    </row>
    <row r="97" spans="2:23" ht="12.75">
      <c r="B97" s="49"/>
      <c r="C97" s="49"/>
      <c r="D97" s="49"/>
      <c r="E97" s="49"/>
      <c r="F97" s="49"/>
      <c r="G97" s="49"/>
      <c r="H97" s="49"/>
      <c r="I97" s="49"/>
      <c r="J97" s="49"/>
      <c r="K97" s="49"/>
      <c r="L97" s="49"/>
      <c r="M97" s="49"/>
      <c r="N97" s="49"/>
      <c r="O97" s="49"/>
      <c r="P97" s="49"/>
      <c r="Q97" s="49"/>
      <c r="R97" s="49"/>
      <c r="S97" s="49"/>
      <c r="T97" s="49"/>
      <c r="U97" s="49"/>
      <c r="V97" s="49"/>
      <c r="W97" s="49"/>
    </row>
    <row r="98" spans="2:23" ht="12.75">
      <c r="B98" s="49"/>
      <c r="C98" s="49"/>
      <c r="D98" s="49"/>
      <c r="E98" s="49"/>
      <c r="F98" s="49"/>
      <c r="G98" s="49"/>
      <c r="H98" s="49"/>
      <c r="I98" s="49"/>
      <c r="J98" s="49"/>
      <c r="K98" s="49"/>
      <c r="L98" s="49"/>
      <c r="M98" s="49"/>
      <c r="N98" s="49"/>
      <c r="O98" s="49"/>
      <c r="P98" s="49"/>
      <c r="Q98" s="49"/>
      <c r="R98" s="49"/>
      <c r="S98" s="49"/>
      <c r="T98" s="49"/>
      <c r="U98" s="49"/>
      <c r="V98" s="49"/>
      <c r="W98" s="49"/>
    </row>
    <row r="99" spans="2:23" ht="12.75">
      <c r="B99" s="49"/>
      <c r="C99" s="49"/>
      <c r="D99" s="49"/>
      <c r="E99" s="49"/>
      <c r="F99" s="49"/>
      <c r="G99" s="49"/>
      <c r="H99" s="49"/>
      <c r="I99" s="49"/>
      <c r="J99" s="49"/>
      <c r="K99" s="49"/>
      <c r="L99" s="49"/>
      <c r="M99" s="49"/>
      <c r="N99" s="49"/>
      <c r="O99" s="49"/>
      <c r="P99" s="49"/>
      <c r="Q99" s="49"/>
      <c r="R99" s="49"/>
      <c r="S99" s="49"/>
      <c r="T99" s="49"/>
      <c r="U99" s="49"/>
      <c r="V99" s="49"/>
      <c r="W99" s="49"/>
    </row>
    <row r="100" spans="2:23" ht="12.75">
      <c r="B100" s="49"/>
      <c r="C100" s="49"/>
      <c r="D100" s="49"/>
      <c r="E100" s="49"/>
      <c r="F100" s="49"/>
      <c r="G100" s="49"/>
      <c r="H100" s="49"/>
      <c r="I100" s="49"/>
      <c r="J100" s="49"/>
      <c r="K100" s="49"/>
      <c r="L100" s="49"/>
      <c r="M100" s="49"/>
      <c r="N100" s="49"/>
      <c r="O100" s="49"/>
      <c r="P100" s="49"/>
      <c r="Q100" s="49"/>
      <c r="R100" s="49"/>
      <c r="S100" s="49"/>
      <c r="T100" s="49"/>
      <c r="U100" s="49"/>
      <c r="V100" s="49"/>
      <c r="W100" s="49"/>
    </row>
    <row r="101" spans="2:23" ht="12.75">
      <c r="B101" s="49"/>
      <c r="C101" s="49"/>
      <c r="D101" s="49"/>
      <c r="E101" s="49"/>
      <c r="F101" s="49"/>
      <c r="G101" s="49"/>
      <c r="H101" s="49"/>
      <c r="I101" s="49"/>
      <c r="J101" s="49"/>
      <c r="K101" s="49"/>
      <c r="L101" s="49"/>
      <c r="M101" s="49"/>
      <c r="N101" s="49"/>
      <c r="O101" s="49"/>
      <c r="P101" s="49"/>
      <c r="Q101" s="49"/>
      <c r="R101" s="49"/>
      <c r="S101" s="49"/>
      <c r="T101" s="49"/>
      <c r="U101" s="49"/>
      <c r="V101" s="49"/>
      <c r="W101" s="49"/>
    </row>
    <row r="102" spans="2:23" ht="12.75">
      <c r="B102" s="49"/>
      <c r="C102" s="49"/>
      <c r="D102" s="49"/>
      <c r="E102" s="49"/>
      <c r="F102" s="49"/>
      <c r="G102" s="49"/>
      <c r="H102" s="49"/>
      <c r="I102" s="49"/>
      <c r="J102" s="49"/>
      <c r="K102" s="49"/>
      <c r="L102" s="49"/>
      <c r="M102" s="49"/>
      <c r="N102" s="49"/>
      <c r="O102" s="49"/>
      <c r="P102" s="49"/>
      <c r="Q102" s="49"/>
      <c r="R102" s="49"/>
      <c r="S102" s="49"/>
      <c r="T102" s="49"/>
      <c r="U102" s="49"/>
      <c r="V102" s="49"/>
      <c r="W102" s="49"/>
    </row>
    <row r="103" spans="2:23" ht="12.75">
      <c r="B103" s="49"/>
      <c r="C103" s="49"/>
      <c r="D103" s="49"/>
      <c r="E103" s="49"/>
      <c r="F103" s="49"/>
      <c r="G103" s="49"/>
      <c r="H103" s="49"/>
      <c r="I103" s="49"/>
      <c r="J103" s="49"/>
      <c r="K103" s="49"/>
      <c r="L103" s="49"/>
      <c r="M103" s="49"/>
      <c r="N103" s="49"/>
      <c r="O103" s="49"/>
      <c r="P103" s="49"/>
      <c r="Q103" s="49"/>
      <c r="R103" s="49"/>
      <c r="S103" s="49"/>
      <c r="T103" s="49"/>
      <c r="U103" s="49"/>
      <c r="V103" s="49"/>
      <c r="W103" s="49"/>
    </row>
    <row r="104" spans="2:23" ht="12.75">
      <c r="B104" s="49"/>
      <c r="C104" s="49"/>
      <c r="D104" s="49"/>
      <c r="E104" s="49"/>
      <c r="F104" s="49"/>
      <c r="G104" s="49"/>
      <c r="H104" s="49"/>
      <c r="I104" s="49"/>
      <c r="J104" s="49"/>
      <c r="K104" s="49"/>
      <c r="L104" s="49"/>
      <c r="M104" s="49"/>
      <c r="N104" s="49"/>
      <c r="O104" s="49"/>
      <c r="P104" s="49"/>
      <c r="Q104" s="49"/>
      <c r="R104" s="49"/>
      <c r="S104" s="49"/>
      <c r="T104" s="49"/>
      <c r="U104" s="49"/>
      <c r="V104" s="49"/>
      <c r="W104" s="49"/>
    </row>
    <row r="105" spans="2:23" ht="12.75">
      <c r="B105" s="49"/>
      <c r="C105" s="49"/>
      <c r="D105" s="49"/>
      <c r="E105" s="49"/>
      <c r="F105" s="49"/>
      <c r="G105" s="49"/>
      <c r="H105" s="49"/>
      <c r="I105" s="49"/>
      <c r="J105" s="49"/>
      <c r="K105" s="49"/>
      <c r="L105" s="49"/>
      <c r="M105" s="49"/>
      <c r="N105" s="49"/>
      <c r="O105" s="49"/>
      <c r="P105" s="49"/>
      <c r="Q105" s="49"/>
      <c r="R105" s="49"/>
      <c r="S105" s="49"/>
      <c r="T105" s="49"/>
      <c r="U105" s="49"/>
      <c r="V105" s="49"/>
      <c r="W105" s="49"/>
    </row>
    <row r="106" spans="2:23" ht="12.75">
      <c r="B106" s="49"/>
      <c r="C106" s="49"/>
      <c r="D106" s="49"/>
      <c r="E106" s="49"/>
      <c r="F106" s="49"/>
      <c r="G106" s="49"/>
      <c r="H106" s="49"/>
      <c r="I106" s="49"/>
      <c r="J106" s="49"/>
      <c r="K106" s="49"/>
      <c r="L106" s="49"/>
      <c r="M106" s="49"/>
      <c r="N106" s="49"/>
      <c r="O106" s="49"/>
      <c r="P106" s="49"/>
      <c r="Q106" s="49"/>
      <c r="R106" s="49"/>
      <c r="S106" s="49"/>
      <c r="T106" s="49"/>
      <c r="U106" s="49"/>
      <c r="V106" s="49"/>
      <c r="W106" s="49"/>
    </row>
    <row r="107" spans="2:23" ht="12.75">
      <c r="B107" s="49"/>
      <c r="C107" s="49"/>
      <c r="D107" s="49"/>
      <c r="E107" s="49"/>
      <c r="F107" s="49"/>
      <c r="G107" s="49"/>
      <c r="H107" s="49"/>
      <c r="I107" s="49"/>
      <c r="J107" s="49"/>
      <c r="K107" s="49"/>
      <c r="L107" s="49"/>
      <c r="M107" s="49"/>
      <c r="N107" s="49"/>
      <c r="O107" s="49"/>
      <c r="P107" s="49"/>
      <c r="Q107" s="49"/>
      <c r="R107" s="49"/>
      <c r="S107" s="49"/>
      <c r="T107" s="49"/>
      <c r="U107" s="49"/>
      <c r="V107" s="49"/>
      <c r="W107" s="49"/>
    </row>
    <row r="108" spans="2:23" ht="12.75">
      <c r="B108" s="49"/>
      <c r="C108" s="49"/>
      <c r="D108" s="49"/>
      <c r="E108" s="49"/>
      <c r="F108" s="49"/>
      <c r="G108" s="49"/>
      <c r="H108" s="49"/>
      <c r="I108" s="49"/>
      <c r="J108" s="49"/>
      <c r="K108" s="49"/>
      <c r="L108" s="49"/>
      <c r="M108" s="49"/>
      <c r="N108" s="49"/>
      <c r="O108" s="49"/>
      <c r="P108" s="49"/>
      <c r="Q108" s="49"/>
      <c r="R108" s="49"/>
      <c r="S108" s="49"/>
      <c r="T108" s="49"/>
      <c r="U108" s="49"/>
      <c r="V108" s="49"/>
      <c r="W108" s="49"/>
    </row>
    <row r="109" spans="2:23" ht="12.75">
      <c r="B109" s="49"/>
      <c r="C109" s="49"/>
      <c r="D109" s="49"/>
      <c r="E109" s="49"/>
      <c r="F109" s="49"/>
      <c r="G109" s="49"/>
      <c r="H109" s="49"/>
      <c r="I109" s="49"/>
      <c r="J109" s="49"/>
      <c r="K109" s="49"/>
      <c r="L109" s="49"/>
      <c r="M109" s="49"/>
      <c r="N109" s="49"/>
      <c r="O109" s="49"/>
      <c r="P109" s="49"/>
      <c r="Q109" s="49"/>
      <c r="R109" s="49"/>
      <c r="S109" s="49"/>
      <c r="T109" s="49"/>
      <c r="U109" s="49"/>
      <c r="V109" s="49"/>
      <c r="W109" s="49"/>
    </row>
    <row r="110" spans="2:23" ht="12.75">
      <c r="B110" s="49"/>
      <c r="C110" s="49"/>
      <c r="D110" s="49"/>
      <c r="E110" s="49"/>
      <c r="F110" s="49"/>
      <c r="G110" s="49"/>
      <c r="H110" s="49"/>
      <c r="I110" s="49"/>
      <c r="J110" s="49"/>
      <c r="K110" s="49"/>
      <c r="L110" s="49"/>
      <c r="M110" s="49"/>
      <c r="N110" s="49"/>
      <c r="O110" s="49"/>
      <c r="P110" s="49"/>
      <c r="Q110" s="49"/>
      <c r="R110" s="49"/>
      <c r="S110" s="49"/>
      <c r="T110" s="49"/>
      <c r="U110" s="49"/>
      <c r="V110" s="49"/>
      <c r="W110" s="49"/>
    </row>
    <row r="111" spans="2:23" ht="12.75">
      <c r="B111" s="49"/>
      <c r="C111" s="49"/>
      <c r="D111" s="49"/>
      <c r="E111" s="49"/>
      <c r="F111" s="49"/>
      <c r="G111" s="49"/>
      <c r="H111" s="49"/>
      <c r="I111" s="49"/>
      <c r="J111" s="49"/>
      <c r="K111" s="49"/>
      <c r="L111" s="49"/>
      <c r="M111" s="49"/>
      <c r="N111" s="49"/>
      <c r="O111" s="49"/>
      <c r="P111" s="49"/>
      <c r="Q111" s="49"/>
      <c r="R111" s="49"/>
      <c r="S111" s="49"/>
      <c r="T111" s="49"/>
      <c r="U111" s="49"/>
      <c r="V111" s="49"/>
      <c r="W111" s="49"/>
    </row>
    <row r="112" spans="2:23" ht="12.75">
      <c r="B112" s="49"/>
      <c r="C112" s="49"/>
      <c r="D112" s="49"/>
      <c r="E112" s="49"/>
      <c r="F112" s="49"/>
      <c r="G112" s="49"/>
      <c r="H112" s="49"/>
      <c r="I112" s="49"/>
      <c r="J112" s="49"/>
      <c r="K112" s="49"/>
      <c r="L112" s="49"/>
      <c r="M112" s="49"/>
      <c r="N112" s="49"/>
      <c r="O112" s="49"/>
      <c r="P112" s="49"/>
      <c r="Q112" s="49"/>
      <c r="R112" s="49"/>
      <c r="S112" s="49"/>
      <c r="T112" s="49"/>
      <c r="U112" s="49"/>
      <c r="V112" s="49"/>
      <c r="W112" s="49"/>
    </row>
    <row r="113" spans="2:23" ht="12.75">
      <c r="B113" s="49"/>
      <c r="C113" s="49"/>
      <c r="D113" s="49"/>
      <c r="E113" s="49"/>
      <c r="F113" s="49"/>
      <c r="G113" s="49"/>
      <c r="H113" s="49"/>
      <c r="I113" s="49"/>
      <c r="J113" s="49"/>
      <c r="K113" s="49"/>
      <c r="L113" s="49"/>
      <c r="M113" s="49"/>
      <c r="N113" s="49"/>
      <c r="O113" s="49"/>
      <c r="P113" s="49"/>
      <c r="Q113" s="49"/>
      <c r="R113" s="49"/>
      <c r="S113" s="49"/>
      <c r="T113" s="49"/>
      <c r="U113" s="49"/>
      <c r="V113" s="49"/>
      <c r="W113" s="49"/>
    </row>
    <row r="114" spans="2:23" ht="12.75">
      <c r="B114" s="49"/>
      <c r="C114" s="49"/>
      <c r="D114" s="49"/>
      <c r="E114" s="49"/>
      <c r="F114" s="49"/>
      <c r="G114" s="49"/>
      <c r="H114" s="49"/>
      <c r="I114" s="49"/>
      <c r="J114" s="49"/>
      <c r="K114" s="49"/>
      <c r="L114" s="49"/>
      <c r="M114" s="49"/>
      <c r="N114" s="49"/>
      <c r="O114" s="49"/>
      <c r="P114" s="49"/>
      <c r="Q114" s="49"/>
      <c r="R114" s="49"/>
      <c r="S114" s="49"/>
      <c r="T114" s="49"/>
      <c r="U114" s="49"/>
      <c r="V114" s="49"/>
      <c r="W114" s="49"/>
    </row>
    <row r="115" spans="2:23" ht="12.75">
      <c r="B115" s="49"/>
      <c r="C115" s="49"/>
      <c r="D115" s="49"/>
      <c r="E115" s="49"/>
      <c r="F115" s="49"/>
      <c r="G115" s="49"/>
      <c r="H115" s="49"/>
      <c r="I115" s="49"/>
      <c r="J115" s="49"/>
      <c r="K115" s="49"/>
      <c r="L115" s="49"/>
      <c r="M115" s="49"/>
      <c r="N115" s="49"/>
      <c r="O115" s="49"/>
      <c r="P115" s="49"/>
      <c r="Q115" s="49"/>
      <c r="R115" s="49"/>
      <c r="S115" s="49"/>
      <c r="T115" s="49"/>
      <c r="U115" s="49"/>
      <c r="V115" s="49"/>
      <c r="W115" s="49"/>
    </row>
    <row r="116" spans="2:23" ht="12.75">
      <c r="B116" s="49"/>
      <c r="C116" s="49"/>
      <c r="D116" s="49"/>
      <c r="E116" s="49"/>
      <c r="F116" s="49"/>
      <c r="G116" s="49"/>
      <c r="H116" s="49"/>
      <c r="I116" s="49"/>
      <c r="J116" s="49"/>
      <c r="K116" s="49"/>
      <c r="L116" s="49"/>
      <c r="M116" s="49"/>
      <c r="N116" s="49"/>
      <c r="O116" s="49"/>
      <c r="P116" s="49"/>
      <c r="Q116" s="49"/>
      <c r="R116" s="49"/>
      <c r="S116" s="49"/>
      <c r="T116" s="49"/>
      <c r="U116" s="49"/>
      <c r="V116" s="49"/>
      <c r="W116" s="49"/>
    </row>
    <row r="117" spans="2:23" ht="12.75">
      <c r="B117" s="49"/>
      <c r="C117" s="49"/>
      <c r="D117" s="49"/>
      <c r="E117" s="49"/>
      <c r="F117" s="49"/>
      <c r="G117" s="49"/>
      <c r="H117" s="49"/>
      <c r="I117" s="49"/>
      <c r="J117" s="49"/>
      <c r="K117" s="49"/>
      <c r="L117" s="49"/>
      <c r="M117" s="49"/>
      <c r="N117" s="49"/>
      <c r="O117" s="49"/>
      <c r="P117" s="49"/>
      <c r="Q117" s="49"/>
      <c r="R117" s="49"/>
      <c r="S117" s="49"/>
      <c r="T117" s="49"/>
      <c r="U117" s="49"/>
      <c r="V117" s="49"/>
      <c r="W117" s="49"/>
    </row>
    <row r="118" spans="2:23" ht="12.75">
      <c r="B118" s="49"/>
      <c r="C118" s="49"/>
      <c r="D118" s="49"/>
      <c r="E118" s="49"/>
      <c r="F118" s="49"/>
      <c r="G118" s="49"/>
      <c r="H118" s="49"/>
      <c r="I118" s="49"/>
      <c r="J118" s="49"/>
      <c r="K118" s="49"/>
      <c r="L118" s="49"/>
      <c r="M118" s="49"/>
      <c r="N118" s="49"/>
      <c r="O118" s="49"/>
      <c r="P118" s="49"/>
      <c r="Q118" s="49"/>
      <c r="R118" s="49"/>
      <c r="S118" s="49"/>
      <c r="T118" s="49"/>
      <c r="U118" s="49"/>
      <c r="V118" s="49"/>
      <c r="W118" s="49"/>
    </row>
    <row r="119" spans="2:23" ht="12.75">
      <c r="B119" s="49"/>
      <c r="C119" s="49"/>
      <c r="D119" s="49"/>
      <c r="E119" s="49"/>
      <c r="F119" s="49"/>
      <c r="G119" s="49"/>
      <c r="H119" s="49"/>
      <c r="I119" s="49"/>
      <c r="J119" s="49"/>
      <c r="K119" s="49"/>
      <c r="L119" s="49"/>
      <c r="M119" s="49"/>
      <c r="N119" s="49"/>
      <c r="O119" s="49"/>
      <c r="P119" s="49"/>
      <c r="Q119" s="49"/>
      <c r="R119" s="49"/>
      <c r="S119" s="49"/>
      <c r="T119" s="49"/>
      <c r="U119" s="49"/>
      <c r="V119" s="49"/>
      <c r="W119" s="49"/>
    </row>
    <row r="120" spans="2:23" ht="12.75">
      <c r="B120" s="49"/>
      <c r="C120" s="49"/>
      <c r="D120" s="49"/>
      <c r="E120" s="49"/>
      <c r="F120" s="49"/>
      <c r="G120" s="49"/>
      <c r="H120" s="49"/>
      <c r="I120" s="49"/>
      <c r="J120" s="49"/>
      <c r="K120" s="49"/>
      <c r="L120" s="49"/>
      <c r="M120" s="49"/>
      <c r="N120" s="49"/>
      <c r="O120" s="49"/>
      <c r="P120" s="49"/>
      <c r="Q120" s="49"/>
      <c r="R120" s="49"/>
      <c r="S120" s="49"/>
      <c r="T120" s="49"/>
      <c r="U120" s="49"/>
      <c r="V120" s="49"/>
      <c r="W120" s="49"/>
    </row>
    <row r="121" spans="2:23" ht="12.75">
      <c r="B121" s="49"/>
      <c r="C121" s="49"/>
      <c r="D121" s="49"/>
      <c r="E121" s="49"/>
      <c r="F121" s="49"/>
      <c r="G121" s="49"/>
      <c r="H121" s="49"/>
      <c r="I121" s="49"/>
      <c r="J121" s="49"/>
      <c r="K121" s="49"/>
      <c r="L121" s="49"/>
      <c r="M121" s="49"/>
      <c r="N121" s="49"/>
      <c r="O121" s="49"/>
      <c r="P121" s="49"/>
      <c r="Q121" s="49"/>
      <c r="R121" s="49"/>
      <c r="S121" s="49"/>
      <c r="T121" s="49"/>
      <c r="U121" s="49"/>
      <c r="V121" s="49"/>
      <c r="W121" s="49"/>
    </row>
    <row r="122" spans="2:23" ht="12.75">
      <c r="B122" s="49"/>
      <c r="C122" s="49"/>
      <c r="D122" s="49"/>
      <c r="E122" s="49"/>
      <c r="F122" s="49"/>
      <c r="G122" s="49"/>
      <c r="H122" s="49"/>
      <c r="I122" s="49"/>
      <c r="J122" s="49"/>
      <c r="K122" s="49"/>
      <c r="L122" s="49"/>
      <c r="M122" s="49"/>
      <c r="N122" s="49"/>
      <c r="O122" s="49"/>
      <c r="P122" s="49"/>
      <c r="Q122" s="49"/>
      <c r="R122" s="49"/>
      <c r="S122" s="49"/>
      <c r="T122" s="49"/>
      <c r="U122" s="49"/>
      <c r="V122" s="49"/>
      <c r="W122" s="49"/>
    </row>
    <row r="123" spans="2:23" ht="12.75">
      <c r="B123" s="49"/>
      <c r="C123" s="49"/>
      <c r="D123" s="49"/>
      <c r="E123" s="49"/>
      <c r="F123" s="49"/>
      <c r="G123" s="49"/>
      <c r="H123" s="49"/>
      <c r="I123" s="49"/>
      <c r="J123" s="49"/>
      <c r="K123" s="49"/>
      <c r="L123" s="49"/>
      <c r="M123" s="49"/>
      <c r="N123" s="49"/>
      <c r="O123" s="49"/>
      <c r="P123" s="49"/>
      <c r="Q123" s="49"/>
      <c r="R123" s="49"/>
      <c r="S123" s="49"/>
      <c r="T123" s="49"/>
      <c r="U123" s="49"/>
      <c r="V123" s="49"/>
      <c r="W123" s="49"/>
    </row>
    <row r="124" spans="2:23" ht="12.75">
      <c r="B124" s="49"/>
      <c r="C124" s="49"/>
      <c r="D124" s="49"/>
      <c r="E124" s="49"/>
      <c r="F124" s="49"/>
      <c r="G124" s="49"/>
      <c r="H124" s="49"/>
      <c r="I124" s="49"/>
      <c r="J124" s="49"/>
      <c r="K124" s="49"/>
      <c r="L124" s="49"/>
      <c r="M124" s="49"/>
      <c r="N124" s="49"/>
      <c r="O124" s="49"/>
      <c r="P124" s="49"/>
      <c r="Q124" s="49"/>
      <c r="R124" s="49"/>
      <c r="S124" s="49"/>
      <c r="T124" s="49"/>
      <c r="U124" s="49"/>
      <c r="V124" s="49"/>
      <c r="W124" s="49"/>
    </row>
    <row r="125" spans="2:23" ht="12.75">
      <c r="B125" s="49"/>
      <c r="C125" s="49"/>
      <c r="D125" s="49"/>
      <c r="E125" s="49"/>
      <c r="F125" s="49"/>
      <c r="G125" s="49"/>
      <c r="H125" s="49"/>
      <c r="I125" s="49"/>
      <c r="J125" s="49"/>
      <c r="K125" s="49"/>
      <c r="L125" s="49"/>
      <c r="M125" s="49"/>
      <c r="N125" s="49"/>
      <c r="O125" s="49"/>
      <c r="P125" s="49"/>
      <c r="Q125" s="49"/>
      <c r="R125" s="49"/>
      <c r="S125" s="49"/>
      <c r="T125" s="49"/>
      <c r="U125" s="49"/>
      <c r="V125" s="49"/>
      <c r="W125" s="49"/>
    </row>
    <row r="126" spans="2:23" ht="12.75">
      <c r="B126" s="49"/>
      <c r="C126" s="49"/>
      <c r="D126" s="49"/>
      <c r="E126" s="49"/>
      <c r="F126" s="49"/>
      <c r="G126" s="49"/>
      <c r="H126" s="49"/>
      <c r="I126" s="49"/>
      <c r="J126" s="49"/>
      <c r="K126" s="49"/>
      <c r="L126" s="49"/>
      <c r="M126" s="49"/>
      <c r="N126" s="49"/>
      <c r="O126" s="49"/>
      <c r="P126" s="49"/>
      <c r="Q126" s="49"/>
      <c r="R126" s="49"/>
      <c r="S126" s="49"/>
      <c r="T126" s="49"/>
      <c r="U126" s="49"/>
      <c r="V126" s="49"/>
      <c r="W126" s="49"/>
    </row>
    <row r="127" spans="2:23" ht="12.75">
      <c r="B127" s="49"/>
      <c r="C127" s="49"/>
      <c r="D127" s="49"/>
      <c r="E127" s="49"/>
      <c r="F127" s="49"/>
      <c r="G127" s="49"/>
      <c r="H127" s="49"/>
      <c r="I127" s="49"/>
      <c r="J127" s="49"/>
      <c r="K127" s="49"/>
      <c r="L127" s="49"/>
      <c r="M127" s="49"/>
      <c r="N127" s="49"/>
      <c r="O127" s="49"/>
      <c r="P127" s="49"/>
      <c r="Q127" s="49"/>
      <c r="R127" s="49"/>
      <c r="S127" s="49"/>
      <c r="T127" s="49"/>
      <c r="U127" s="49"/>
      <c r="V127" s="49"/>
      <c r="W127" s="49"/>
    </row>
    <row r="128" spans="2:23" ht="12.75">
      <c r="B128" s="49"/>
      <c r="C128" s="49"/>
      <c r="D128" s="49"/>
      <c r="E128" s="49"/>
      <c r="F128" s="49"/>
      <c r="G128" s="49"/>
      <c r="H128" s="49"/>
      <c r="I128" s="49"/>
      <c r="J128" s="49"/>
      <c r="K128" s="49"/>
      <c r="L128" s="49"/>
      <c r="M128" s="49"/>
      <c r="N128" s="49"/>
      <c r="O128" s="49"/>
      <c r="P128" s="49"/>
      <c r="Q128" s="49"/>
      <c r="R128" s="49"/>
      <c r="S128" s="49"/>
      <c r="T128" s="49"/>
      <c r="U128" s="49"/>
      <c r="V128" s="49"/>
      <c r="W128" s="49"/>
    </row>
    <row r="129" spans="2:23" ht="12.75">
      <c r="B129" s="49"/>
      <c r="C129" s="49"/>
      <c r="D129" s="49"/>
      <c r="E129" s="49"/>
      <c r="F129" s="49"/>
      <c r="G129" s="49"/>
      <c r="H129" s="49"/>
      <c r="I129" s="49"/>
      <c r="J129" s="49"/>
      <c r="K129" s="49"/>
      <c r="L129" s="49"/>
      <c r="M129" s="49"/>
      <c r="N129" s="49"/>
      <c r="O129" s="49"/>
      <c r="P129" s="49"/>
      <c r="Q129" s="49"/>
      <c r="R129" s="49"/>
      <c r="S129" s="49"/>
      <c r="T129" s="49"/>
      <c r="U129" s="49"/>
      <c r="V129" s="49"/>
      <c r="W129" s="49"/>
    </row>
    <row r="130" spans="2:23" ht="12.75">
      <c r="B130" s="49"/>
      <c r="C130" s="49"/>
      <c r="D130" s="49"/>
      <c r="E130" s="49"/>
      <c r="F130" s="49"/>
      <c r="G130" s="49"/>
      <c r="H130" s="49"/>
      <c r="I130" s="49"/>
      <c r="J130" s="49"/>
      <c r="K130" s="49"/>
      <c r="L130" s="49"/>
      <c r="M130" s="49"/>
      <c r="N130" s="49"/>
      <c r="O130" s="49"/>
      <c r="P130" s="49"/>
      <c r="Q130" s="49"/>
      <c r="R130" s="49"/>
      <c r="S130" s="49"/>
      <c r="T130" s="49"/>
      <c r="U130" s="49"/>
      <c r="V130" s="49"/>
      <c r="W130" s="49"/>
    </row>
    <row r="131" spans="2:23" ht="12.75">
      <c r="B131" s="49"/>
      <c r="C131" s="49"/>
      <c r="D131" s="49"/>
      <c r="E131" s="49"/>
      <c r="F131" s="49"/>
      <c r="G131" s="49"/>
      <c r="H131" s="49"/>
      <c r="I131" s="49"/>
      <c r="J131" s="49"/>
      <c r="K131" s="49"/>
      <c r="L131" s="49"/>
      <c r="M131" s="49"/>
      <c r="N131" s="49"/>
      <c r="O131" s="49"/>
      <c r="P131" s="49"/>
      <c r="Q131" s="49"/>
      <c r="R131" s="49"/>
      <c r="S131" s="49"/>
      <c r="T131" s="49"/>
      <c r="U131" s="49"/>
      <c r="V131" s="49"/>
      <c r="W131" s="49"/>
    </row>
    <row r="132" spans="2:23" ht="12.75">
      <c r="B132" s="49"/>
      <c r="C132" s="49"/>
      <c r="D132" s="49"/>
      <c r="E132" s="49"/>
      <c r="F132" s="49"/>
      <c r="G132" s="49"/>
      <c r="H132" s="49"/>
      <c r="I132" s="49"/>
      <c r="J132" s="49"/>
      <c r="K132" s="49"/>
      <c r="L132" s="49"/>
      <c r="M132" s="49"/>
      <c r="N132" s="49"/>
      <c r="O132" s="49"/>
      <c r="P132" s="49"/>
      <c r="Q132" s="49"/>
      <c r="R132" s="49"/>
      <c r="S132" s="49"/>
      <c r="T132" s="49"/>
      <c r="U132" s="49"/>
      <c r="V132" s="49"/>
      <c r="W132" s="49"/>
    </row>
    <row r="133" spans="2:23" ht="12.75">
      <c r="B133" s="49"/>
      <c r="C133" s="49"/>
      <c r="D133" s="49"/>
      <c r="E133" s="49"/>
      <c r="F133" s="49"/>
      <c r="G133" s="49"/>
      <c r="H133" s="49"/>
      <c r="I133" s="49"/>
      <c r="J133" s="49"/>
      <c r="K133" s="49"/>
      <c r="L133" s="49"/>
      <c r="M133" s="49"/>
      <c r="N133" s="49"/>
      <c r="O133" s="49"/>
      <c r="P133" s="49"/>
      <c r="Q133" s="49"/>
      <c r="R133" s="49"/>
      <c r="S133" s="49"/>
      <c r="T133" s="49"/>
      <c r="U133" s="49"/>
      <c r="V133" s="49"/>
      <c r="W133" s="49"/>
    </row>
    <row r="134" spans="2:23" ht="12.75">
      <c r="B134" s="49"/>
      <c r="C134" s="49"/>
      <c r="D134" s="49"/>
      <c r="E134" s="49"/>
      <c r="F134" s="49"/>
      <c r="G134" s="49"/>
      <c r="H134" s="49"/>
      <c r="I134" s="49"/>
      <c r="J134" s="49"/>
      <c r="K134" s="49"/>
      <c r="L134" s="49"/>
      <c r="M134" s="49"/>
      <c r="N134" s="49"/>
      <c r="O134" s="49"/>
      <c r="P134" s="49"/>
      <c r="Q134" s="49"/>
      <c r="R134" s="49"/>
      <c r="S134" s="49"/>
      <c r="T134" s="49"/>
      <c r="U134" s="49"/>
      <c r="V134" s="49"/>
      <c r="W134" s="49"/>
    </row>
    <row r="135" spans="2:23" ht="12.75">
      <c r="B135" s="49"/>
      <c r="C135" s="49"/>
      <c r="D135" s="49"/>
      <c r="E135" s="49"/>
      <c r="F135" s="49"/>
      <c r="G135" s="49"/>
      <c r="H135" s="49"/>
      <c r="I135" s="49"/>
      <c r="J135" s="49"/>
      <c r="K135" s="49"/>
      <c r="L135" s="49"/>
      <c r="M135" s="49"/>
      <c r="N135" s="49"/>
      <c r="O135" s="49"/>
      <c r="P135" s="49"/>
      <c r="Q135" s="49"/>
      <c r="R135" s="49"/>
      <c r="S135" s="49"/>
      <c r="T135" s="49"/>
      <c r="U135" s="49"/>
      <c r="V135" s="49"/>
      <c r="W135" s="49"/>
    </row>
    <row r="136" spans="2:23" ht="12.75">
      <c r="B136" s="49"/>
      <c r="C136" s="49"/>
      <c r="D136" s="49"/>
      <c r="E136" s="49"/>
      <c r="F136" s="49"/>
      <c r="G136" s="49"/>
      <c r="H136" s="49"/>
      <c r="I136" s="49"/>
      <c r="J136" s="49"/>
      <c r="K136" s="49"/>
      <c r="L136" s="49"/>
      <c r="M136" s="49"/>
      <c r="N136" s="49"/>
      <c r="O136" s="49"/>
      <c r="P136" s="49"/>
      <c r="Q136" s="49"/>
      <c r="R136" s="49"/>
      <c r="S136" s="49"/>
      <c r="T136" s="49"/>
      <c r="U136" s="49"/>
      <c r="V136" s="49"/>
      <c r="W136" s="49"/>
    </row>
    <row r="137" spans="2:23" ht="12.75">
      <c r="B137" s="49"/>
      <c r="C137" s="49"/>
      <c r="D137" s="49"/>
      <c r="E137" s="49"/>
      <c r="F137" s="49"/>
      <c r="G137" s="49"/>
      <c r="H137" s="49"/>
      <c r="I137" s="49"/>
      <c r="J137" s="49"/>
      <c r="K137" s="49"/>
      <c r="L137" s="49"/>
      <c r="M137" s="49"/>
      <c r="N137" s="49"/>
      <c r="O137" s="49"/>
      <c r="P137" s="49"/>
      <c r="Q137" s="49"/>
      <c r="R137" s="49"/>
      <c r="S137" s="49"/>
      <c r="T137" s="49"/>
      <c r="U137" s="49"/>
      <c r="V137" s="49"/>
      <c r="W137" s="49"/>
    </row>
    <row r="138" spans="2:23" ht="12.75">
      <c r="B138" s="49"/>
      <c r="C138" s="49"/>
      <c r="D138" s="49"/>
      <c r="E138" s="49"/>
      <c r="F138" s="49"/>
      <c r="G138" s="49"/>
      <c r="H138" s="49"/>
      <c r="I138" s="49"/>
      <c r="J138" s="49"/>
      <c r="K138" s="49"/>
      <c r="L138" s="49"/>
      <c r="M138" s="49"/>
      <c r="N138" s="49"/>
      <c r="O138" s="49"/>
      <c r="P138" s="49"/>
      <c r="Q138" s="49"/>
      <c r="R138" s="49"/>
      <c r="S138" s="49"/>
      <c r="T138" s="49"/>
      <c r="U138" s="49"/>
      <c r="V138" s="49"/>
      <c r="W138" s="49"/>
    </row>
    <row r="139" spans="2:23" ht="12.75">
      <c r="B139" s="49"/>
      <c r="C139" s="49"/>
      <c r="D139" s="49"/>
      <c r="E139" s="49"/>
      <c r="F139" s="49"/>
      <c r="G139" s="49"/>
      <c r="H139" s="49"/>
      <c r="I139" s="49"/>
      <c r="J139" s="49"/>
      <c r="K139" s="49"/>
      <c r="L139" s="49"/>
      <c r="M139" s="49"/>
      <c r="N139" s="49"/>
      <c r="O139" s="49"/>
      <c r="P139" s="49"/>
      <c r="Q139" s="49"/>
      <c r="R139" s="49"/>
      <c r="S139" s="49"/>
      <c r="T139" s="49"/>
      <c r="U139" s="49"/>
      <c r="V139" s="49"/>
      <c r="W139" s="49"/>
    </row>
    <row r="140" spans="2:23" ht="12.75">
      <c r="B140" s="49"/>
      <c r="C140" s="49"/>
      <c r="D140" s="49"/>
      <c r="E140" s="49"/>
      <c r="F140" s="49"/>
      <c r="G140" s="49"/>
      <c r="H140" s="49"/>
      <c r="I140" s="49"/>
      <c r="J140" s="49"/>
      <c r="K140" s="49"/>
      <c r="L140" s="49"/>
      <c r="M140" s="49"/>
      <c r="N140" s="49"/>
      <c r="O140" s="49"/>
      <c r="P140" s="49"/>
      <c r="Q140" s="49"/>
      <c r="R140" s="49"/>
      <c r="S140" s="49"/>
      <c r="T140" s="49"/>
      <c r="U140" s="49"/>
      <c r="V140" s="49"/>
      <c r="W140" s="49"/>
    </row>
    <row r="141" spans="2:23" ht="12.75">
      <c r="B141" s="49"/>
      <c r="C141" s="49"/>
      <c r="D141" s="49"/>
      <c r="E141" s="49"/>
      <c r="F141" s="49"/>
      <c r="G141" s="49"/>
      <c r="H141" s="49"/>
      <c r="I141" s="49"/>
      <c r="J141" s="49"/>
      <c r="K141" s="49"/>
      <c r="L141" s="49"/>
      <c r="M141" s="49"/>
      <c r="N141" s="49"/>
      <c r="O141" s="49"/>
      <c r="P141" s="49"/>
      <c r="Q141" s="49"/>
      <c r="R141" s="49"/>
      <c r="S141" s="49"/>
      <c r="T141" s="49"/>
      <c r="U141" s="49"/>
      <c r="V141" s="49"/>
      <c r="W141" s="49"/>
    </row>
    <row r="142" spans="2:23" ht="12.75">
      <c r="B142" s="49"/>
      <c r="C142" s="49"/>
      <c r="D142" s="49"/>
      <c r="E142" s="49"/>
      <c r="F142" s="49"/>
      <c r="G142" s="49"/>
      <c r="H142" s="49"/>
      <c r="I142" s="49"/>
      <c r="J142" s="49"/>
      <c r="K142" s="49"/>
      <c r="L142" s="49"/>
      <c r="M142" s="49"/>
      <c r="N142" s="49"/>
      <c r="O142" s="49"/>
      <c r="P142" s="49"/>
      <c r="Q142" s="49"/>
      <c r="R142" s="49"/>
      <c r="S142" s="49"/>
      <c r="T142" s="49"/>
      <c r="U142" s="49"/>
      <c r="V142" s="49"/>
      <c r="W142" s="49"/>
    </row>
    <row r="143" spans="2:23" ht="12.75">
      <c r="B143" s="49"/>
      <c r="C143" s="49"/>
      <c r="D143" s="49"/>
      <c r="E143" s="49"/>
      <c r="F143" s="49"/>
      <c r="G143" s="49"/>
      <c r="H143" s="49"/>
      <c r="I143" s="49"/>
      <c r="J143" s="49"/>
      <c r="K143" s="49"/>
      <c r="L143" s="49"/>
      <c r="M143" s="49"/>
      <c r="N143" s="49"/>
      <c r="O143" s="49"/>
      <c r="P143" s="49"/>
      <c r="Q143" s="49"/>
      <c r="R143" s="49"/>
      <c r="S143" s="49"/>
      <c r="T143" s="49"/>
      <c r="U143" s="49"/>
      <c r="V143" s="49"/>
      <c r="W143" s="49"/>
    </row>
    <row r="144" spans="2:23" ht="12.75">
      <c r="B144" s="49"/>
      <c r="C144" s="49"/>
      <c r="D144" s="49"/>
      <c r="E144" s="49"/>
      <c r="F144" s="49"/>
      <c r="G144" s="49"/>
      <c r="H144" s="49"/>
      <c r="I144" s="49"/>
      <c r="J144" s="49"/>
      <c r="K144" s="49"/>
      <c r="L144" s="49"/>
      <c r="M144" s="49"/>
      <c r="N144" s="49"/>
      <c r="O144" s="49"/>
      <c r="P144" s="49"/>
      <c r="Q144" s="49"/>
      <c r="R144" s="49"/>
      <c r="S144" s="49"/>
      <c r="T144" s="49"/>
      <c r="U144" s="49"/>
      <c r="V144" s="49"/>
      <c r="W144" s="49"/>
    </row>
    <row r="145" spans="2:23" ht="12.75">
      <c r="B145" s="49"/>
      <c r="C145" s="49"/>
      <c r="D145" s="49"/>
      <c r="E145" s="49"/>
      <c r="F145" s="49"/>
      <c r="G145" s="49"/>
      <c r="H145" s="49"/>
      <c r="I145" s="49"/>
      <c r="J145" s="49"/>
      <c r="K145" s="49"/>
      <c r="L145" s="49"/>
      <c r="M145" s="49"/>
      <c r="N145" s="49"/>
      <c r="O145" s="49"/>
      <c r="P145" s="49"/>
      <c r="Q145" s="49"/>
      <c r="R145" s="49"/>
      <c r="S145" s="49"/>
      <c r="T145" s="49"/>
      <c r="U145" s="49"/>
      <c r="V145" s="49"/>
      <c r="W145" s="49"/>
    </row>
    <row r="146" spans="2:23" ht="12.75">
      <c r="B146" s="49"/>
      <c r="C146" s="49"/>
      <c r="D146" s="49"/>
      <c r="E146" s="49"/>
      <c r="F146" s="49"/>
      <c r="G146" s="49"/>
      <c r="H146" s="49"/>
      <c r="I146" s="49"/>
      <c r="J146" s="49"/>
      <c r="K146" s="49"/>
      <c r="L146" s="49"/>
      <c r="M146" s="49"/>
      <c r="N146" s="49"/>
      <c r="O146" s="49"/>
      <c r="P146" s="49"/>
      <c r="Q146" s="49"/>
      <c r="R146" s="49"/>
      <c r="S146" s="49"/>
      <c r="T146" s="49"/>
      <c r="U146" s="49"/>
      <c r="V146" s="49"/>
      <c r="W146" s="49"/>
    </row>
    <row r="147" spans="2:23" ht="12.75">
      <c r="B147" s="49"/>
      <c r="C147" s="49"/>
      <c r="D147" s="49"/>
      <c r="E147" s="49"/>
      <c r="F147" s="49"/>
      <c r="G147" s="49"/>
      <c r="H147" s="49"/>
      <c r="I147" s="49"/>
      <c r="J147" s="49"/>
      <c r="K147" s="49"/>
      <c r="L147" s="49"/>
      <c r="M147" s="49"/>
      <c r="N147" s="49"/>
      <c r="O147" s="49"/>
      <c r="P147" s="49"/>
      <c r="Q147" s="49"/>
      <c r="R147" s="49"/>
      <c r="S147" s="49"/>
      <c r="T147" s="49"/>
      <c r="U147" s="49"/>
      <c r="V147" s="49"/>
      <c r="W147" s="49"/>
    </row>
    <row r="148" spans="2:23" ht="12.75">
      <c r="B148" s="49"/>
      <c r="C148" s="49"/>
      <c r="D148" s="49"/>
      <c r="E148" s="49"/>
      <c r="F148" s="49"/>
      <c r="G148" s="49"/>
      <c r="H148" s="49"/>
      <c r="I148" s="49"/>
      <c r="J148" s="49"/>
      <c r="K148" s="49"/>
      <c r="L148" s="49"/>
      <c r="M148" s="49"/>
      <c r="N148" s="49"/>
      <c r="O148" s="49"/>
      <c r="P148" s="49"/>
      <c r="Q148" s="49"/>
      <c r="R148" s="49"/>
      <c r="S148" s="49"/>
      <c r="T148" s="49"/>
      <c r="U148" s="49"/>
      <c r="V148" s="49"/>
      <c r="W148" s="49"/>
    </row>
    <row r="149" spans="2:23" ht="12.75">
      <c r="B149" s="49"/>
      <c r="C149" s="49"/>
      <c r="D149" s="49"/>
      <c r="E149" s="49"/>
      <c r="F149" s="49"/>
      <c r="G149" s="49"/>
      <c r="H149" s="49"/>
      <c r="I149" s="49"/>
      <c r="J149" s="49"/>
      <c r="K149" s="49"/>
      <c r="L149" s="49"/>
      <c r="M149" s="49"/>
      <c r="N149" s="49"/>
      <c r="O149" s="49"/>
      <c r="P149" s="49"/>
      <c r="Q149" s="49"/>
      <c r="R149" s="49"/>
      <c r="S149" s="49"/>
      <c r="T149" s="49"/>
      <c r="U149" s="49"/>
      <c r="V149" s="49"/>
      <c r="W149" s="49"/>
    </row>
    <row r="150" spans="2:23" ht="12.75">
      <c r="B150" s="49"/>
      <c r="C150" s="49"/>
      <c r="D150" s="49"/>
      <c r="E150" s="49"/>
      <c r="F150" s="49"/>
      <c r="G150" s="49"/>
      <c r="H150" s="49"/>
      <c r="I150" s="49"/>
      <c r="J150" s="49"/>
      <c r="K150" s="49"/>
      <c r="L150" s="49"/>
      <c r="M150" s="49"/>
      <c r="N150" s="49"/>
      <c r="O150" s="49"/>
      <c r="P150" s="49"/>
      <c r="Q150" s="49"/>
      <c r="R150" s="49"/>
      <c r="S150" s="49"/>
      <c r="T150" s="49"/>
      <c r="U150" s="49"/>
      <c r="V150" s="49"/>
      <c r="W150" s="49"/>
    </row>
    <row r="151" spans="2:23" ht="12.75">
      <c r="B151" s="49"/>
      <c r="C151" s="49"/>
      <c r="D151" s="49"/>
      <c r="E151" s="49"/>
      <c r="F151" s="49"/>
      <c r="G151" s="49"/>
      <c r="H151" s="49"/>
      <c r="I151" s="49"/>
      <c r="J151" s="49"/>
      <c r="K151" s="49"/>
      <c r="L151" s="49"/>
      <c r="M151" s="49"/>
      <c r="N151" s="49"/>
      <c r="O151" s="49"/>
      <c r="P151" s="49"/>
      <c r="Q151" s="49"/>
      <c r="R151" s="49"/>
      <c r="S151" s="49"/>
      <c r="T151" s="49"/>
      <c r="U151" s="49"/>
      <c r="V151" s="49"/>
      <c r="W151" s="49"/>
    </row>
    <row r="152" spans="2:23" ht="12.75">
      <c r="B152" s="49"/>
      <c r="C152" s="49"/>
      <c r="D152" s="49"/>
      <c r="E152" s="49"/>
      <c r="F152" s="49"/>
      <c r="G152" s="49"/>
      <c r="H152" s="49"/>
      <c r="I152" s="49"/>
      <c r="J152" s="49"/>
      <c r="K152" s="49"/>
      <c r="L152" s="49"/>
      <c r="M152" s="49"/>
      <c r="N152" s="49"/>
      <c r="O152" s="49"/>
      <c r="P152" s="49"/>
      <c r="Q152" s="49"/>
      <c r="R152" s="49"/>
      <c r="S152" s="49"/>
      <c r="T152" s="49"/>
      <c r="U152" s="49"/>
      <c r="V152" s="49"/>
      <c r="W152" s="49"/>
    </row>
    <row r="153" spans="2:23" ht="12.75">
      <c r="B153" s="49"/>
      <c r="C153" s="49"/>
      <c r="D153" s="49"/>
      <c r="E153" s="49"/>
      <c r="F153" s="49"/>
      <c r="G153" s="49"/>
      <c r="H153" s="49"/>
      <c r="I153" s="49"/>
      <c r="J153" s="49"/>
      <c r="K153" s="49"/>
      <c r="L153" s="49"/>
      <c r="M153" s="49"/>
      <c r="N153" s="49"/>
      <c r="O153" s="49"/>
      <c r="P153" s="49"/>
      <c r="Q153" s="49"/>
      <c r="R153" s="49"/>
      <c r="S153" s="49"/>
      <c r="T153" s="49"/>
      <c r="U153" s="49"/>
      <c r="V153" s="49"/>
      <c r="W153" s="49"/>
    </row>
    <row r="154" spans="2:23" ht="12.75">
      <c r="B154" s="49"/>
      <c r="C154" s="49"/>
      <c r="D154" s="49"/>
      <c r="E154" s="49"/>
      <c r="F154" s="49"/>
      <c r="G154" s="49"/>
      <c r="H154" s="49"/>
      <c r="I154" s="49"/>
      <c r="J154" s="49"/>
      <c r="K154" s="49"/>
      <c r="L154" s="49"/>
      <c r="M154" s="49"/>
      <c r="N154" s="49"/>
      <c r="O154" s="49"/>
      <c r="P154" s="49"/>
      <c r="Q154" s="49"/>
      <c r="R154" s="49"/>
      <c r="S154" s="49"/>
      <c r="T154" s="49"/>
      <c r="U154" s="49"/>
      <c r="V154" s="49"/>
      <c r="W154" s="49"/>
    </row>
    <row r="155" spans="2:23" ht="12.75">
      <c r="B155" s="49"/>
      <c r="C155" s="49"/>
      <c r="D155" s="49"/>
      <c r="E155" s="49"/>
      <c r="F155" s="49"/>
      <c r="G155" s="49"/>
      <c r="H155" s="49"/>
      <c r="I155" s="49"/>
      <c r="J155" s="49"/>
      <c r="K155" s="49"/>
      <c r="L155" s="49"/>
      <c r="M155" s="49"/>
      <c r="N155" s="49"/>
      <c r="O155" s="49"/>
      <c r="P155" s="49"/>
      <c r="Q155" s="49"/>
      <c r="R155" s="49"/>
      <c r="S155" s="49"/>
      <c r="T155" s="49"/>
      <c r="U155" s="49"/>
      <c r="V155" s="49"/>
      <c r="W155" s="49"/>
    </row>
    <row r="156" spans="2:23" ht="12.75">
      <c r="B156" s="49"/>
      <c r="C156" s="49"/>
      <c r="D156" s="49"/>
      <c r="E156" s="49"/>
      <c r="F156" s="49"/>
      <c r="G156" s="49"/>
      <c r="H156" s="49"/>
      <c r="I156" s="49"/>
      <c r="J156" s="49"/>
      <c r="K156" s="49"/>
      <c r="L156" s="49"/>
      <c r="M156" s="49"/>
      <c r="N156" s="49"/>
      <c r="O156" s="49"/>
      <c r="P156" s="49"/>
      <c r="Q156" s="49"/>
      <c r="R156" s="49"/>
      <c r="S156" s="49"/>
      <c r="T156" s="49"/>
      <c r="U156" s="49"/>
      <c r="V156" s="49"/>
      <c r="W156" s="49"/>
    </row>
    <row r="157" spans="2:23" ht="12.75">
      <c r="B157" s="49"/>
      <c r="C157" s="49"/>
      <c r="D157" s="49"/>
      <c r="E157" s="49"/>
      <c r="F157" s="49"/>
      <c r="G157" s="49"/>
      <c r="H157" s="49"/>
      <c r="I157" s="49"/>
      <c r="J157" s="49"/>
      <c r="K157" s="49"/>
      <c r="L157" s="49"/>
      <c r="M157" s="49"/>
      <c r="N157" s="49"/>
      <c r="O157" s="49"/>
      <c r="P157" s="49"/>
      <c r="Q157" s="49"/>
      <c r="R157" s="49"/>
      <c r="S157" s="49"/>
      <c r="T157" s="49"/>
      <c r="U157" s="49"/>
      <c r="V157" s="49"/>
      <c r="W157" s="49"/>
    </row>
    <row r="158" spans="2:23" ht="12.75">
      <c r="B158" s="49"/>
      <c r="C158" s="49"/>
      <c r="D158" s="49"/>
      <c r="E158" s="49"/>
      <c r="F158" s="49"/>
      <c r="G158" s="49"/>
      <c r="H158" s="49"/>
      <c r="I158" s="49"/>
      <c r="J158" s="49"/>
      <c r="K158" s="49"/>
      <c r="L158" s="49"/>
      <c r="M158" s="49"/>
      <c r="N158" s="49"/>
      <c r="O158" s="49"/>
      <c r="P158" s="49"/>
      <c r="Q158" s="49"/>
      <c r="R158" s="49"/>
      <c r="S158" s="49"/>
      <c r="T158" s="49"/>
      <c r="U158" s="49"/>
      <c r="V158" s="49"/>
      <c r="W158" s="49"/>
    </row>
    <row r="159" spans="2:23" ht="12.75">
      <c r="B159" s="49"/>
      <c r="C159" s="49"/>
      <c r="D159" s="49"/>
      <c r="E159" s="49"/>
      <c r="F159" s="49"/>
      <c r="G159" s="49"/>
      <c r="H159" s="49"/>
      <c r="I159" s="49"/>
      <c r="J159" s="49"/>
      <c r="K159" s="49"/>
      <c r="L159" s="49"/>
      <c r="M159" s="49"/>
      <c r="N159" s="49"/>
      <c r="O159" s="49"/>
      <c r="P159" s="49"/>
      <c r="Q159" s="49"/>
      <c r="R159" s="49"/>
      <c r="S159" s="49"/>
      <c r="T159" s="49"/>
      <c r="U159" s="49"/>
      <c r="V159" s="49"/>
      <c r="W159" s="49"/>
    </row>
    <row r="160" spans="2:23" ht="12.75">
      <c r="B160" s="49"/>
      <c r="C160" s="49"/>
      <c r="D160" s="49"/>
      <c r="E160" s="49"/>
      <c r="F160" s="49"/>
      <c r="G160" s="49"/>
      <c r="H160" s="49"/>
      <c r="I160" s="49"/>
      <c r="J160" s="49"/>
      <c r="K160" s="49"/>
      <c r="L160" s="49"/>
      <c r="M160" s="49"/>
      <c r="N160" s="49"/>
      <c r="O160" s="49"/>
      <c r="P160" s="49"/>
      <c r="Q160" s="49"/>
      <c r="R160" s="49"/>
      <c r="S160" s="49"/>
      <c r="T160" s="49"/>
      <c r="U160" s="49"/>
      <c r="V160" s="49"/>
      <c r="W160" s="49"/>
    </row>
    <row r="161" spans="2:23" ht="12.75">
      <c r="B161" s="49"/>
      <c r="C161" s="49"/>
      <c r="D161" s="49"/>
      <c r="E161" s="49"/>
      <c r="F161" s="49"/>
      <c r="G161" s="49"/>
      <c r="H161" s="49"/>
      <c r="I161" s="49"/>
      <c r="J161" s="49"/>
      <c r="K161" s="49"/>
      <c r="L161" s="49"/>
      <c r="M161" s="49"/>
      <c r="N161" s="49"/>
      <c r="O161" s="49"/>
      <c r="P161" s="49"/>
      <c r="Q161" s="49"/>
      <c r="R161" s="49"/>
      <c r="S161" s="49"/>
      <c r="T161" s="49"/>
      <c r="U161" s="49"/>
      <c r="V161" s="49"/>
      <c r="W161" s="49"/>
    </row>
    <row r="162" spans="2:23" ht="12.75">
      <c r="B162" s="49"/>
      <c r="C162" s="49"/>
      <c r="D162" s="49"/>
      <c r="E162" s="49"/>
      <c r="F162" s="49"/>
      <c r="G162" s="49"/>
      <c r="H162" s="49"/>
      <c r="I162" s="49"/>
      <c r="J162" s="49"/>
      <c r="K162" s="49"/>
      <c r="L162" s="49"/>
      <c r="M162" s="49"/>
      <c r="N162" s="49"/>
      <c r="O162" s="49"/>
      <c r="P162" s="49"/>
      <c r="Q162" s="49"/>
      <c r="R162" s="49"/>
      <c r="S162" s="49"/>
      <c r="T162" s="49"/>
      <c r="U162" s="49"/>
      <c r="V162" s="49"/>
      <c r="W162" s="49"/>
    </row>
    <row r="163" spans="2:23" ht="12.75">
      <c r="B163" s="49"/>
      <c r="C163" s="49"/>
      <c r="D163" s="49"/>
      <c r="E163" s="49"/>
      <c r="F163" s="49"/>
      <c r="G163" s="49"/>
      <c r="H163" s="49"/>
      <c r="I163" s="49"/>
      <c r="J163" s="49"/>
      <c r="K163" s="49"/>
      <c r="L163" s="49"/>
      <c r="M163" s="49"/>
      <c r="N163" s="49"/>
      <c r="O163" s="49"/>
      <c r="P163" s="49"/>
      <c r="Q163" s="49"/>
      <c r="R163" s="49"/>
      <c r="S163" s="49"/>
      <c r="T163" s="49"/>
      <c r="U163" s="49"/>
      <c r="V163" s="49"/>
      <c r="W163" s="49"/>
    </row>
    <row r="164" spans="2:23" ht="12.75">
      <c r="B164" s="49"/>
      <c r="C164" s="49"/>
      <c r="D164" s="49"/>
      <c r="E164" s="49"/>
      <c r="F164" s="49"/>
      <c r="G164" s="49"/>
      <c r="H164" s="49"/>
      <c r="I164" s="49"/>
      <c r="J164" s="49"/>
      <c r="K164" s="49"/>
      <c r="L164" s="49"/>
      <c r="M164" s="49"/>
      <c r="N164" s="49"/>
      <c r="O164" s="49"/>
      <c r="P164" s="49"/>
      <c r="Q164" s="49"/>
      <c r="R164" s="49"/>
      <c r="S164" s="49"/>
      <c r="T164" s="49"/>
      <c r="U164" s="49"/>
      <c r="V164" s="49"/>
      <c r="W164" s="49"/>
    </row>
    <row r="165" spans="2:23" ht="12.75">
      <c r="B165" s="49"/>
      <c r="C165" s="49"/>
      <c r="D165" s="49"/>
      <c r="E165" s="49"/>
      <c r="F165" s="49"/>
      <c r="G165" s="49"/>
      <c r="H165" s="49"/>
      <c r="I165" s="49"/>
      <c r="J165" s="49"/>
      <c r="K165" s="49"/>
      <c r="L165" s="49"/>
      <c r="M165" s="49"/>
      <c r="N165" s="49"/>
      <c r="O165" s="49"/>
      <c r="P165" s="49"/>
      <c r="Q165" s="49"/>
      <c r="R165" s="49"/>
      <c r="S165" s="49"/>
      <c r="T165" s="49"/>
      <c r="U165" s="49"/>
      <c r="V165" s="49"/>
      <c r="W165" s="49"/>
    </row>
    <row r="166" spans="2:23" ht="12.75">
      <c r="B166" s="49"/>
      <c r="C166" s="49"/>
      <c r="D166" s="49"/>
      <c r="E166" s="49"/>
      <c r="F166" s="49"/>
      <c r="G166" s="49"/>
      <c r="H166" s="49"/>
      <c r="I166" s="49"/>
      <c r="J166" s="49"/>
      <c r="K166" s="49"/>
      <c r="L166" s="49"/>
      <c r="M166" s="49"/>
      <c r="N166" s="49"/>
      <c r="O166" s="49"/>
      <c r="P166" s="49"/>
      <c r="Q166" s="49"/>
      <c r="R166" s="49"/>
      <c r="S166" s="49"/>
      <c r="T166" s="49"/>
      <c r="U166" s="49"/>
      <c r="V166" s="49"/>
      <c r="W166" s="49"/>
    </row>
    <row r="167" spans="2:23" ht="12.75">
      <c r="B167" s="49"/>
      <c r="C167" s="49"/>
      <c r="D167" s="49"/>
      <c r="E167" s="49"/>
      <c r="F167" s="49"/>
      <c r="G167" s="49"/>
      <c r="H167" s="49"/>
      <c r="I167" s="49"/>
      <c r="J167" s="49"/>
      <c r="K167" s="49"/>
      <c r="L167" s="49"/>
      <c r="M167" s="49"/>
      <c r="N167" s="49"/>
      <c r="O167" s="49"/>
      <c r="P167" s="49"/>
      <c r="Q167" s="49"/>
      <c r="R167" s="49"/>
      <c r="S167" s="49"/>
      <c r="T167" s="49"/>
      <c r="U167" s="49"/>
      <c r="V167" s="49"/>
      <c r="W167" s="49"/>
    </row>
    <row r="168" spans="2:23" ht="12.75">
      <c r="B168" s="49"/>
      <c r="C168" s="49"/>
      <c r="D168" s="49"/>
      <c r="E168" s="49"/>
      <c r="F168" s="49"/>
      <c r="G168" s="49"/>
      <c r="H168" s="49"/>
      <c r="I168" s="49"/>
      <c r="J168" s="49"/>
      <c r="K168" s="49"/>
      <c r="L168" s="49"/>
      <c r="M168" s="49"/>
      <c r="N168" s="49"/>
      <c r="O168" s="49"/>
      <c r="P168" s="49"/>
      <c r="Q168" s="49"/>
      <c r="R168" s="49"/>
      <c r="S168" s="49"/>
      <c r="T168" s="49"/>
      <c r="U168" s="49"/>
      <c r="V168" s="49"/>
      <c r="W168" s="49"/>
    </row>
    <row r="169" spans="2:23" ht="12.75">
      <c r="B169" s="49"/>
      <c r="C169" s="49"/>
      <c r="D169" s="49"/>
      <c r="E169" s="49"/>
      <c r="F169" s="49"/>
      <c r="G169" s="49"/>
      <c r="H169" s="49"/>
      <c r="I169" s="49"/>
      <c r="J169" s="49"/>
      <c r="K169" s="49"/>
      <c r="L169" s="49"/>
      <c r="M169" s="49"/>
      <c r="N169" s="49"/>
      <c r="O169" s="49"/>
      <c r="P169" s="49"/>
      <c r="Q169" s="49"/>
      <c r="R169" s="49"/>
      <c r="S169" s="49"/>
      <c r="T169" s="49"/>
      <c r="U169" s="49"/>
      <c r="V169" s="49"/>
      <c r="W169" s="49"/>
    </row>
    <row r="170" spans="2:23" ht="12.75">
      <c r="B170" s="49"/>
      <c r="C170" s="49"/>
      <c r="D170" s="49"/>
      <c r="E170" s="49"/>
      <c r="F170" s="49"/>
      <c r="G170" s="49"/>
      <c r="H170" s="49"/>
      <c r="I170" s="49"/>
      <c r="J170" s="49"/>
      <c r="K170" s="49"/>
      <c r="L170" s="49"/>
      <c r="M170" s="49"/>
      <c r="N170" s="49"/>
      <c r="O170" s="49"/>
      <c r="P170" s="49"/>
      <c r="Q170" s="49"/>
      <c r="R170" s="49"/>
      <c r="S170" s="49"/>
      <c r="T170" s="49"/>
      <c r="U170" s="49"/>
      <c r="V170" s="49"/>
      <c r="W170" s="49"/>
    </row>
    <row r="171" spans="2:23" ht="12.75">
      <c r="B171" s="49"/>
      <c r="C171" s="49"/>
      <c r="D171" s="49"/>
      <c r="E171" s="49"/>
      <c r="F171" s="49"/>
      <c r="G171" s="49"/>
      <c r="H171" s="49"/>
      <c r="I171" s="49"/>
      <c r="J171" s="49"/>
      <c r="K171" s="49"/>
      <c r="L171" s="49"/>
      <c r="M171" s="49"/>
      <c r="N171" s="49"/>
      <c r="O171" s="49"/>
      <c r="P171" s="49"/>
      <c r="Q171" s="49"/>
      <c r="R171" s="49"/>
      <c r="S171" s="49"/>
      <c r="T171" s="49"/>
      <c r="U171" s="49"/>
      <c r="V171" s="49"/>
      <c r="W171" s="49"/>
    </row>
    <row r="172" spans="2:23" ht="12.75">
      <c r="B172" s="49"/>
      <c r="C172" s="49"/>
      <c r="D172" s="49"/>
      <c r="E172" s="49"/>
      <c r="F172" s="49"/>
      <c r="G172" s="49"/>
      <c r="H172" s="49"/>
      <c r="I172" s="49"/>
      <c r="J172" s="49"/>
      <c r="K172" s="49"/>
      <c r="L172" s="49"/>
      <c r="M172" s="49"/>
      <c r="N172" s="49"/>
      <c r="O172" s="49"/>
      <c r="P172" s="49"/>
      <c r="Q172" s="49"/>
      <c r="R172" s="49"/>
      <c r="S172" s="49"/>
      <c r="T172" s="49"/>
      <c r="U172" s="49"/>
      <c r="V172" s="49"/>
      <c r="W172" s="49"/>
    </row>
    <row r="173" spans="2:23" ht="12.75">
      <c r="B173" s="49"/>
      <c r="C173" s="49"/>
      <c r="D173" s="49"/>
      <c r="E173" s="49"/>
      <c r="F173" s="49"/>
      <c r="G173" s="49"/>
      <c r="H173" s="49"/>
      <c r="I173" s="49"/>
      <c r="J173" s="49"/>
      <c r="K173" s="49"/>
      <c r="L173" s="49"/>
      <c r="M173" s="49"/>
      <c r="N173" s="49"/>
      <c r="O173" s="49"/>
      <c r="P173" s="49"/>
      <c r="Q173" s="49"/>
      <c r="R173" s="49"/>
      <c r="S173" s="49"/>
      <c r="T173" s="49"/>
      <c r="U173" s="49"/>
      <c r="V173" s="49"/>
      <c r="W173" s="49"/>
    </row>
    <row r="174" spans="2:23" ht="12.75">
      <c r="B174" s="49"/>
      <c r="C174" s="49"/>
      <c r="D174" s="49"/>
      <c r="E174" s="49"/>
      <c r="F174" s="49"/>
      <c r="G174" s="49"/>
      <c r="H174" s="49"/>
      <c r="I174" s="49"/>
      <c r="J174" s="49"/>
      <c r="K174" s="49"/>
      <c r="L174" s="49"/>
      <c r="M174" s="49"/>
      <c r="N174" s="49"/>
      <c r="O174" s="49"/>
      <c r="P174" s="49"/>
      <c r="Q174" s="49"/>
      <c r="R174" s="49"/>
      <c r="S174" s="49"/>
      <c r="T174" s="49"/>
      <c r="U174" s="49"/>
      <c r="V174" s="49"/>
      <c r="W174" s="49"/>
    </row>
    <row r="175" spans="2:23" ht="12.75">
      <c r="B175" s="49"/>
      <c r="C175" s="49"/>
      <c r="D175" s="49"/>
      <c r="E175" s="49"/>
      <c r="F175" s="49"/>
      <c r="G175" s="49"/>
      <c r="H175" s="49"/>
      <c r="I175" s="49"/>
      <c r="J175" s="49"/>
      <c r="K175" s="49"/>
      <c r="L175" s="49"/>
      <c r="M175" s="49"/>
      <c r="N175" s="49"/>
      <c r="O175" s="49"/>
      <c r="P175" s="49"/>
      <c r="Q175" s="49"/>
      <c r="R175" s="49"/>
      <c r="S175" s="49"/>
      <c r="T175" s="49"/>
      <c r="U175" s="49"/>
      <c r="V175" s="49"/>
      <c r="W175" s="49"/>
    </row>
    <row r="176" spans="2:23" ht="12.75">
      <c r="B176" s="49"/>
      <c r="C176" s="49"/>
      <c r="D176" s="49"/>
      <c r="E176" s="49"/>
      <c r="F176" s="49"/>
      <c r="G176" s="49"/>
      <c r="H176" s="49"/>
      <c r="I176" s="49"/>
      <c r="J176" s="49"/>
      <c r="K176" s="49"/>
      <c r="L176" s="49"/>
      <c r="M176" s="49"/>
      <c r="N176" s="49"/>
      <c r="O176" s="49"/>
      <c r="P176" s="49"/>
      <c r="Q176" s="49"/>
      <c r="R176" s="49"/>
      <c r="S176" s="49"/>
      <c r="T176" s="49"/>
      <c r="U176" s="49"/>
      <c r="V176" s="49"/>
      <c r="W176" s="49"/>
    </row>
    <row r="177" spans="2:23" ht="12.75">
      <c r="B177" s="49"/>
      <c r="C177" s="49"/>
      <c r="D177" s="49"/>
      <c r="E177" s="49"/>
      <c r="F177" s="49"/>
      <c r="G177" s="49"/>
      <c r="H177" s="49"/>
      <c r="I177" s="49"/>
      <c r="J177" s="49"/>
      <c r="K177" s="49"/>
      <c r="L177" s="49"/>
      <c r="M177" s="49"/>
      <c r="N177" s="49"/>
      <c r="O177" s="49"/>
      <c r="P177" s="49"/>
      <c r="Q177" s="49"/>
      <c r="R177" s="49"/>
      <c r="S177" s="49"/>
      <c r="T177" s="49"/>
      <c r="U177" s="49"/>
      <c r="V177" s="49"/>
      <c r="W177" s="49"/>
    </row>
    <row r="178" spans="2:23" ht="12.75">
      <c r="B178" s="49"/>
      <c r="C178" s="49"/>
      <c r="D178" s="49"/>
      <c r="E178" s="49"/>
      <c r="F178" s="49"/>
      <c r="G178" s="49"/>
      <c r="H178" s="49"/>
      <c r="I178" s="49"/>
      <c r="J178" s="49"/>
      <c r="K178" s="49"/>
      <c r="L178" s="49"/>
      <c r="M178" s="49"/>
      <c r="N178" s="49"/>
      <c r="O178" s="49"/>
      <c r="P178" s="49"/>
      <c r="Q178" s="49"/>
      <c r="R178" s="49"/>
      <c r="S178" s="49"/>
      <c r="T178" s="49"/>
      <c r="U178" s="49"/>
      <c r="V178" s="49"/>
      <c r="W178" s="49"/>
    </row>
    <row r="179" spans="2:23" ht="12.75">
      <c r="B179" s="49"/>
      <c r="C179" s="49"/>
      <c r="D179" s="49"/>
      <c r="E179" s="49"/>
      <c r="F179" s="49"/>
      <c r="G179" s="49"/>
      <c r="H179" s="49"/>
      <c r="I179" s="49"/>
      <c r="J179" s="49"/>
      <c r="K179" s="49"/>
      <c r="L179" s="49"/>
      <c r="M179" s="49"/>
      <c r="N179" s="49"/>
      <c r="O179" s="49"/>
      <c r="P179" s="49"/>
      <c r="Q179" s="49"/>
      <c r="R179" s="49"/>
      <c r="S179" s="49"/>
      <c r="T179" s="49"/>
      <c r="U179" s="49"/>
      <c r="V179" s="49"/>
      <c r="W179" s="49"/>
    </row>
    <row r="180" spans="2:23" ht="12.75">
      <c r="B180" s="49"/>
      <c r="C180" s="49"/>
      <c r="D180" s="49"/>
      <c r="E180" s="49"/>
      <c r="F180" s="49"/>
      <c r="G180" s="49"/>
      <c r="H180" s="49"/>
      <c r="I180" s="49"/>
      <c r="J180" s="49"/>
      <c r="K180" s="49"/>
      <c r="L180" s="49"/>
      <c r="M180" s="49"/>
      <c r="N180" s="49"/>
      <c r="O180" s="49"/>
      <c r="P180" s="49"/>
      <c r="Q180" s="49"/>
      <c r="R180" s="49"/>
      <c r="S180" s="49"/>
      <c r="T180" s="49"/>
      <c r="U180" s="49"/>
      <c r="V180" s="49"/>
      <c r="W180" s="49"/>
    </row>
    <row r="181" spans="2:23" ht="12.75">
      <c r="B181" s="49"/>
      <c r="C181" s="49"/>
      <c r="D181" s="49"/>
      <c r="E181" s="49"/>
      <c r="F181" s="49"/>
      <c r="G181" s="49"/>
      <c r="H181" s="49"/>
      <c r="I181" s="49"/>
      <c r="J181" s="49"/>
      <c r="K181" s="49"/>
      <c r="L181" s="49"/>
      <c r="M181" s="49"/>
      <c r="N181" s="49"/>
      <c r="O181" s="49"/>
      <c r="P181" s="49"/>
      <c r="Q181" s="49"/>
      <c r="R181" s="49"/>
      <c r="S181" s="49"/>
      <c r="T181" s="49"/>
      <c r="U181" s="49"/>
      <c r="V181" s="49"/>
      <c r="W181" s="49"/>
    </row>
    <row r="182" spans="2:23" ht="12.75">
      <c r="B182" s="49"/>
      <c r="C182" s="49"/>
      <c r="D182" s="49"/>
      <c r="E182" s="49"/>
      <c r="F182" s="49"/>
      <c r="G182" s="49"/>
      <c r="H182" s="49"/>
      <c r="I182" s="49"/>
      <c r="J182" s="49"/>
      <c r="K182" s="49"/>
      <c r="L182" s="49"/>
      <c r="M182" s="49"/>
      <c r="N182" s="49"/>
      <c r="O182" s="49"/>
      <c r="P182" s="49"/>
      <c r="Q182" s="49"/>
      <c r="R182" s="49"/>
      <c r="S182" s="49"/>
      <c r="T182" s="49"/>
      <c r="U182" s="49"/>
      <c r="V182" s="49"/>
      <c r="W182" s="49"/>
    </row>
    <row r="183" spans="2:23" ht="12.75">
      <c r="B183" s="49"/>
      <c r="C183" s="49"/>
      <c r="D183" s="49"/>
      <c r="E183" s="49"/>
      <c r="F183" s="49"/>
      <c r="G183" s="49"/>
      <c r="H183" s="49"/>
      <c r="I183" s="49"/>
      <c r="J183" s="49"/>
      <c r="K183" s="49"/>
      <c r="L183" s="49"/>
      <c r="M183" s="49"/>
      <c r="N183" s="49"/>
      <c r="O183" s="49"/>
      <c r="P183" s="49"/>
      <c r="Q183" s="49"/>
      <c r="R183" s="49"/>
      <c r="S183" s="49"/>
      <c r="T183" s="49"/>
      <c r="U183" s="49"/>
      <c r="V183" s="49"/>
      <c r="W183" s="49"/>
    </row>
    <row r="184" spans="2:23" ht="12.75">
      <c r="B184" s="49"/>
      <c r="C184" s="49"/>
      <c r="D184" s="49"/>
      <c r="E184" s="49"/>
      <c r="F184" s="49"/>
      <c r="G184" s="49"/>
      <c r="H184" s="49"/>
      <c r="I184" s="49"/>
      <c r="J184" s="49"/>
      <c r="K184" s="49"/>
      <c r="L184" s="49"/>
      <c r="M184" s="49"/>
      <c r="N184" s="49"/>
      <c r="O184" s="49"/>
      <c r="P184" s="49"/>
      <c r="Q184" s="49"/>
      <c r="R184" s="49"/>
      <c r="S184" s="49"/>
      <c r="T184" s="49"/>
      <c r="U184" s="49"/>
      <c r="V184" s="49"/>
      <c r="W184" s="49"/>
    </row>
    <row r="185" spans="2:23" ht="12.75">
      <c r="B185" s="49"/>
      <c r="C185" s="49"/>
      <c r="D185" s="49"/>
      <c r="E185" s="49"/>
      <c r="F185" s="49"/>
      <c r="G185" s="49"/>
      <c r="H185" s="49"/>
      <c r="I185" s="49"/>
      <c r="J185" s="49"/>
      <c r="K185" s="49"/>
      <c r="L185" s="49"/>
      <c r="M185" s="49"/>
      <c r="N185" s="49"/>
      <c r="O185" s="49"/>
      <c r="P185" s="49"/>
      <c r="Q185" s="49"/>
      <c r="R185" s="49"/>
      <c r="S185" s="49"/>
      <c r="T185" s="49"/>
      <c r="U185" s="49"/>
      <c r="V185" s="49"/>
      <c r="W185" s="49"/>
    </row>
    <row r="186" spans="2:23" ht="12.75">
      <c r="B186" s="49"/>
      <c r="C186" s="49"/>
      <c r="D186" s="49"/>
      <c r="E186" s="49"/>
      <c r="F186" s="49"/>
      <c r="G186" s="49"/>
      <c r="H186" s="49"/>
      <c r="I186" s="49"/>
      <c r="J186" s="49"/>
      <c r="K186" s="49"/>
      <c r="L186" s="49"/>
      <c r="M186" s="49"/>
      <c r="N186" s="49"/>
      <c r="O186" s="49"/>
      <c r="P186" s="49"/>
      <c r="Q186" s="49"/>
      <c r="R186" s="49"/>
      <c r="S186" s="49"/>
      <c r="T186" s="49"/>
      <c r="U186" s="49"/>
      <c r="V186" s="49"/>
      <c r="W186" s="49"/>
    </row>
    <row r="187" spans="2:23" ht="12.75">
      <c r="B187" s="49"/>
      <c r="C187" s="49"/>
      <c r="D187" s="49"/>
      <c r="E187" s="49"/>
      <c r="F187" s="49"/>
      <c r="G187" s="49"/>
      <c r="H187" s="49"/>
      <c r="I187" s="49"/>
      <c r="J187" s="49"/>
      <c r="K187" s="49"/>
      <c r="L187" s="49"/>
      <c r="M187" s="49"/>
      <c r="N187" s="49"/>
      <c r="O187" s="49"/>
      <c r="P187" s="49"/>
      <c r="Q187" s="49"/>
      <c r="R187" s="49"/>
      <c r="S187" s="49"/>
      <c r="T187" s="49"/>
      <c r="U187" s="49"/>
      <c r="V187" s="49"/>
      <c r="W187" s="49"/>
    </row>
    <row r="188" spans="2:23" ht="12.75">
      <c r="B188" s="49"/>
      <c r="C188" s="49"/>
      <c r="D188" s="49"/>
      <c r="E188" s="49"/>
      <c r="F188" s="49"/>
      <c r="G188" s="49"/>
      <c r="H188" s="49"/>
      <c r="I188" s="49"/>
      <c r="J188" s="49"/>
      <c r="K188" s="49"/>
      <c r="L188" s="49"/>
      <c r="M188" s="49"/>
      <c r="N188" s="49"/>
      <c r="O188" s="49"/>
      <c r="P188" s="49"/>
      <c r="Q188" s="49"/>
      <c r="R188" s="49"/>
      <c r="S188" s="49"/>
      <c r="T188" s="49"/>
      <c r="U188" s="49"/>
      <c r="V188" s="49"/>
      <c r="W188" s="49"/>
    </row>
    <row r="189" spans="2:23" ht="12.75">
      <c r="B189" s="49"/>
      <c r="C189" s="49"/>
      <c r="D189" s="49"/>
      <c r="E189" s="49"/>
      <c r="F189" s="49"/>
      <c r="G189" s="49"/>
      <c r="H189" s="49"/>
      <c r="I189" s="49"/>
      <c r="J189" s="49"/>
      <c r="K189" s="49"/>
      <c r="L189" s="49"/>
      <c r="M189" s="49"/>
      <c r="N189" s="49"/>
      <c r="O189" s="49"/>
      <c r="P189" s="49"/>
      <c r="Q189" s="49"/>
      <c r="R189" s="49"/>
      <c r="S189" s="49"/>
      <c r="T189" s="49"/>
      <c r="U189" s="49"/>
      <c r="V189" s="49"/>
      <c r="W189" s="49"/>
    </row>
    <row r="190" spans="2:23" ht="12.75">
      <c r="B190" s="49"/>
      <c r="C190" s="49"/>
      <c r="D190" s="49"/>
      <c r="E190" s="49"/>
      <c r="F190" s="49"/>
      <c r="G190" s="49"/>
      <c r="H190" s="49"/>
      <c r="I190" s="49"/>
      <c r="J190" s="49"/>
      <c r="K190" s="49"/>
      <c r="L190" s="49"/>
      <c r="M190" s="49"/>
      <c r="N190" s="49"/>
      <c r="O190" s="49"/>
      <c r="P190" s="49"/>
      <c r="Q190" s="49"/>
      <c r="R190" s="49"/>
      <c r="S190" s="49"/>
      <c r="T190" s="49"/>
      <c r="U190" s="49"/>
      <c r="V190" s="49"/>
      <c r="W190" s="49"/>
    </row>
    <row r="191" spans="2:23" ht="12.75">
      <c r="B191" s="49"/>
      <c r="C191" s="49"/>
      <c r="D191" s="49"/>
      <c r="E191" s="49"/>
      <c r="F191" s="49"/>
      <c r="G191" s="49"/>
      <c r="H191" s="49"/>
      <c r="I191" s="49"/>
      <c r="J191" s="49"/>
      <c r="K191" s="49"/>
      <c r="L191" s="49"/>
      <c r="M191" s="49"/>
      <c r="N191" s="49"/>
      <c r="O191" s="49"/>
      <c r="P191" s="49"/>
      <c r="Q191" s="49"/>
      <c r="R191" s="49"/>
      <c r="S191" s="49"/>
      <c r="T191" s="49"/>
      <c r="U191" s="49"/>
      <c r="V191" s="49"/>
      <c r="W191" s="49"/>
    </row>
    <row r="192" spans="2:23" ht="12.75">
      <c r="B192" s="49"/>
      <c r="C192" s="49"/>
      <c r="D192" s="49"/>
      <c r="E192" s="49"/>
      <c r="F192" s="49"/>
      <c r="G192" s="49"/>
      <c r="H192" s="49"/>
      <c r="I192" s="49"/>
      <c r="J192" s="49"/>
      <c r="K192" s="49"/>
      <c r="L192" s="49"/>
      <c r="M192" s="49"/>
      <c r="N192" s="49"/>
      <c r="O192" s="49"/>
      <c r="P192" s="49"/>
      <c r="Q192" s="49"/>
      <c r="R192" s="49"/>
      <c r="S192" s="49"/>
      <c r="T192" s="49"/>
      <c r="U192" s="49"/>
      <c r="V192" s="49"/>
      <c r="W192" s="49"/>
    </row>
    <row r="193" spans="2:23" ht="12.75">
      <c r="B193" s="49"/>
      <c r="C193" s="49"/>
      <c r="D193" s="49"/>
      <c r="E193" s="49"/>
      <c r="F193" s="49"/>
      <c r="G193" s="49"/>
      <c r="H193" s="49"/>
      <c r="I193" s="49"/>
      <c r="J193" s="49"/>
      <c r="K193" s="49"/>
      <c r="L193" s="49"/>
      <c r="M193" s="49"/>
      <c r="N193" s="49"/>
      <c r="O193" s="49"/>
      <c r="P193" s="49"/>
      <c r="Q193" s="49"/>
      <c r="R193" s="49"/>
      <c r="S193" s="49"/>
      <c r="T193" s="49"/>
      <c r="U193" s="49"/>
      <c r="V193" s="49"/>
      <c r="W193" s="49"/>
    </row>
    <row r="194" spans="2:23" ht="12.75">
      <c r="B194" s="49"/>
      <c r="C194" s="49"/>
      <c r="D194" s="49"/>
      <c r="E194" s="49"/>
      <c r="F194" s="49"/>
      <c r="G194" s="49"/>
      <c r="H194" s="49"/>
      <c r="I194" s="49"/>
      <c r="J194" s="49"/>
      <c r="K194" s="49"/>
      <c r="L194" s="49"/>
      <c r="M194" s="49"/>
      <c r="N194" s="49"/>
      <c r="O194" s="49"/>
      <c r="P194" s="49"/>
      <c r="Q194" s="49"/>
      <c r="R194" s="49"/>
      <c r="S194" s="49"/>
      <c r="T194" s="49"/>
      <c r="U194" s="49"/>
      <c r="V194" s="49"/>
      <c r="W194" s="49"/>
    </row>
    <row r="195" spans="2:23" ht="12.75">
      <c r="B195" s="49"/>
      <c r="C195" s="49"/>
      <c r="D195" s="49"/>
      <c r="E195" s="49"/>
      <c r="F195" s="49"/>
      <c r="G195" s="49"/>
      <c r="H195" s="49"/>
      <c r="I195" s="49"/>
      <c r="J195" s="49"/>
      <c r="K195" s="49"/>
      <c r="L195" s="49"/>
      <c r="M195" s="49"/>
      <c r="N195" s="49"/>
      <c r="O195" s="49"/>
      <c r="P195" s="49"/>
      <c r="Q195" s="49"/>
      <c r="R195" s="49"/>
      <c r="S195" s="49"/>
      <c r="T195" s="49"/>
      <c r="U195" s="49"/>
      <c r="V195" s="49"/>
      <c r="W195" s="49"/>
    </row>
    <row r="196" spans="2:23" ht="12.75">
      <c r="B196" s="49"/>
      <c r="C196" s="49"/>
      <c r="D196" s="49"/>
      <c r="E196" s="49"/>
      <c r="F196" s="49"/>
      <c r="G196" s="49"/>
      <c r="H196" s="49"/>
      <c r="I196" s="49"/>
      <c r="J196" s="49"/>
      <c r="K196" s="49"/>
      <c r="L196" s="49"/>
      <c r="M196" s="49"/>
      <c r="N196" s="49"/>
      <c r="O196" s="49"/>
      <c r="P196" s="49"/>
      <c r="Q196" s="49"/>
      <c r="R196" s="49"/>
      <c r="S196" s="49"/>
      <c r="T196" s="49"/>
      <c r="U196" s="49"/>
      <c r="V196" s="49"/>
      <c r="W196" s="49"/>
    </row>
    <row r="197" spans="2:23" ht="12.75">
      <c r="B197" s="49"/>
      <c r="C197" s="49"/>
      <c r="D197" s="49"/>
      <c r="E197" s="49"/>
      <c r="F197" s="49"/>
      <c r="G197" s="49"/>
      <c r="H197" s="49"/>
      <c r="I197" s="49"/>
      <c r="J197" s="49"/>
      <c r="K197" s="49"/>
      <c r="L197" s="49"/>
      <c r="M197" s="49"/>
      <c r="N197" s="49"/>
      <c r="O197" s="49"/>
      <c r="P197" s="49"/>
      <c r="Q197" s="49"/>
      <c r="R197" s="49"/>
      <c r="S197" s="49"/>
      <c r="T197" s="49"/>
      <c r="U197" s="49"/>
      <c r="V197" s="49"/>
      <c r="W197" s="49"/>
    </row>
    <row r="198" spans="2:23" ht="12.75">
      <c r="B198" s="49"/>
      <c r="C198" s="49"/>
      <c r="D198" s="49"/>
      <c r="E198" s="49"/>
      <c r="F198" s="49"/>
      <c r="G198" s="49"/>
      <c r="H198" s="49"/>
      <c r="I198" s="49"/>
      <c r="J198" s="49"/>
      <c r="K198" s="49"/>
      <c r="L198" s="49"/>
      <c r="M198" s="49"/>
      <c r="N198" s="49"/>
      <c r="O198" s="49"/>
      <c r="P198" s="49"/>
      <c r="Q198" s="49"/>
      <c r="R198" s="49"/>
      <c r="S198" s="49"/>
      <c r="T198" s="49"/>
      <c r="U198" s="49"/>
      <c r="V198" s="49"/>
      <c r="W198" s="49"/>
    </row>
    <row r="199" spans="2:23" ht="12.75">
      <c r="B199" s="49"/>
      <c r="C199" s="49"/>
      <c r="D199" s="49"/>
      <c r="E199" s="49"/>
      <c r="F199" s="49"/>
      <c r="G199" s="49"/>
      <c r="H199" s="49"/>
      <c r="I199" s="49"/>
      <c r="J199" s="49"/>
      <c r="K199" s="49"/>
      <c r="L199" s="49"/>
      <c r="M199" s="49"/>
      <c r="N199" s="49"/>
      <c r="O199" s="49"/>
      <c r="P199" s="49"/>
      <c r="Q199" s="49"/>
      <c r="R199" s="49"/>
      <c r="S199" s="49"/>
      <c r="T199" s="49"/>
      <c r="U199" s="49"/>
      <c r="V199" s="49"/>
      <c r="W199" s="49"/>
    </row>
    <row r="200" spans="2:23" ht="12.75">
      <c r="B200" s="49"/>
      <c r="C200" s="49"/>
      <c r="D200" s="49"/>
      <c r="E200" s="49"/>
      <c r="F200" s="49"/>
      <c r="G200" s="49"/>
      <c r="H200" s="49"/>
      <c r="I200" s="49"/>
      <c r="J200" s="49"/>
      <c r="K200" s="49"/>
      <c r="L200" s="49"/>
      <c r="M200" s="49"/>
      <c r="N200" s="49"/>
      <c r="O200" s="49"/>
      <c r="P200" s="49"/>
      <c r="Q200" s="49"/>
      <c r="R200" s="49"/>
      <c r="S200" s="49"/>
      <c r="T200" s="49"/>
      <c r="U200" s="49"/>
      <c r="V200" s="49"/>
      <c r="W200" s="49"/>
    </row>
    <row r="201" spans="2:23" ht="12.75">
      <c r="B201" s="49"/>
      <c r="C201" s="49"/>
      <c r="D201" s="49"/>
      <c r="E201" s="49"/>
      <c r="F201" s="49"/>
      <c r="G201" s="49"/>
      <c r="H201" s="49"/>
      <c r="I201" s="49"/>
      <c r="J201" s="49"/>
      <c r="K201" s="49"/>
      <c r="L201" s="49"/>
      <c r="M201" s="49"/>
      <c r="N201" s="49"/>
      <c r="O201" s="49"/>
      <c r="P201" s="49"/>
      <c r="Q201" s="49"/>
      <c r="R201" s="49"/>
      <c r="S201" s="49"/>
      <c r="T201" s="49"/>
      <c r="U201" s="49"/>
      <c r="V201" s="49"/>
      <c r="W201" s="49"/>
    </row>
    <row r="202" spans="2:23" ht="12.75">
      <c r="B202" s="49"/>
      <c r="C202" s="49"/>
      <c r="D202" s="49"/>
      <c r="E202" s="49"/>
      <c r="F202" s="49"/>
      <c r="G202" s="49"/>
      <c r="H202" s="49"/>
      <c r="I202" s="49"/>
      <c r="J202" s="49"/>
      <c r="K202" s="49"/>
      <c r="L202" s="49"/>
      <c r="M202" s="49"/>
      <c r="N202" s="49"/>
      <c r="O202" s="49"/>
      <c r="P202" s="49"/>
      <c r="Q202" s="49"/>
      <c r="R202" s="49"/>
      <c r="S202" s="49"/>
      <c r="T202" s="49"/>
      <c r="U202" s="49"/>
      <c r="V202" s="49"/>
      <c r="W202" s="49"/>
    </row>
    <row r="203" spans="2:23" ht="12.75">
      <c r="B203" s="49"/>
      <c r="C203" s="49"/>
      <c r="D203" s="49"/>
      <c r="E203" s="49"/>
      <c r="F203" s="49"/>
      <c r="G203" s="49"/>
      <c r="H203" s="49"/>
      <c r="I203" s="49"/>
      <c r="J203" s="49"/>
      <c r="K203" s="49"/>
      <c r="L203" s="49"/>
      <c r="M203" s="49"/>
      <c r="N203" s="49"/>
      <c r="O203" s="49"/>
      <c r="P203" s="49"/>
      <c r="Q203" s="49"/>
      <c r="R203" s="49"/>
      <c r="S203" s="49"/>
      <c r="T203" s="49"/>
      <c r="U203" s="49"/>
      <c r="V203" s="49"/>
      <c r="W203" s="49"/>
    </row>
    <row r="204" spans="2:23" ht="12.75">
      <c r="B204" s="49"/>
      <c r="C204" s="49"/>
      <c r="D204" s="49"/>
      <c r="E204" s="49"/>
      <c r="F204" s="49"/>
      <c r="G204" s="49"/>
      <c r="H204" s="49"/>
      <c r="I204" s="49"/>
      <c r="J204" s="49"/>
      <c r="K204" s="49"/>
      <c r="L204" s="49"/>
      <c r="M204" s="49"/>
      <c r="N204" s="49"/>
      <c r="O204" s="49"/>
      <c r="P204" s="49"/>
      <c r="Q204" s="49"/>
      <c r="R204" s="49"/>
      <c r="S204" s="49"/>
      <c r="T204" s="49"/>
      <c r="U204" s="49"/>
      <c r="V204" s="49"/>
      <c r="W204" s="49"/>
    </row>
    <row r="205" spans="2:23" ht="12.75">
      <c r="B205" s="49"/>
      <c r="C205" s="49"/>
      <c r="D205" s="49"/>
      <c r="E205" s="49"/>
      <c r="F205" s="49"/>
      <c r="G205" s="49"/>
      <c r="H205" s="49"/>
      <c r="I205" s="49"/>
      <c r="J205" s="49"/>
      <c r="K205" s="49"/>
      <c r="L205" s="49"/>
      <c r="M205" s="49"/>
      <c r="N205" s="49"/>
      <c r="O205" s="49"/>
      <c r="P205" s="49"/>
      <c r="Q205" s="49"/>
      <c r="R205" s="49"/>
      <c r="S205" s="49"/>
      <c r="T205" s="49"/>
      <c r="U205" s="49"/>
      <c r="V205" s="49"/>
      <c r="W205" s="49"/>
    </row>
    <row r="206" spans="2:23" ht="12.75">
      <c r="B206" s="49"/>
      <c r="C206" s="49"/>
      <c r="D206" s="49"/>
      <c r="E206" s="49"/>
      <c r="F206" s="49"/>
      <c r="G206" s="49"/>
      <c r="H206" s="49"/>
      <c r="I206" s="49"/>
      <c r="J206" s="49"/>
      <c r="K206" s="49"/>
      <c r="L206" s="49"/>
      <c r="M206" s="49"/>
      <c r="N206" s="49"/>
      <c r="O206" s="49"/>
      <c r="P206" s="49"/>
      <c r="Q206" s="49"/>
      <c r="R206" s="49"/>
      <c r="S206" s="49"/>
      <c r="T206" s="49"/>
      <c r="U206" s="49"/>
      <c r="V206" s="49"/>
      <c r="W206" s="49"/>
    </row>
    <row r="207" spans="2:23" ht="12.75">
      <c r="B207" s="49"/>
      <c r="C207" s="49"/>
      <c r="D207" s="49"/>
      <c r="E207" s="49"/>
      <c r="F207" s="49"/>
      <c r="G207" s="49"/>
      <c r="H207" s="49"/>
      <c r="I207" s="49"/>
      <c r="J207" s="49"/>
      <c r="K207" s="49"/>
      <c r="L207" s="49"/>
      <c r="M207" s="49"/>
      <c r="N207" s="49"/>
      <c r="O207" s="49"/>
      <c r="P207" s="49"/>
      <c r="Q207" s="49"/>
      <c r="R207" s="49"/>
      <c r="S207" s="49"/>
      <c r="T207" s="49"/>
      <c r="U207" s="49"/>
      <c r="V207" s="49"/>
      <c r="W207" s="49"/>
    </row>
    <row r="208" spans="2:23" ht="12.75">
      <c r="B208" s="49"/>
      <c r="C208" s="49"/>
      <c r="D208" s="49"/>
      <c r="E208" s="49"/>
      <c r="F208" s="49"/>
      <c r="G208" s="49"/>
      <c r="H208" s="49"/>
      <c r="I208" s="49"/>
      <c r="J208" s="49"/>
      <c r="K208" s="49"/>
      <c r="L208" s="49"/>
      <c r="M208" s="49"/>
      <c r="N208" s="49"/>
      <c r="O208" s="49"/>
      <c r="P208" s="49"/>
      <c r="Q208" s="49"/>
      <c r="R208" s="49"/>
      <c r="S208" s="49"/>
      <c r="T208" s="49"/>
      <c r="U208" s="49"/>
      <c r="V208" s="49"/>
      <c r="W208" s="49"/>
    </row>
    <row r="209" spans="2:23" ht="12.75">
      <c r="B209" s="49"/>
      <c r="C209" s="49"/>
      <c r="D209" s="49"/>
      <c r="E209" s="49"/>
      <c r="F209" s="49"/>
      <c r="G209" s="49"/>
      <c r="H209" s="49"/>
      <c r="I209" s="49"/>
      <c r="J209" s="49"/>
      <c r="K209" s="49"/>
      <c r="L209" s="49"/>
      <c r="M209" s="49"/>
      <c r="N209" s="49"/>
      <c r="O209" s="49"/>
      <c r="P209" s="49"/>
      <c r="Q209" s="49"/>
      <c r="R209" s="49"/>
      <c r="S209" s="49"/>
      <c r="T209" s="49"/>
      <c r="U209" s="49"/>
      <c r="V209" s="49"/>
      <c r="W209" s="49"/>
    </row>
    <row r="210" spans="2:23" ht="12.75">
      <c r="B210" s="49"/>
      <c r="C210" s="49"/>
      <c r="D210" s="49"/>
      <c r="E210" s="49"/>
      <c r="F210" s="49"/>
      <c r="G210" s="49"/>
      <c r="H210" s="49"/>
      <c r="I210" s="49"/>
      <c r="J210" s="49"/>
      <c r="K210" s="49"/>
      <c r="L210" s="49"/>
      <c r="M210" s="49"/>
      <c r="N210" s="49"/>
      <c r="O210" s="49"/>
      <c r="P210" s="49"/>
      <c r="Q210" s="49"/>
      <c r="R210" s="49"/>
      <c r="S210" s="49"/>
      <c r="T210" s="49"/>
      <c r="U210" s="49"/>
      <c r="V210" s="49"/>
      <c r="W210" s="49"/>
    </row>
    <row r="211" spans="2:23" ht="12.75">
      <c r="B211" s="49"/>
      <c r="C211" s="49"/>
      <c r="D211" s="49"/>
      <c r="E211" s="49"/>
      <c r="F211" s="49"/>
      <c r="G211" s="49"/>
      <c r="H211" s="49"/>
      <c r="I211" s="49"/>
      <c r="J211" s="49"/>
      <c r="K211" s="49"/>
      <c r="L211" s="49"/>
      <c r="M211" s="49"/>
      <c r="N211" s="49"/>
      <c r="O211" s="49"/>
      <c r="P211" s="49"/>
      <c r="Q211" s="49"/>
      <c r="R211" s="49"/>
      <c r="S211" s="49"/>
      <c r="T211" s="49"/>
      <c r="U211" s="49"/>
      <c r="V211" s="49"/>
      <c r="W211" s="49"/>
    </row>
    <row r="212" spans="2:23" ht="12.75">
      <c r="B212" s="49"/>
      <c r="C212" s="49"/>
      <c r="D212" s="49"/>
      <c r="E212" s="49"/>
      <c r="F212" s="49"/>
      <c r="G212" s="49"/>
      <c r="H212" s="49"/>
      <c r="I212" s="49"/>
      <c r="J212" s="49"/>
      <c r="K212" s="49"/>
      <c r="L212" s="49"/>
      <c r="M212" s="49"/>
      <c r="N212" s="49"/>
      <c r="O212" s="49"/>
      <c r="P212" s="49"/>
      <c r="Q212" s="49"/>
      <c r="R212" s="49"/>
      <c r="S212" s="49"/>
      <c r="T212" s="49"/>
      <c r="U212" s="49"/>
      <c r="V212" s="49"/>
      <c r="W212" s="49"/>
    </row>
    <row r="213" spans="2:23" ht="12.75">
      <c r="B213" s="49"/>
      <c r="C213" s="49"/>
      <c r="D213" s="49"/>
      <c r="E213" s="49"/>
      <c r="F213" s="49"/>
      <c r="G213" s="49"/>
      <c r="H213" s="49"/>
      <c r="I213" s="49"/>
      <c r="J213" s="49"/>
      <c r="K213" s="49"/>
      <c r="L213" s="49"/>
      <c r="M213" s="49"/>
      <c r="N213" s="49"/>
      <c r="O213" s="49"/>
      <c r="P213" s="49"/>
      <c r="Q213" s="49"/>
      <c r="R213" s="49"/>
      <c r="S213" s="49"/>
      <c r="T213" s="49"/>
      <c r="U213" s="49"/>
      <c r="V213" s="49"/>
      <c r="W213" s="49"/>
    </row>
    <row r="214" spans="2:23" ht="12.75">
      <c r="B214" s="49"/>
      <c r="C214" s="49"/>
      <c r="D214" s="49"/>
      <c r="E214" s="49"/>
      <c r="F214" s="49"/>
      <c r="G214" s="49"/>
      <c r="H214" s="49"/>
      <c r="I214" s="49"/>
      <c r="J214" s="49"/>
      <c r="K214" s="49"/>
      <c r="L214" s="49"/>
      <c r="M214" s="49"/>
      <c r="N214" s="49"/>
      <c r="O214" s="49"/>
      <c r="P214" s="49"/>
      <c r="Q214" s="49"/>
      <c r="R214" s="49"/>
      <c r="S214" s="49"/>
      <c r="T214" s="49"/>
      <c r="U214" s="49"/>
      <c r="V214" s="49"/>
      <c r="W214" s="49"/>
    </row>
    <row r="215" spans="2:23" ht="12.75">
      <c r="B215" s="49"/>
      <c r="C215" s="49"/>
      <c r="D215" s="49"/>
      <c r="E215" s="49"/>
      <c r="F215" s="49"/>
      <c r="G215" s="49"/>
      <c r="H215" s="49"/>
      <c r="I215" s="49"/>
      <c r="J215" s="49"/>
      <c r="K215" s="49"/>
      <c r="L215" s="49"/>
      <c r="M215" s="49"/>
      <c r="N215" s="49"/>
      <c r="O215" s="49"/>
      <c r="P215" s="49"/>
      <c r="Q215" s="49"/>
      <c r="R215" s="49"/>
      <c r="S215" s="49"/>
      <c r="T215" s="49"/>
      <c r="U215" s="49"/>
      <c r="V215" s="49"/>
      <c r="W215" s="49"/>
    </row>
    <row r="216" spans="2:23" ht="12.75">
      <c r="B216" s="49"/>
      <c r="C216" s="49"/>
      <c r="D216" s="49"/>
      <c r="E216" s="49"/>
      <c r="F216" s="49"/>
      <c r="G216" s="49"/>
      <c r="H216" s="49"/>
      <c r="I216" s="49"/>
      <c r="J216" s="49"/>
      <c r="K216" s="49"/>
      <c r="L216" s="49"/>
      <c r="M216" s="49"/>
      <c r="N216" s="49"/>
      <c r="O216" s="49"/>
      <c r="P216" s="49"/>
      <c r="Q216" s="49"/>
      <c r="R216" s="49"/>
      <c r="S216" s="49"/>
      <c r="T216" s="49"/>
      <c r="U216" s="49"/>
      <c r="V216" s="49"/>
      <c r="W216" s="49"/>
    </row>
    <row r="217" spans="2:23" ht="12.75">
      <c r="B217" s="49"/>
      <c r="C217" s="49"/>
      <c r="D217" s="49"/>
      <c r="E217" s="49"/>
      <c r="F217" s="49"/>
      <c r="G217" s="49"/>
      <c r="H217" s="49"/>
      <c r="I217" s="49"/>
      <c r="J217" s="49"/>
      <c r="K217" s="49"/>
      <c r="L217" s="49"/>
      <c r="M217" s="49"/>
      <c r="N217" s="49"/>
      <c r="O217" s="49"/>
      <c r="P217" s="49"/>
      <c r="Q217" s="49"/>
      <c r="R217" s="49"/>
      <c r="S217" s="49"/>
      <c r="T217" s="49"/>
      <c r="U217" s="49"/>
      <c r="V217" s="49"/>
      <c r="W217" s="49"/>
    </row>
    <row r="218" spans="2:23" ht="12.75">
      <c r="B218" s="49"/>
      <c r="C218" s="49"/>
      <c r="D218" s="49"/>
      <c r="E218" s="49"/>
      <c r="F218" s="49"/>
      <c r="G218" s="49"/>
      <c r="H218" s="49"/>
      <c r="I218" s="49"/>
      <c r="J218" s="49"/>
      <c r="K218" s="49"/>
      <c r="L218" s="49"/>
      <c r="M218" s="49"/>
      <c r="N218" s="49"/>
      <c r="O218" s="49"/>
      <c r="P218" s="49"/>
      <c r="Q218" s="49"/>
      <c r="R218" s="49"/>
      <c r="S218" s="49"/>
      <c r="T218" s="49"/>
      <c r="U218" s="49"/>
      <c r="V218" s="49"/>
      <c r="W218" s="49"/>
    </row>
    <row r="219" spans="2:23" ht="12.75">
      <c r="B219" s="49"/>
      <c r="C219" s="49"/>
      <c r="D219" s="49"/>
      <c r="E219" s="49"/>
      <c r="F219" s="49"/>
      <c r="G219" s="49"/>
      <c r="H219" s="49"/>
      <c r="I219" s="49"/>
      <c r="J219" s="49"/>
      <c r="K219" s="49"/>
      <c r="L219" s="49"/>
      <c r="M219" s="49"/>
      <c r="N219" s="49"/>
      <c r="O219" s="49"/>
      <c r="P219" s="49"/>
      <c r="Q219" s="49"/>
      <c r="R219" s="49"/>
      <c r="S219" s="49"/>
      <c r="T219" s="49"/>
      <c r="U219" s="49"/>
      <c r="V219" s="49"/>
      <c r="W219" s="49"/>
    </row>
    <row r="220" spans="2:23" ht="12.75">
      <c r="B220" s="49"/>
      <c r="C220" s="49"/>
      <c r="D220" s="49"/>
      <c r="E220" s="49"/>
      <c r="F220" s="49"/>
      <c r="G220" s="49"/>
      <c r="H220" s="49"/>
      <c r="I220" s="49"/>
      <c r="J220" s="49"/>
      <c r="K220" s="49"/>
      <c r="L220" s="49"/>
      <c r="M220" s="49"/>
      <c r="N220" s="49"/>
      <c r="O220" s="49"/>
      <c r="P220" s="49"/>
      <c r="Q220" s="49"/>
      <c r="R220" s="49"/>
      <c r="S220" s="49"/>
      <c r="T220" s="49"/>
      <c r="U220" s="49"/>
      <c r="V220" s="49"/>
      <c r="W220" s="49"/>
    </row>
    <row r="221" spans="2:23" ht="12.75">
      <c r="B221" s="49"/>
      <c r="C221" s="49"/>
      <c r="D221" s="49"/>
      <c r="E221" s="49"/>
      <c r="F221" s="49"/>
      <c r="G221" s="49"/>
      <c r="H221" s="49"/>
      <c r="I221" s="49"/>
      <c r="J221" s="49"/>
      <c r="K221" s="49"/>
      <c r="L221" s="49"/>
      <c r="M221" s="49"/>
      <c r="N221" s="49"/>
      <c r="O221" s="49"/>
      <c r="P221" s="49"/>
      <c r="Q221" s="49"/>
      <c r="R221" s="49"/>
      <c r="S221" s="49"/>
      <c r="T221" s="49"/>
      <c r="U221" s="49"/>
      <c r="V221" s="49"/>
      <c r="W221" s="49"/>
    </row>
    <row r="222" spans="2:23" ht="12.75">
      <c r="B222" s="49"/>
      <c r="C222" s="49"/>
      <c r="D222" s="49"/>
      <c r="E222" s="49"/>
      <c r="F222" s="49"/>
      <c r="G222" s="49"/>
      <c r="H222" s="49"/>
      <c r="I222" s="49"/>
      <c r="J222" s="49"/>
      <c r="K222" s="49"/>
      <c r="L222" s="49"/>
      <c r="M222" s="49"/>
      <c r="N222" s="49"/>
      <c r="O222" s="49"/>
      <c r="P222" s="49"/>
      <c r="Q222" s="49"/>
      <c r="R222" s="49"/>
      <c r="S222" s="49"/>
      <c r="T222" s="49"/>
      <c r="U222" s="49"/>
      <c r="V222" s="49"/>
      <c r="W222" s="49"/>
    </row>
    <row r="223" spans="2:23" ht="12.75">
      <c r="B223" s="49"/>
      <c r="C223" s="49"/>
      <c r="D223" s="49"/>
      <c r="E223" s="49"/>
      <c r="F223" s="49"/>
      <c r="G223" s="49"/>
      <c r="H223" s="49"/>
      <c r="I223" s="49"/>
      <c r="J223" s="49"/>
      <c r="K223" s="49"/>
      <c r="L223" s="49"/>
      <c r="M223" s="49"/>
      <c r="N223" s="49"/>
      <c r="O223" s="49"/>
      <c r="P223" s="49"/>
      <c r="Q223" s="49"/>
      <c r="R223" s="49"/>
      <c r="S223" s="49"/>
      <c r="T223" s="49"/>
      <c r="U223" s="49"/>
      <c r="V223" s="49"/>
      <c r="W223" s="49"/>
    </row>
    <row r="224" spans="2:23" ht="12.75">
      <c r="B224" s="49"/>
      <c r="C224" s="49"/>
      <c r="D224" s="49"/>
      <c r="E224" s="49"/>
      <c r="F224" s="49"/>
      <c r="G224" s="49"/>
      <c r="H224" s="49"/>
      <c r="I224" s="49"/>
      <c r="J224" s="49"/>
      <c r="K224" s="49"/>
      <c r="L224" s="49"/>
      <c r="M224" s="49"/>
      <c r="N224" s="49"/>
      <c r="O224" s="49"/>
      <c r="P224" s="49"/>
      <c r="Q224" s="49"/>
      <c r="R224" s="49"/>
      <c r="S224" s="49"/>
      <c r="T224" s="49"/>
      <c r="U224" s="49"/>
      <c r="V224" s="49"/>
      <c r="W224" s="49"/>
    </row>
    <row r="225" spans="2:23" ht="12.75">
      <c r="B225" s="49"/>
      <c r="C225" s="49"/>
      <c r="D225" s="49"/>
      <c r="E225" s="49"/>
      <c r="F225" s="49"/>
      <c r="G225" s="49"/>
      <c r="H225" s="49"/>
      <c r="I225" s="49"/>
      <c r="J225" s="49"/>
      <c r="K225" s="49"/>
      <c r="L225" s="49"/>
      <c r="M225" s="49"/>
      <c r="N225" s="49"/>
      <c r="O225" s="49"/>
      <c r="P225" s="49"/>
      <c r="Q225" s="49"/>
      <c r="R225" s="49"/>
      <c r="S225" s="49"/>
      <c r="T225" s="49"/>
      <c r="U225" s="49"/>
      <c r="V225" s="49"/>
      <c r="W225" s="49"/>
    </row>
    <row r="226" spans="2:23" ht="12.75">
      <c r="B226" s="49"/>
      <c r="C226" s="49"/>
      <c r="D226" s="49"/>
      <c r="E226" s="49"/>
      <c r="F226" s="49"/>
      <c r="G226" s="49"/>
      <c r="H226" s="49"/>
      <c r="I226" s="49"/>
      <c r="J226" s="49"/>
      <c r="K226" s="49"/>
      <c r="L226" s="49"/>
      <c r="M226" s="49"/>
      <c r="N226" s="49"/>
      <c r="O226" s="49"/>
      <c r="P226" s="49"/>
      <c r="Q226" s="49"/>
      <c r="R226" s="49"/>
      <c r="S226" s="49"/>
      <c r="T226" s="49"/>
      <c r="U226" s="49"/>
      <c r="V226" s="49"/>
      <c r="W226" s="49"/>
    </row>
    <row r="227" spans="2:23" ht="12.75">
      <c r="B227" s="49"/>
      <c r="C227" s="49"/>
      <c r="D227" s="49"/>
      <c r="E227" s="49"/>
      <c r="F227" s="49"/>
      <c r="G227" s="49"/>
      <c r="H227" s="49"/>
      <c r="I227" s="49"/>
      <c r="J227" s="49"/>
      <c r="K227" s="49"/>
      <c r="L227" s="49"/>
      <c r="M227" s="49"/>
      <c r="N227" s="49"/>
      <c r="O227" s="49"/>
      <c r="P227" s="49"/>
      <c r="Q227" s="49"/>
      <c r="R227" s="49"/>
      <c r="S227" s="49"/>
      <c r="T227" s="49"/>
      <c r="U227" s="49"/>
      <c r="V227" s="49"/>
      <c r="W227" s="49"/>
    </row>
    <row r="228" spans="2:23" ht="12.75">
      <c r="B228" s="49"/>
      <c r="C228" s="49"/>
      <c r="D228" s="49"/>
      <c r="E228" s="49"/>
      <c r="F228" s="49"/>
      <c r="G228" s="49"/>
      <c r="H228" s="49"/>
      <c r="I228" s="49"/>
      <c r="J228" s="49"/>
      <c r="K228" s="49"/>
      <c r="L228" s="49"/>
      <c r="M228" s="49"/>
      <c r="N228" s="49"/>
      <c r="O228" s="49"/>
      <c r="P228" s="49"/>
      <c r="Q228" s="49"/>
      <c r="R228" s="49"/>
      <c r="S228" s="49"/>
      <c r="T228" s="49"/>
      <c r="U228" s="49"/>
      <c r="V228" s="49"/>
      <c r="W228" s="49"/>
    </row>
    <row r="229" spans="2:23" ht="12.75">
      <c r="B229" s="49"/>
      <c r="C229" s="49"/>
      <c r="D229" s="49"/>
      <c r="E229" s="49"/>
      <c r="F229" s="49"/>
      <c r="G229" s="49"/>
      <c r="H229" s="49"/>
      <c r="I229" s="49"/>
      <c r="J229" s="49"/>
      <c r="K229" s="49"/>
      <c r="L229" s="49"/>
      <c r="M229" s="49"/>
      <c r="N229" s="49"/>
      <c r="O229" s="49"/>
      <c r="P229" s="49"/>
      <c r="Q229" s="49"/>
      <c r="R229" s="49"/>
      <c r="S229" s="49"/>
      <c r="T229" s="49"/>
      <c r="U229" s="49"/>
      <c r="V229" s="49"/>
      <c r="W229" s="49"/>
    </row>
  </sheetData>
  <sheetProtection/>
  <mergeCells count="3">
    <mergeCell ref="C2:M2"/>
    <mergeCell ref="C3:M3"/>
    <mergeCell ref="K4:M4"/>
  </mergeCells>
  <printOptions/>
  <pageMargins left="0.45" right="0.45" top="0.75" bottom="0.75" header="0.3" footer="0.3"/>
  <pageSetup horizontalDpi="200" verticalDpi="200" orientation="landscape" paperSize="8" r:id="rId1"/>
</worksheet>
</file>

<file path=xl/worksheets/sheet5.xml><?xml version="1.0" encoding="utf-8"?>
<worksheet xmlns="http://schemas.openxmlformats.org/spreadsheetml/2006/main" xmlns:r="http://schemas.openxmlformats.org/officeDocument/2006/relationships">
  <dimension ref="A1:V104"/>
  <sheetViews>
    <sheetView zoomScalePageLayoutView="0" workbookViewId="0" topLeftCell="A70">
      <selection activeCell="B25" sqref="B25"/>
    </sheetView>
  </sheetViews>
  <sheetFormatPr defaultColWidth="9.140625" defaultRowHeight="12.75"/>
  <cols>
    <col min="1" max="1" width="59.28125" style="0" customWidth="1"/>
    <col min="2" max="2" width="11.8515625" style="0" customWidth="1"/>
    <col min="3" max="3" width="9.421875" style="0" customWidth="1"/>
    <col min="5" max="5" width="9.28125" style="0" customWidth="1"/>
    <col min="7" max="10" width="0" style="0" hidden="1" customWidth="1"/>
    <col min="12" max="15" width="0" style="0" hidden="1" customWidth="1"/>
    <col min="17" max="20" width="0" style="0" hidden="1" customWidth="1"/>
  </cols>
  <sheetData>
    <row r="1" ht="15">
      <c r="A1" s="15" t="s">
        <v>69</v>
      </c>
    </row>
    <row r="2" ht="15">
      <c r="A2" s="15" t="s">
        <v>0</v>
      </c>
    </row>
    <row r="3" ht="15">
      <c r="A3" s="15" t="s">
        <v>70</v>
      </c>
    </row>
    <row r="4" ht="15">
      <c r="A4" s="15" t="s">
        <v>2</v>
      </c>
    </row>
    <row r="5" spans="1:4" ht="15">
      <c r="A5" s="15" t="s">
        <v>141</v>
      </c>
      <c r="D5" s="9"/>
    </row>
    <row r="6" spans="1:4" ht="15">
      <c r="A6" s="15" t="s">
        <v>352</v>
      </c>
      <c r="D6" s="9"/>
    </row>
    <row r="7" spans="1:2" ht="15">
      <c r="A7" s="15" t="s">
        <v>142</v>
      </c>
      <c r="B7">
        <v>38.7</v>
      </c>
    </row>
    <row r="9" ht="15">
      <c r="A9" s="15" t="s">
        <v>351</v>
      </c>
    </row>
    <row r="10" spans="1:2" ht="15">
      <c r="A10" s="15" t="s">
        <v>131</v>
      </c>
      <c r="B10" s="155">
        <v>0.03</v>
      </c>
    </row>
    <row r="11" spans="1:2" ht="15" hidden="1">
      <c r="A11" s="15" t="s">
        <v>138</v>
      </c>
      <c r="B11" s="9">
        <f>SUM(EntretienVelMan!B12:C12)*1/485</f>
        <v>22117004.404123712</v>
      </c>
    </row>
    <row r="12" spans="1:3" ht="15">
      <c r="A12" s="15" t="s">
        <v>139</v>
      </c>
      <c r="B12" s="9">
        <f>B11*0.9</f>
        <v>19905303.96371134</v>
      </c>
      <c r="C12" s="13" t="s">
        <v>350</v>
      </c>
    </row>
    <row r="13" spans="1:5" ht="15">
      <c r="A13" s="15" t="s">
        <v>114</v>
      </c>
      <c r="B13" s="2">
        <f>B12/B7</f>
        <v>514348.9396307839</v>
      </c>
      <c r="C13" s="13"/>
      <c r="E13" s="2"/>
    </row>
    <row r="14" spans="1:3" ht="15">
      <c r="A14" s="15" t="s">
        <v>113</v>
      </c>
      <c r="B14" s="9">
        <f>B12*485</f>
        <v>9654072422.4</v>
      </c>
      <c r="C14" s="13"/>
    </row>
    <row r="15" spans="1:2" ht="15">
      <c r="A15" s="15" t="s">
        <v>349</v>
      </c>
      <c r="B15" s="155">
        <v>0.152</v>
      </c>
    </row>
    <row r="16" ht="15">
      <c r="A16" s="15"/>
    </row>
    <row r="17" spans="1:21" ht="15">
      <c r="A17" s="15"/>
      <c r="B17" s="1">
        <v>1</v>
      </c>
      <c r="C17" s="1">
        <v>2</v>
      </c>
      <c r="D17" s="1">
        <v>3</v>
      </c>
      <c r="E17" s="1">
        <v>4</v>
      </c>
      <c r="F17" s="1">
        <v>5</v>
      </c>
      <c r="G17" s="1">
        <v>6</v>
      </c>
      <c r="H17" s="1">
        <v>7</v>
      </c>
      <c r="I17" s="1">
        <v>8</v>
      </c>
      <c r="J17" s="1">
        <v>9</v>
      </c>
      <c r="K17" s="1">
        <v>10</v>
      </c>
      <c r="L17" s="1">
        <v>11</v>
      </c>
      <c r="M17" s="1">
        <v>12</v>
      </c>
      <c r="N17" s="1">
        <v>13</v>
      </c>
      <c r="O17" s="1">
        <v>14</v>
      </c>
      <c r="P17" s="1">
        <v>15</v>
      </c>
      <c r="Q17" s="1">
        <v>16</v>
      </c>
      <c r="R17" s="1">
        <v>17</v>
      </c>
      <c r="S17" s="1">
        <v>18</v>
      </c>
      <c r="T17" s="1">
        <v>19</v>
      </c>
      <c r="U17" s="1">
        <v>20</v>
      </c>
    </row>
    <row r="18" spans="1:4" ht="15">
      <c r="A18" s="15" t="s">
        <v>71</v>
      </c>
      <c r="B18" s="155">
        <v>0.25</v>
      </c>
      <c r="C18" s="155">
        <v>0.3</v>
      </c>
      <c r="D18" s="155">
        <v>0.45</v>
      </c>
    </row>
    <row r="19" spans="1:4" ht="15">
      <c r="A19" s="15" t="s">
        <v>348</v>
      </c>
      <c r="B19" s="9">
        <f>$B14*B18</f>
        <v>2413518105.6</v>
      </c>
      <c r="C19" s="9">
        <f>$B14*C18</f>
        <v>2896221726.72</v>
      </c>
      <c r="D19" s="9">
        <f>$B14*D18</f>
        <v>4344332590.08</v>
      </c>
    </row>
    <row r="20" spans="1:21" ht="15">
      <c r="A20" s="15" t="s">
        <v>347</v>
      </c>
      <c r="B20" s="9">
        <f>EntretienVelMan!B20</f>
        <v>0</v>
      </c>
      <c r="C20" s="9">
        <f>EntretienVelMan!C20</f>
        <v>57426033</v>
      </c>
      <c r="D20" s="9">
        <f>EntretienVelMan!D20</f>
        <v>58962909</v>
      </c>
      <c r="E20" s="9">
        <f>EntretienVelMan!E20</f>
        <v>59700121</v>
      </c>
      <c r="F20" s="9">
        <f>EntretienVelMan!F20</f>
        <v>60289325</v>
      </c>
      <c r="G20" s="9">
        <f>EntretienVelMan!G20</f>
        <v>60745257</v>
      </c>
      <c r="H20" s="9">
        <f>EntretienVelMan!H20</f>
        <v>61364764</v>
      </c>
      <c r="I20" s="9">
        <f>EntretienVelMan!I20</f>
        <v>61587254</v>
      </c>
      <c r="J20" s="9">
        <f>EntretienVelMan!J20</f>
        <v>61785272</v>
      </c>
      <c r="K20" s="9">
        <f>EntretienVelMan!K20</f>
        <v>61974765</v>
      </c>
      <c r="L20" s="9">
        <f>EntretienVelMan!L20</f>
        <v>62161574</v>
      </c>
      <c r="M20" s="9">
        <f>EntretienVelMan!M20</f>
        <v>62351078</v>
      </c>
      <c r="N20" s="9">
        <f>EntretienVelMan!N20</f>
        <v>62544047</v>
      </c>
      <c r="O20" s="9">
        <f>EntretienVelMan!O20</f>
        <v>62740140.032000005</v>
      </c>
      <c r="P20" s="9">
        <f>EntretienVelMan!P20</f>
        <v>62940939.296767995</v>
      </c>
      <c r="Q20" s="9">
        <f>EntretienVelMan!Q20</f>
        <v>63146557.743890435</v>
      </c>
      <c r="R20" s="9">
        <f>EntretienVelMan!R20</f>
        <v>63357111.0337438</v>
      </c>
      <c r="S20" s="9">
        <f>EntretienVelMan!S20</f>
        <v>63572717.60255365</v>
      </c>
      <c r="T20" s="9">
        <f>EntretienVelMan!T20</f>
        <v>63293498.72901495</v>
      </c>
      <c r="U20" s="9">
        <f>EntretienVelMan!U20</f>
        <v>64019578.6025113</v>
      </c>
    </row>
    <row r="21" spans="1:21" ht="15">
      <c r="A21" s="15" t="s">
        <v>346</v>
      </c>
      <c r="B21" s="17">
        <f aca="true" t="shared" si="0" ref="B21:U21">1/((1+Hypothetical_return)^(B17))</f>
        <v>0.8680555555555556</v>
      </c>
      <c r="C21" s="17">
        <f t="shared" si="0"/>
        <v>0.7535204475308643</v>
      </c>
      <c r="D21" s="17">
        <f t="shared" si="0"/>
        <v>0.6540976107038753</v>
      </c>
      <c r="E21" s="17">
        <f t="shared" si="0"/>
        <v>0.567793064847114</v>
      </c>
      <c r="F21" s="17">
        <f t="shared" si="0"/>
        <v>0.49287592434645316</v>
      </c>
      <c r="G21" s="17">
        <f t="shared" si="0"/>
        <v>0.42784368432851844</v>
      </c>
      <c r="H21" s="17">
        <f t="shared" si="0"/>
        <v>0.37139208709072785</v>
      </c>
      <c r="I21" s="17">
        <f t="shared" si="0"/>
        <v>0.322388964488479</v>
      </c>
      <c r="J21" s="17">
        <f t="shared" si="0"/>
        <v>0.27985153167402693</v>
      </c>
      <c r="K21" s="17">
        <f t="shared" si="0"/>
        <v>0.24292667680037058</v>
      </c>
      <c r="L21" s="17">
        <f t="shared" si="0"/>
        <v>0.21087385138921064</v>
      </c>
      <c r="M21" s="17">
        <f t="shared" si="0"/>
        <v>0.18305021821980091</v>
      </c>
      <c r="N21" s="17">
        <f t="shared" si="0"/>
        <v>0.15889775887135496</v>
      </c>
      <c r="O21" s="17">
        <f t="shared" si="0"/>
        <v>0.13793208235360674</v>
      </c>
      <c r="P21" s="17">
        <f t="shared" si="0"/>
        <v>0.11973271037639475</v>
      </c>
      <c r="Q21" s="17">
        <f t="shared" si="0"/>
        <v>0.10393464442395378</v>
      </c>
      <c r="R21" s="17">
        <f t="shared" si="0"/>
        <v>0.09022104550690432</v>
      </c>
      <c r="S21" s="17">
        <f t="shared" si="0"/>
        <v>0.0783168797802989</v>
      </c>
      <c r="T21" s="17">
        <f t="shared" si="0"/>
        <v>0.06798340258706502</v>
      </c>
      <c r="U21" s="17">
        <f t="shared" si="0"/>
        <v>0.05901337030127172</v>
      </c>
    </row>
    <row r="22" spans="1:21" ht="15">
      <c r="A22" s="15" t="s">
        <v>345</v>
      </c>
      <c r="B22" s="9">
        <f aca="true" t="shared" si="1" ref="B22:U22">B20*B21</f>
        <v>0</v>
      </c>
      <c r="C22" s="9">
        <f t="shared" si="1"/>
        <v>43271690.08608218</v>
      </c>
      <c r="D22" s="9">
        <f t="shared" si="1"/>
        <v>38567497.89705002</v>
      </c>
      <c r="E22" s="9">
        <f t="shared" si="1"/>
        <v>33897314.67433355</v>
      </c>
      <c r="F22" s="9">
        <f t="shared" si="1"/>
        <v>29715156.78759873</v>
      </c>
      <c r="G22" s="9">
        <f t="shared" si="1"/>
        <v>25989474.560362726</v>
      </c>
      <c r="H22" s="9">
        <f t="shared" si="1"/>
        <v>22790387.77578996</v>
      </c>
      <c r="I22" s="9">
        <f t="shared" si="1"/>
        <v>19855051.042748936</v>
      </c>
      <c r="J22" s="9">
        <f t="shared" si="1"/>
        <v>17290703.00409637</v>
      </c>
      <c r="K22" s="9">
        <f t="shared" si="1"/>
        <v>15055323.70693392</v>
      </c>
      <c r="L22" s="9">
        <f t="shared" si="1"/>
        <v>13108250.51779542</v>
      </c>
      <c r="M22" s="9">
        <f t="shared" si="1"/>
        <v>11413378.434139827</v>
      </c>
      <c r="N22" s="9">
        <f t="shared" si="1"/>
        <v>9938108.899044693</v>
      </c>
      <c r="O22" s="9">
        <f t="shared" si="1"/>
        <v>8653878.161770644</v>
      </c>
      <c r="P22" s="9">
        <f t="shared" si="1"/>
        <v>7536089.255638165</v>
      </c>
      <c r="Q22" s="9">
        <f t="shared" si="1"/>
        <v>6563115.025707917</v>
      </c>
      <c r="R22" s="9">
        <f t="shared" si="1"/>
        <v>5716144.797761389</v>
      </c>
      <c r="S22" s="9">
        <f t="shared" si="1"/>
        <v>4978816.881786086</v>
      </c>
      <c r="T22" s="9">
        <f t="shared" si="1"/>
        <v>4302907.405238511</v>
      </c>
      <c r="U22" s="9">
        <f t="shared" si="1"/>
        <v>3778011.098601371</v>
      </c>
    </row>
    <row r="23" spans="1:21" ht="15">
      <c r="A23" s="15" t="s">
        <v>344</v>
      </c>
      <c r="C23" s="17"/>
      <c r="D23" s="17"/>
      <c r="E23" s="17">
        <f aca="true" t="shared" si="2" ref="E23:U23">(1+$B10)^(E17-$E17)/((1+Hypothetical_return)^E17)</f>
        <v>0.567793064847114</v>
      </c>
      <c r="F23" s="17">
        <f t="shared" si="2"/>
        <v>0.5076622020768468</v>
      </c>
      <c r="G23" s="17">
        <f t="shared" si="2"/>
        <v>0.4538993647041252</v>
      </c>
      <c r="H23" s="17">
        <f t="shared" si="2"/>
        <v>0.4058301611503897</v>
      </c>
      <c r="I23" s="17">
        <f t="shared" si="2"/>
        <v>0.36285161977856023</v>
      </c>
      <c r="J23" s="17">
        <f t="shared" si="2"/>
        <v>0.32442462532284466</v>
      </c>
      <c r="K23" s="17">
        <f t="shared" si="2"/>
        <v>0.29006715632164065</v>
      </c>
      <c r="L23" s="17">
        <f t="shared" si="2"/>
        <v>0.25934823872507806</v>
      </c>
      <c r="M23" s="17">
        <f t="shared" si="2"/>
        <v>0.23188253983231805</v>
      </c>
      <c r="N23" s="17">
        <f t="shared" si="2"/>
        <v>0.20732553474590937</v>
      </c>
      <c r="O23" s="17">
        <f t="shared" si="2"/>
        <v>0.1853691847120544</v>
      </c>
      <c r="P23" s="17">
        <f t="shared" si="2"/>
        <v>0.16573807313664587</v>
      </c>
      <c r="Q23" s="17">
        <f t="shared" si="2"/>
        <v>0.14818595080793856</v>
      </c>
      <c r="R23" s="17">
        <f t="shared" si="2"/>
        <v>0.13249264698973673</v>
      </c>
      <c r="S23" s="17">
        <f t="shared" si="2"/>
        <v>0.11846130763839312</v>
      </c>
      <c r="T23" s="17">
        <f t="shared" si="2"/>
        <v>0.10591592610029942</v>
      </c>
      <c r="U23" s="17">
        <f t="shared" si="2"/>
        <v>0.09469913531537186</v>
      </c>
    </row>
    <row r="24" spans="1:6" ht="15">
      <c r="A24" s="15" t="s">
        <v>343</v>
      </c>
      <c r="B24" s="9">
        <f>B19*B21</f>
        <v>2095067800</v>
      </c>
      <c r="C24" s="9">
        <f>C19*C21</f>
        <v>2182362291.666667</v>
      </c>
      <c r="D24" s="9">
        <f>D19*D21</f>
        <v>2841617567.274306</v>
      </c>
      <c r="E24" s="9">
        <f>E19*E21</f>
        <v>0</v>
      </c>
      <c r="F24" s="9">
        <f>F19*F21</f>
        <v>0</v>
      </c>
    </row>
    <row r="25" spans="1:2" ht="15">
      <c r="A25" s="15" t="s">
        <v>342</v>
      </c>
      <c r="B25" s="9">
        <f>SUM(B24:F24)</f>
        <v>7119047658.940973</v>
      </c>
    </row>
    <row r="26" spans="1:3" ht="15">
      <c r="A26" s="15" t="s">
        <v>341</v>
      </c>
      <c r="B26" s="9">
        <f>SUM(B22:U22)</f>
        <v>322421300.0124804</v>
      </c>
      <c r="C26" s="9"/>
    </row>
    <row r="27" spans="1:2" ht="15">
      <c r="A27" s="15" t="s">
        <v>340</v>
      </c>
      <c r="B27" s="17">
        <f>SUM(B23:U23)</f>
        <v>4.561946732205265</v>
      </c>
    </row>
    <row r="28" spans="1:2" ht="15">
      <c r="A28" s="15"/>
      <c r="B28" s="17"/>
    </row>
    <row r="29" spans="1:2" ht="15">
      <c r="A29" s="15" t="s">
        <v>339</v>
      </c>
      <c r="B29" s="157">
        <f>(B25-B26)*(1/B27)</f>
        <v>1489852196.4203148</v>
      </c>
    </row>
    <row r="30" ht="15">
      <c r="A30" s="15"/>
    </row>
    <row r="31" ht="15">
      <c r="A31" s="15" t="s">
        <v>338</v>
      </c>
    </row>
    <row r="32" spans="1:21" ht="15">
      <c r="A32" s="15" t="s">
        <v>337</v>
      </c>
      <c r="B32" s="9">
        <f>-B19*B21+B20*B21</f>
        <v>-2095067800</v>
      </c>
      <c r="C32" s="9">
        <f>-C19*C21+C20*C21</f>
        <v>-2139090601.5805848</v>
      </c>
      <c r="D32" s="9">
        <f>-D19*D21+D20*D21</f>
        <v>-2803050069.377256</v>
      </c>
      <c r="E32" s="9">
        <f aca="true" t="shared" si="3" ref="E32:U32">-E19*E21+E20*E21+HypothBene*(1+$B10)^(E17-$E17)*E21</f>
        <v>879825059.4490286</v>
      </c>
      <c r="F32" s="9">
        <f t="shared" si="3"/>
        <v>786056803.5913626</v>
      </c>
      <c r="G32" s="9">
        <f t="shared" si="3"/>
        <v>702232440.018589</v>
      </c>
      <c r="H32" s="9">
        <f t="shared" si="3"/>
        <v>627417344.7393085</v>
      </c>
      <c r="I32" s="9">
        <f t="shared" si="3"/>
        <v>560450333.7445058</v>
      </c>
      <c r="J32" s="9">
        <f t="shared" si="3"/>
        <v>500635443.6141741</v>
      </c>
      <c r="K32" s="9">
        <f t="shared" si="3"/>
        <v>447212513.662125</v>
      </c>
      <c r="L32" s="9">
        <f t="shared" si="3"/>
        <v>399498793.62009317</v>
      </c>
      <c r="M32" s="9">
        <f t="shared" si="3"/>
        <v>356884089.71484005</v>
      </c>
      <c r="N32" s="9">
        <f t="shared" si="3"/>
        <v>318822512.2142541</v>
      </c>
      <c r="O32" s="9">
        <f t="shared" si="3"/>
        <v>284826565.1536679</v>
      </c>
      <c r="P32" s="9">
        <f t="shared" si="3"/>
        <v>254461321.5487408</v>
      </c>
      <c r="Q32" s="9">
        <f t="shared" si="3"/>
        <v>227338279.31554794</v>
      </c>
      <c r="R32" s="9">
        <f t="shared" si="3"/>
        <v>203110605.92496207</v>
      </c>
      <c r="S32" s="9">
        <f t="shared" si="3"/>
        <v>181468656.25766867</v>
      </c>
      <c r="T32" s="9">
        <f t="shared" si="3"/>
        <v>162101982.54166135</v>
      </c>
      <c r="U32" s="9">
        <f t="shared" si="3"/>
        <v>144865725.84731275</v>
      </c>
    </row>
    <row r="33" spans="1:3" ht="15">
      <c r="A33" s="15" t="s">
        <v>336</v>
      </c>
      <c r="B33" s="9">
        <f>SUM(B32:U32)</f>
        <v>3.1888484954833984E-06</v>
      </c>
      <c r="C33" t="s">
        <v>335</v>
      </c>
    </row>
    <row r="34" spans="1:5" ht="15">
      <c r="A34" s="15"/>
      <c r="B34" s="32"/>
      <c r="C34" s="33"/>
      <c r="D34" s="33"/>
      <c r="E34" s="33"/>
    </row>
    <row r="35" spans="1:21" ht="15">
      <c r="A35" s="24" t="s">
        <v>102</v>
      </c>
      <c r="B35" s="1">
        <v>1</v>
      </c>
      <c r="C35" s="1">
        <v>2</v>
      </c>
      <c r="D35" s="1">
        <v>3</v>
      </c>
      <c r="E35" s="1">
        <v>4</v>
      </c>
      <c r="F35" s="1">
        <v>5</v>
      </c>
      <c r="G35" s="1">
        <v>6</v>
      </c>
      <c r="H35" s="1">
        <v>7</v>
      </c>
      <c r="I35" s="1">
        <v>8</v>
      </c>
      <c r="J35" s="1">
        <v>9</v>
      </c>
      <c r="K35" s="1">
        <v>10</v>
      </c>
      <c r="L35" s="1">
        <v>11</v>
      </c>
      <c r="M35" s="1">
        <v>12</v>
      </c>
      <c r="N35" s="1">
        <v>13</v>
      </c>
      <c r="O35" s="1">
        <v>14</v>
      </c>
      <c r="P35" s="1">
        <v>15</v>
      </c>
      <c r="Q35" s="1">
        <v>16</v>
      </c>
      <c r="R35" s="1">
        <v>17</v>
      </c>
      <c r="S35" s="1">
        <v>18</v>
      </c>
      <c r="T35" s="1">
        <v>19</v>
      </c>
      <c r="U35" s="1">
        <v>20</v>
      </c>
    </row>
    <row r="36" spans="1:6" ht="15">
      <c r="A36" s="15" t="s">
        <v>78</v>
      </c>
      <c r="B36" s="9">
        <f>B19</f>
        <v>2413518105.6</v>
      </c>
      <c r="C36" s="9">
        <f>C19</f>
        <v>2896221726.72</v>
      </c>
      <c r="D36" s="9">
        <f>D19</f>
        <v>4344332590.08</v>
      </c>
      <c r="E36" s="9">
        <f>E19</f>
        <v>0</v>
      </c>
      <c r="F36" s="9">
        <f>F19</f>
        <v>0</v>
      </c>
    </row>
    <row r="37" spans="1:6" ht="15">
      <c r="A37" s="15" t="s">
        <v>103</v>
      </c>
      <c r="B37" s="9"/>
      <c r="C37" s="9"/>
      <c r="D37" s="9"/>
      <c r="E37" s="9"/>
      <c r="F37" s="9"/>
    </row>
    <row r="38" spans="1:21" ht="15">
      <c r="A38" s="15" t="s">
        <v>137</v>
      </c>
      <c r="B38" s="9">
        <f aca="true" t="shared" si="4" ref="B38:U38">B20</f>
        <v>0</v>
      </c>
      <c r="C38" s="9">
        <f t="shared" si="4"/>
        <v>57426033</v>
      </c>
      <c r="D38" s="9">
        <f t="shared" si="4"/>
        <v>58962909</v>
      </c>
      <c r="E38" s="9">
        <f t="shared" si="4"/>
        <v>59700121</v>
      </c>
      <c r="F38" s="9">
        <f t="shared" si="4"/>
        <v>60289325</v>
      </c>
      <c r="G38" s="9">
        <f t="shared" si="4"/>
        <v>60745257</v>
      </c>
      <c r="H38" s="9">
        <f t="shared" si="4"/>
        <v>61364764</v>
      </c>
      <c r="I38" s="9">
        <f t="shared" si="4"/>
        <v>61587254</v>
      </c>
      <c r="J38" s="9">
        <f t="shared" si="4"/>
        <v>61785272</v>
      </c>
      <c r="K38" s="9">
        <f t="shared" si="4"/>
        <v>61974765</v>
      </c>
      <c r="L38" s="9">
        <f t="shared" si="4"/>
        <v>62161574</v>
      </c>
      <c r="M38" s="9">
        <f t="shared" si="4"/>
        <v>62351078</v>
      </c>
      <c r="N38" s="9">
        <f t="shared" si="4"/>
        <v>62544047</v>
      </c>
      <c r="O38" s="9">
        <f t="shared" si="4"/>
        <v>62740140.032000005</v>
      </c>
      <c r="P38" s="9">
        <f t="shared" si="4"/>
        <v>62940939.296767995</v>
      </c>
      <c r="Q38" s="9">
        <f t="shared" si="4"/>
        <v>63146557.743890435</v>
      </c>
      <c r="R38" s="9">
        <f t="shared" si="4"/>
        <v>63357111.0337438</v>
      </c>
      <c r="S38" s="9">
        <f t="shared" si="4"/>
        <v>63572717.60255365</v>
      </c>
      <c r="T38" s="9">
        <f t="shared" si="4"/>
        <v>63293498.72901495</v>
      </c>
      <c r="U38" s="9">
        <f t="shared" si="4"/>
        <v>64019578.6025113</v>
      </c>
    </row>
    <row r="39" spans="1:21" ht="15">
      <c r="A39" s="24" t="s">
        <v>79</v>
      </c>
      <c r="B39" s="30"/>
      <c r="C39" s="31"/>
      <c r="D39" s="31"/>
      <c r="E39" s="30">
        <f aca="true" t="shared" si="5" ref="E39:U39">HypothBene*(1+$B10)^(E35-$E35)</f>
        <v>1489852196.4203148</v>
      </c>
      <c r="F39" s="30">
        <f t="shared" si="5"/>
        <v>1534547762.3129244</v>
      </c>
      <c r="G39" s="30">
        <f t="shared" si="5"/>
        <v>1580584195.1823118</v>
      </c>
      <c r="H39" s="30">
        <f t="shared" si="5"/>
        <v>1628001721.0377812</v>
      </c>
      <c r="I39" s="30">
        <f t="shared" si="5"/>
        <v>1676841772.6689146</v>
      </c>
      <c r="J39" s="30">
        <f t="shared" si="5"/>
        <v>1727147025.8489819</v>
      </c>
      <c r="K39" s="30">
        <f t="shared" si="5"/>
        <v>1778961436.6244516</v>
      </c>
      <c r="L39" s="30">
        <f t="shared" si="5"/>
        <v>1832330279.7231853</v>
      </c>
      <c r="M39" s="30">
        <f t="shared" si="5"/>
        <v>1887300188.1148806</v>
      </c>
      <c r="N39" s="30">
        <f t="shared" si="5"/>
        <v>1943919193.758327</v>
      </c>
      <c r="O39" s="30">
        <f t="shared" si="5"/>
        <v>2002236769.5710769</v>
      </c>
      <c r="P39" s="30">
        <f t="shared" si="5"/>
        <v>2062303872.658209</v>
      </c>
      <c r="Q39" s="30">
        <f t="shared" si="5"/>
        <v>2124172988.8379552</v>
      </c>
      <c r="R39" s="30">
        <f t="shared" si="5"/>
        <v>2187898178.5030937</v>
      </c>
      <c r="S39" s="30">
        <f t="shared" si="5"/>
        <v>2253535123.8581867</v>
      </c>
      <c r="T39" s="30">
        <f t="shared" si="5"/>
        <v>2321141177.5739326</v>
      </c>
      <c r="U39" s="30">
        <f t="shared" si="5"/>
        <v>2390775412.90115</v>
      </c>
    </row>
    <row r="40" spans="1:21" ht="15">
      <c r="A40" s="15" t="s">
        <v>104</v>
      </c>
      <c r="B40" s="9">
        <f aca="true" t="shared" si="6" ref="B40:U40">B38+B39-B36-B37</f>
        <v>-2413518105.6</v>
      </c>
      <c r="C40" s="9">
        <f t="shared" si="6"/>
        <v>-2838795693.72</v>
      </c>
      <c r="D40" s="9">
        <f t="shared" si="6"/>
        <v>-4285369681.08</v>
      </c>
      <c r="E40" s="9">
        <f t="shared" si="6"/>
        <v>1549552317.4203148</v>
      </c>
      <c r="F40" s="9">
        <f t="shared" si="6"/>
        <v>1594837087.3129244</v>
      </c>
      <c r="G40" s="9">
        <f t="shared" si="6"/>
        <v>1641329452.1823118</v>
      </c>
      <c r="H40" s="9">
        <f t="shared" si="6"/>
        <v>1689366485.0377812</v>
      </c>
      <c r="I40" s="9">
        <f t="shared" si="6"/>
        <v>1738429026.6689146</v>
      </c>
      <c r="J40" s="9">
        <f t="shared" si="6"/>
        <v>1788932297.8489819</v>
      </c>
      <c r="K40" s="9">
        <f t="shared" si="6"/>
        <v>1840936201.6244516</v>
      </c>
      <c r="L40" s="9">
        <f t="shared" si="6"/>
        <v>1894491853.7231853</v>
      </c>
      <c r="M40" s="9">
        <f t="shared" si="6"/>
        <v>1949651266.1148806</v>
      </c>
      <c r="N40" s="9">
        <f t="shared" si="6"/>
        <v>2006463240.758327</v>
      </c>
      <c r="O40" s="9">
        <f t="shared" si="6"/>
        <v>2064976909.603077</v>
      </c>
      <c r="P40" s="9">
        <f t="shared" si="6"/>
        <v>2125244811.954977</v>
      </c>
      <c r="Q40" s="9">
        <f t="shared" si="6"/>
        <v>2187319546.5818458</v>
      </c>
      <c r="R40" s="9">
        <f t="shared" si="6"/>
        <v>2251255289.5368376</v>
      </c>
      <c r="S40" s="9">
        <f t="shared" si="6"/>
        <v>2317107841.4607406</v>
      </c>
      <c r="T40" s="9">
        <f t="shared" si="6"/>
        <v>2384434676.3029475</v>
      </c>
      <c r="U40" s="9">
        <f t="shared" si="6"/>
        <v>2454794991.5036616</v>
      </c>
    </row>
    <row r="41" spans="6:21" ht="12.75">
      <c r="F41" s="9"/>
      <c r="G41" s="9"/>
      <c r="H41" s="9"/>
      <c r="I41" s="9"/>
      <c r="J41" s="9"/>
      <c r="K41" s="9"/>
      <c r="L41" s="9"/>
      <c r="M41" s="9"/>
      <c r="N41" s="9"/>
      <c r="O41" s="9"/>
      <c r="P41" s="9"/>
      <c r="Q41" s="9"/>
      <c r="R41" s="9"/>
      <c r="S41" s="9"/>
      <c r="T41" s="9"/>
      <c r="U41" s="9"/>
    </row>
    <row r="42" spans="1:21" ht="15">
      <c r="A42" s="15" t="s">
        <v>105</v>
      </c>
      <c r="B42" s="156">
        <f>IRR(B40:U40,0.1)</f>
        <v>0.1519999999999999</v>
      </c>
      <c r="C42" s="9"/>
      <c r="D42" s="9"/>
      <c r="E42" s="9"/>
      <c r="F42" s="9"/>
      <c r="G42" s="9"/>
      <c r="H42" s="9"/>
      <c r="I42" s="9"/>
      <c r="J42" s="9"/>
      <c r="K42" s="9"/>
      <c r="L42" s="9"/>
      <c r="M42" s="9"/>
      <c r="N42" s="9"/>
      <c r="O42" s="9"/>
      <c r="P42" s="9"/>
      <c r="Q42" s="9"/>
      <c r="R42" s="9"/>
      <c r="S42" s="9"/>
      <c r="T42" s="9"/>
      <c r="U42" s="9"/>
    </row>
    <row r="43" spans="1:21" ht="15">
      <c r="A43" s="15"/>
      <c r="B43" s="156"/>
      <c r="C43" s="9"/>
      <c r="D43" s="9"/>
      <c r="E43" s="9"/>
      <c r="F43" s="9"/>
      <c r="G43" s="9"/>
      <c r="H43" s="9"/>
      <c r="I43" s="9"/>
      <c r="J43" s="9"/>
      <c r="K43" s="9"/>
      <c r="L43" s="9"/>
      <c r="M43" s="9"/>
      <c r="N43" s="9"/>
      <c r="O43" s="9"/>
      <c r="P43" s="9"/>
      <c r="Q43" s="9"/>
      <c r="R43" s="9"/>
      <c r="S43" s="9"/>
      <c r="T43" s="9"/>
      <c r="U43" s="9"/>
    </row>
    <row r="44" spans="1:4" ht="15">
      <c r="A44" s="15" t="s">
        <v>140</v>
      </c>
      <c r="B44" s="2">
        <v>970</v>
      </c>
      <c r="C44" s="9"/>
      <c r="D44" s="9"/>
    </row>
    <row r="45" spans="1:4" ht="15">
      <c r="A45" s="15" t="s">
        <v>154</v>
      </c>
      <c r="B45" s="21">
        <f>E39/B44/B7</f>
        <v>39688.116263627555</v>
      </c>
      <c r="C45" s="9"/>
      <c r="D45" s="9"/>
    </row>
    <row r="46" spans="1:4" ht="15">
      <c r="A46" s="15" t="s">
        <v>334</v>
      </c>
      <c r="B46" s="2">
        <f>B45/485</f>
        <v>81.83116755387125</v>
      </c>
      <c r="C46" s="9"/>
      <c r="D46" s="9"/>
    </row>
    <row r="47" spans="1:2" ht="15">
      <c r="A47" s="15" t="s">
        <v>81</v>
      </c>
      <c r="B47" s="2">
        <v>289.5780115175572</v>
      </c>
    </row>
    <row r="49" spans="1:5" ht="27" customHeight="1">
      <c r="A49" s="19" t="s">
        <v>72</v>
      </c>
      <c r="B49" s="198" t="s">
        <v>91</v>
      </c>
      <c r="C49" s="199"/>
      <c r="D49" s="199"/>
      <c r="E49" s="199"/>
    </row>
    <row r="50" spans="2:5" ht="12.75">
      <c r="B50" s="18" t="s">
        <v>38</v>
      </c>
      <c r="C50" s="18" t="s">
        <v>39</v>
      </c>
      <c r="D50" s="18" t="s">
        <v>40</v>
      </c>
      <c r="E50" s="18" t="s">
        <v>41</v>
      </c>
    </row>
    <row r="51" spans="1:6" ht="15">
      <c r="A51" s="15" t="s">
        <v>73</v>
      </c>
      <c r="B51" s="155">
        <v>0.335</v>
      </c>
      <c r="C51" s="155">
        <v>0.2686</v>
      </c>
      <c r="D51" s="155">
        <v>0.2894</v>
      </c>
      <c r="E51" s="155">
        <v>0.10699999999999998</v>
      </c>
      <c r="F51" s="13" t="s">
        <v>107</v>
      </c>
    </row>
    <row r="52" spans="1:6" ht="12.75">
      <c r="A52" s="19" t="s">
        <v>74</v>
      </c>
      <c r="B52" s="3">
        <v>0.46161417322834647</v>
      </c>
      <c r="C52" s="3">
        <v>0.3701181102362205</v>
      </c>
      <c r="D52" s="3">
        <v>0.17</v>
      </c>
      <c r="E52" s="3">
        <v>-0.0017322834645669971</v>
      </c>
      <c r="F52" s="13" t="s">
        <v>108</v>
      </c>
    </row>
    <row r="54" spans="1:2" ht="12.75">
      <c r="A54" s="19" t="s">
        <v>75</v>
      </c>
      <c r="B54" s="155">
        <v>0.65</v>
      </c>
    </row>
    <row r="55" spans="1:2" ht="12.75">
      <c r="A55" s="19"/>
      <c r="B55" s="155"/>
    </row>
    <row r="56" spans="1:5" ht="27" customHeight="1">
      <c r="A56" s="19"/>
      <c r="B56" s="198" t="s">
        <v>91</v>
      </c>
      <c r="C56" s="199"/>
      <c r="D56" s="199"/>
      <c r="E56" s="199"/>
    </row>
    <row r="57" spans="1:5" ht="12.75">
      <c r="A57" s="19" t="s">
        <v>76</v>
      </c>
      <c r="B57" s="18" t="s">
        <v>38</v>
      </c>
      <c r="C57" s="18" t="s">
        <v>39</v>
      </c>
      <c r="D57" s="18" t="s">
        <v>40</v>
      </c>
      <c r="E57" s="18" t="s">
        <v>41</v>
      </c>
    </row>
    <row r="58" spans="1:5" ht="12.75">
      <c r="A58" s="19" t="s">
        <v>77</v>
      </c>
      <c r="B58" s="3">
        <f>$B54*B52+(1-$B54)*B51</f>
        <v>0.4172992125984252</v>
      </c>
      <c r="C58" s="3">
        <f>$B54*C52+(1-$B54)*C51</f>
        <v>0.33458677165354334</v>
      </c>
      <c r="D58" s="3">
        <f>$B54*D52+(1-$B54)*D51</f>
        <v>0.21179</v>
      </c>
      <c r="E58" s="3">
        <f>$B54*E52+(1-$B54)*E51</f>
        <v>0.036324015748031444</v>
      </c>
    </row>
    <row r="60" spans="1:2" ht="12.75">
      <c r="A60" s="19" t="s">
        <v>80</v>
      </c>
      <c r="B60" s="9">
        <f>NPV(0.1,B39:U39)+NPV(0.1,B38:U38)</f>
        <v>14787227290.18874</v>
      </c>
    </row>
    <row r="61" spans="1:2" ht="12.75">
      <c r="A61" s="19" t="s">
        <v>82</v>
      </c>
      <c r="B61" s="9">
        <f>B60/PPP_exrate</f>
        <v>51064744.91172541</v>
      </c>
    </row>
    <row r="63" spans="1:3" ht="12.75">
      <c r="A63" s="19" t="s">
        <v>109</v>
      </c>
      <c r="B63">
        <v>55000</v>
      </c>
      <c r="C63" s="13" t="s">
        <v>85</v>
      </c>
    </row>
    <row r="64" spans="1:2" ht="12.75">
      <c r="A64" s="19" t="s">
        <v>88</v>
      </c>
      <c r="B64">
        <v>578050</v>
      </c>
    </row>
    <row r="65" spans="1:2" ht="12.75">
      <c r="A65" s="19" t="s">
        <v>110</v>
      </c>
      <c r="B65" s="2">
        <f>B64/B7</f>
        <v>14936.692506459947</v>
      </c>
    </row>
    <row r="66" spans="1:2" ht="12.75">
      <c r="A66" s="19" t="s">
        <v>111</v>
      </c>
      <c r="B66" s="2">
        <f>B65/10</f>
        <v>1493.6692506459947</v>
      </c>
    </row>
    <row r="67" spans="1:2" ht="12.75">
      <c r="A67" s="19" t="s">
        <v>112</v>
      </c>
      <c r="B67" s="2">
        <f>B66/11</f>
        <v>135.78811369509043</v>
      </c>
    </row>
    <row r="68" spans="1:2" ht="12.75">
      <c r="A68" s="19" t="s">
        <v>86</v>
      </c>
      <c r="B68">
        <f>B63*(1-B54)</f>
        <v>19250</v>
      </c>
    </row>
    <row r="69" spans="1:2" ht="12.75">
      <c r="A69" s="20" t="s">
        <v>87</v>
      </c>
      <c r="B69" s="1">
        <f>B68*11</f>
        <v>211750</v>
      </c>
    </row>
    <row r="70" spans="1:2" ht="12.75">
      <c r="A70" s="19" t="s">
        <v>89</v>
      </c>
      <c r="B70">
        <f>B63+B68</f>
        <v>74250</v>
      </c>
    </row>
    <row r="71" spans="1:2" ht="12.75">
      <c r="A71" s="19" t="s">
        <v>90</v>
      </c>
      <c r="B71">
        <f>B64+B69</f>
        <v>789800</v>
      </c>
    </row>
    <row r="73" spans="1:2" ht="12.75">
      <c r="A73" s="19" t="s">
        <v>83</v>
      </c>
      <c r="B73" s="21">
        <f>B60/B71</f>
        <v>18722.749164584377</v>
      </c>
    </row>
    <row r="74" spans="1:2" ht="12.75">
      <c r="A74" s="19" t="s">
        <v>84</v>
      </c>
      <c r="B74" s="2">
        <f>B61/B71</f>
        <v>64.6552860366237</v>
      </c>
    </row>
    <row r="76" spans="2:5" ht="27" customHeight="1">
      <c r="B76" s="198" t="s">
        <v>91</v>
      </c>
      <c r="C76" s="199"/>
      <c r="D76" s="199"/>
      <c r="E76" s="199"/>
    </row>
    <row r="77" spans="2:5" ht="12.75">
      <c r="B77" s="22" t="s">
        <v>38</v>
      </c>
      <c r="C77" s="22" t="s">
        <v>63</v>
      </c>
      <c r="D77" s="22" t="s">
        <v>40</v>
      </c>
      <c r="E77" s="22" t="s">
        <v>41</v>
      </c>
    </row>
    <row r="78" spans="1:5" ht="12.75">
      <c r="A78" s="19" t="s">
        <v>92</v>
      </c>
      <c r="B78" s="2">
        <f>$B71*B58</f>
        <v>329582.9181102362</v>
      </c>
      <c r="C78" s="2">
        <f>B78+$B71*C58</f>
        <v>593839.5503622047</v>
      </c>
      <c r="D78" s="2">
        <f>$B71*D58</f>
        <v>167271.742</v>
      </c>
      <c r="E78" s="2">
        <f>$B71*E58</f>
        <v>28688.707637795233</v>
      </c>
    </row>
    <row r="79" spans="1:5" ht="12.75">
      <c r="A79" s="19" t="s">
        <v>94</v>
      </c>
      <c r="B79" s="9">
        <f>$B61*B58</f>
        <v>21309277.843202453</v>
      </c>
      <c r="C79" s="9">
        <f>B79+$B61*C58</f>
        <v>38394865.98852836</v>
      </c>
      <c r="D79" s="9">
        <f>$B61*D58</f>
        <v>10815002.324854326</v>
      </c>
      <c r="E79" s="9">
        <f>$B61*E58</f>
        <v>1854876.5983427223</v>
      </c>
    </row>
    <row r="80" spans="1:5" ht="12.75">
      <c r="A80" s="19" t="s">
        <v>115</v>
      </c>
      <c r="B80" s="2">
        <f>B79/B78</f>
        <v>64.65528603662372</v>
      </c>
      <c r="C80" s="2">
        <f>C79/C78</f>
        <v>64.65528603662372</v>
      </c>
      <c r="D80" s="2">
        <f>D79/D78</f>
        <v>64.65528603662372</v>
      </c>
      <c r="E80" s="2">
        <f>E79/E78</f>
        <v>64.65528603662372</v>
      </c>
    </row>
    <row r="82" spans="1:5" ht="27" customHeight="1">
      <c r="A82" s="19" t="s">
        <v>97</v>
      </c>
      <c r="B82" s="198" t="s">
        <v>91</v>
      </c>
      <c r="C82" s="199"/>
      <c r="D82" s="199"/>
      <c r="E82" s="199"/>
    </row>
    <row r="83" spans="2:5" ht="12.75">
      <c r="B83" s="5" t="s">
        <v>38</v>
      </c>
      <c r="C83" s="5" t="s">
        <v>39</v>
      </c>
      <c r="D83" s="6" t="s">
        <v>40</v>
      </c>
      <c r="E83" s="5" t="s">
        <v>41</v>
      </c>
    </row>
    <row r="84" spans="1:5" ht="12.75">
      <c r="A84" t="s">
        <v>95</v>
      </c>
      <c r="B84" s="5">
        <v>38</v>
      </c>
      <c r="C84" s="2">
        <v>49.427083333333336</v>
      </c>
      <c r="D84" s="2">
        <v>91.25</v>
      </c>
      <c r="E84" s="8">
        <v>135.0106113707165</v>
      </c>
    </row>
    <row r="85" spans="1:5" ht="12.75">
      <c r="A85" t="s">
        <v>96</v>
      </c>
      <c r="B85" s="2">
        <v>456</v>
      </c>
      <c r="C85" s="2">
        <v>593.125</v>
      </c>
      <c r="D85" s="2">
        <v>1095</v>
      </c>
      <c r="E85" s="2">
        <v>1620.127336448598</v>
      </c>
    </row>
    <row r="87" spans="1:22" ht="25.5">
      <c r="A87" s="13" t="s">
        <v>99</v>
      </c>
      <c r="B87" s="16" t="s">
        <v>98</v>
      </c>
      <c r="C87" s="1">
        <v>1</v>
      </c>
      <c r="D87" s="1">
        <v>2</v>
      </c>
      <c r="E87" s="1">
        <v>3</v>
      </c>
      <c r="F87" s="1">
        <v>4</v>
      </c>
      <c r="G87" s="1">
        <v>5</v>
      </c>
      <c r="H87" s="1">
        <v>6</v>
      </c>
      <c r="I87" s="1">
        <v>7</v>
      </c>
      <c r="J87" s="1">
        <v>8</v>
      </c>
      <c r="K87" s="1">
        <v>9</v>
      </c>
      <c r="L87" s="1">
        <v>10</v>
      </c>
      <c r="M87" s="1">
        <v>11</v>
      </c>
      <c r="N87" s="1">
        <v>12</v>
      </c>
      <c r="O87" s="1">
        <v>13</v>
      </c>
      <c r="P87" s="1">
        <v>14</v>
      </c>
      <c r="Q87" s="1">
        <v>15</v>
      </c>
      <c r="R87" s="1">
        <v>16</v>
      </c>
      <c r="S87" s="1">
        <v>17</v>
      </c>
      <c r="T87" s="1">
        <v>18</v>
      </c>
      <c r="U87" s="1">
        <v>19</v>
      </c>
      <c r="V87" s="1">
        <v>20</v>
      </c>
    </row>
    <row r="88" spans="1:22" ht="12.75">
      <c r="A88" s="5" t="s">
        <v>38</v>
      </c>
      <c r="B88" s="23">
        <f>NPV(0.1,C88:V88)</f>
        <v>3882.185056209903</v>
      </c>
      <c r="C88" s="2">
        <f>B85</f>
        <v>456</v>
      </c>
      <c r="D88" s="2">
        <f aca="true" t="shared" si="7" ref="D88:V88">C88</f>
        <v>456</v>
      </c>
      <c r="E88" s="2">
        <f t="shared" si="7"/>
        <v>456</v>
      </c>
      <c r="F88" s="2">
        <f t="shared" si="7"/>
        <v>456</v>
      </c>
      <c r="G88" s="2">
        <f t="shared" si="7"/>
        <v>456</v>
      </c>
      <c r="H88" s="2">
        <f t="shared" si="7"/>
        <v>456</v>
      </c>
      <c r="I88" s="2">
        <f t="shared" si="7"/>
        <v>456</v>
      </c>
      <c r="J88" s="2">
        <f t="shared" si="7"/>
        <v>456</v>
      </c>
      <c r="K88" s="2">
        <f t="shared" si="7"/>
        <v>456</v>
      </c>
      <c r="L88" s="2">
        <f t="shared" si="7"/>
        <v>456</v>
      </c>
      <c r="M88" s="2">
        <f t="shared" si="7"/>
        <v>456</v>
      </c>
      <c r="N88" s="2">
        <f t="shared" si="7"/>
        <v>456</v>
      </c>
      <c r="O88" s="2">
        <f t="shared" si="7"/>
        <v>456</v>
      </c>
      <c r="P88" s="2">
        <f t="shared" si="7"/>
        <v>456</v>
      </c>
      <c r="Q88" s="2">
        <f t="shared" si="7"/>
        <v>456</v>
      </c>
      <c r="R88" s="2">
        <f t="shared" si="7"/>
        <v>456</v>
      </c>
      <c r="S88" s="2">
        <f t="shared" si="7"/>
        <v>456</v>
      </c>
      <c r="T88" s="2">
        <f t="shared" si="7"/>
        <v>456</v>
      </c>
      <c r="U88" s="2">
        <f t="shared" si="7"/>
        <v>456</v>
      </c>
      <c r="V88" s="2">
        <f t="shared" si="7"/>
        <v>456</v>
      </c>
    </row>
    <row r="89" spans="1:22" ht="12.75">
      <c r="A89" s="5" t="s">
        <v>39</v>
      </c>
      <c r="B89" s="23">
        <f>NPV(0.1,C89:V89)</f>
        <v>5049.607481281794</v>
      </c>
      <c r="C89" s="2">
        <f>C85</f>
        <v>593.125</v>
      </c>
      <c r="D89" s="2">
        <f aca="true" t="shared" si="8" ref="D89:V89">C89</f>
        <v>593.125</v>
      </c>
      <c r="E89" s="2">
        <f t="shared" si="8"/>
        <v>593.125</v>
      </c>
      <c r="F89" s="2">
        <f t="shared" si="8"/>
        <v>593.125</v>
      </c>
      <c r="G89" s="2">
        <f t="shared" si="8"/>
        <v>593.125</v>
      </c>
      <c r="H89" s="2">
        <f t="shared" si="8"/>
        <v>593.125</v>
      </c>
      <c r="I89" s="2">
        <f t="shared" si="8"/>
        <v>593.125</v>
      </c>
      <c r="J89" s="2">
        <f t="shared" si="8"/>
        <v>593.125</v>
      </c>
      <c r="K89" s="2">
        <f t="shared" si="8"/>
        <v>593.125</v>
      </c>
      <c r="L89" s="2">
        <f t="shared" si="8"/>
        <v>593.125</v>
      </c>
      <c r="M89" s="2">
        <f t="shared" si="8"/>
        <v>593.125</v>
      </c>
      <c r="N89" s="2">
        <f t="shared" si="8"/>
        <v>593.125</v>
      </c>
      <c r="O89" s="2">
        <f t="shared" si="8"/>
        <v>593.125</v>
      </c>
      <c r="P89" s="2">
        <f t="shared" si="8"/>
        <v>593.125</v>
      </c>
      <c r="Q89" s="2">
        <f t="shared" si="8"/>
        <v>593.125</v>
      </c>
      <c r="R89" s="2">
        <f t="shared" si="8"/>
        <v>593.125</v>
      </c>
      <c r="S89" s="2">
        <f t="shared" si="8"/>
        <v>593.125</v>
      </c>
      <c r="T89" s="2">
        <f t="shared" si="8"/>
        <v>593.125</v>
      </c>
      <c r="U89" s="2">
        <f t="shared" si="8"/>
        <v>593.125</v>
      </c>
      <c r="V89" s="2">
        <f t="shared" si="8"/>
        <v>593.125</v>
      </c>
    </row>
    <row r="90" spans="1:22" ht="12.75">
      <c r="A90" s="6" t="s">
        <v>40</v>
      </c>
      <c r="B90" s="23">
        <f>NPV(0.1,C90:V90)</f>
        <v>9322.352273135617</v>
      </c>
      <c r="C90" s="2">
        <f>D85</f>
        <v>1095</v>
      </c>
      <c r="D90" s="2">
        <f aca="true" t="shared" si="9" ref="D90:V90">C90</f>
        <v>1095</v>
      </c>
      <c r="E90" s="2">
        <f t="shared" si="9"/>
        <v>1095</v>
      </c>
      <c r="F90" s="2">
        <f t="shared" si="9"/>
        <v>1095</v>
      </c>
      <c r="G90" s="2">
        <f t="shared" si="9"/>
        <v>1095</v>
      </c>
      <c r="H90" s="2">
        <f t="shared" si="9"/>
        <v>1095</v>
      </c>
      <c r="I90" s="2">
        <f t="shared" si="9"/>
        <v>1095</v>
      </c>
      <c r="J90" s="2">
        <f t="shared" si="9"/>
        <v>1095</v>
      </c>
      <c r="K90" s="2">
        <f t="shared" si="9"/>
        <v>1095</v>
      </c>
      <c r="L90" s="2">
        <f t="shared" si="9"/>
        <v>1095</v>
      </c>
      <c r="M90" s="2">
        <f t="shared" si="9"/>
        <v>1095</v>
      </c>
      <c r="N90" s="2">
        <f t="shared" si="9"/>
        <v>1095</v>
      </c>
      <c r="O90" s="2">
        <f t="shared" si="9"/>
        <v>1095</v>
      </c>
      <c r="P90" s="2">
        <f t="shared" si="9"/>
        <v>1095</v>
      </c>
      <c r="Q90" s="2">
        <f t="shared" si="9"/>
        <v>1095</v>
      </c>
      <c r="R90" s="2">
        <f t="shared" si="9"/>
        <v>1095</v>
      </c>
      <c r="S90" s="2">
        <f t="shared" si="9"/>
        <v>1095</v>
      </c>
      <c r="T90" s="2">
        <f t="shared" si="9"/>
        <v>1095</v>
      </c>
      <c r="U90" s="2">
        <f t="shared" si="9"/>
        <v>1095</v>
      </c>
      <c r="V90" s="2">
        <f t="shared" si="9"/>
        <v>1095</v>
      </c>
    </row>
    <row r="91" spans="1:22" ht="12.75">
      <c r="A91" s="5" t="s">
        <v>41</v>
      </c>
      <c r="B91" s="23">
        <f>NPV(0.1,C91:V91)</f>
        <v>13793.05731297785</v>
      </c>
      <c r="C91" s="2">
        <f>E85</f>
        <v>1620.127336448598</v>
      </c>
      <c r="D91" s="2">
        <f aca="true" t="shared" si="10" ref="D91:V91">C91</f>
        <v>1620.127336448598</v>
      </c>
      <c r="E91" s="2">
        <f t="shared" si="10"/>
        <v>1620.127336448598</v>
      </c>
      <c r="F91" s="2">
        <f t="shared" si="10"/>
        <v>1620.127336448598</v>
      </c>
      <c r="G91" s="2">
        <f t="shared" si="10"/>
        <v>1620.127336448598</v>
      </c>
      <c r="H91" s="2">
        <f t="shared" si="10"/>
        <v>1620.127336448598</v>
      </c>
      <c r="I91" s="2">
        <f t="shared" si="10"/>
        <v>1620.127336448598</v>
      </c>
      <c r="J91" s="2">
        <f t="shared" si="10"/>
        <v>1620.127336448598</v>
      </c>
      <c r="K91" s="2">
        <f t="shared" si="10"/>
        <v>1620.127336448598</v>
      </c>
      <c r="L91" s="2">
        <f t="shared" si="10"/>
        <v>1620.127336448598</v>
      </c>
      <c r="M91" s="2">
        <f t="shared" si="10"/>
        <v>1620.127336448598</v>
      </c>
      <c r="N91" s="2">
        <f t="shared" si="10"/>
        <v>1620.127336448598</v>
      </c>
      <c r="O91" s="2">
        <f t="shared" si="10"/>
        <v>1620.127336448598</v>
      </c>
      <c r="P91" s="2">
        <f t="shared" si="10"/>
        <v>1620.127336448598</v>
      </c>
      <c r="Q91" s="2">
        <f t="shared" si="10"/>
        <v>1620.127336448598</v>
      </c>
      <c r="R91" s="2">
        <f t="shared" si="10"/>
        <v>1620.127336448598</v>
      </c>
      <c r="S91" s="2">
        <f t="shared" si="10"/>
        <v>1620.127336448598</v>
      </c>
      <c r="T91" s="2">
        <f t="shared" si="10"/>
        <v>1620.127336448598</v>
      </c>
      <c r="U91" s="2">
        <f t="shared" si="10"/>
        <v>1620.127336448598</v>
      </c>
      <c r="V91" s="2">
        <f t="shared" si="10"/>
        <v>1620.127336448598</v>
      </c>
    </row>
    <row r="93" spans="2:5" ht="27" customHeight="1">
      <c r="B93" s="198" t="s">
        <v>91</v>
      </c>
      <c r="C93" s="199"/>
      <c r="D93" s="199"/>
      <c r="E93" s="199"/>
    </row>
    <row r="94" spans="2:5" ht="12.75">
      <c r="B94" s="22" t="s">
        <v>38</v>
      </c>
      <c r="C94" s="22" t="s">
        <v>63</v>
      </c>
      <c r="D94" s="22" t="s">
        <v>40</v>
      </c>
      <c r="E94" s="22" t="s">
        <v>41</v>
      </c>
    </row>
    <row r="95" spans="1:5" ht="12.75">
      <c r="A95" s="13" t="s">
        <v>101</v>
      </c>
      <c r="B95" s="9">
        <f>B88*B78</f>
        <v>1279501879.4696112</v>
      </c>
      <c r="C95" s="9">
        <f>B89*C78</f>
        <v>2998656636.1900053</v>
      </c>
      <c r="D95" s="9">
        <f>B90*D78</f>
        <v>1559366104.2650545</v>
      </c>
      <c r="E95" s="9">
        <f>B91*E78</f>
        <v>395704988.683375</v>
      </c>
    </row>
    <row r="96" spans="1:5" ht="12.75">
      <c r="A96" s="13"/>
      <c r="B96" s="9"/>
      <c r="C96" s="9"/>
      <c r="D96" s="9"/>
      <c r="E96" s="9"/>
    </row>
    <row r="97" spans="1:5" ht="12.75">
      <c r="A97" s="19" t="s">
        <v>100</v>
      </c>
      <c r="B97" s="155">
        <f>B79/B95</f>
        <v>0.016654354468033872</v>
      </c>
      <c r="C97" s="155">
        <f>C79/C95</f>
        <v>0.012804022149502124</v>
      </c>
      <c r="D97" s="155">
        <f>D79/D95</f>
        <v>0.006935511997646986</v>
      </c>
      <c r="E97" s="155">
        <f>E79/E95</f>
        <v>0.0046875239165278994</v>
      </c>
    </row>
    <row r="99" spans="1:2" ht="12.75">
      <c r="A99" s="19" t="s">
        <v>106</v>
      </c>
      <c r="B99" s="9">
        <f>NPV(0.1,B36:F36)+NPV(0.1,B37:F37)</f>
        <v>7851640418.668669</v>
      </c>
    </row>
    <row r="100" spans="1:2" ht="12.75">
      <c r="A100" s="19" t="s">
        <v>333</v>
      </c>
      <c r="B100" s="9">
        <f>B99/485</f>
        <v>16188949.316842616</v>
      </c>
    </row>
    <row r="102" spans="2:5" ht="27" customHeight="1">
      <c r="B102" s="198" t="s">
        <v>91</v>
      </c>
      <c r="C102" s="199"/>
      <c r="D102" s="199"/>
      <c r="E102" s="199"/>
    </row>
    <row r="103" spans="2:5" ht="12.75">
      <c r="B103" s="22" t="s">
        <v>38</v>
      </c>
      <c r="C103" s="22" t="s">
        <v>63</v>
      </c>
      <c r="D103" s="22" t="s">
        <v>40</v>
      </c>
      <c r="E103" s="22" t="s">
        <v>41</v>
      </c>
    </row>
    <row r="104" spans="1:5" ht="12.75">
      <c r="A104" s="19" t="s">
        <v>93</v>
      </c>
      <c r="B104" s="154">
        <f>B79/$B100</f>
        <v>1.316285413348769</v>
      </c>
      <c r="C104" s="154">
        <f>C79/$B100</f>
        <v>2.371671270141245</v>
      </c>
      <c r="D104" s="154">
        <f>D79/$B100</f>
        <v>0.6680484392895494</v>
      </c>
      <c r="E104" s="154">
        <f>E79/$B100</f>
        <v>0.11457671291940798</v>
      </c>
    </row>
  </sheetData>
  <sheetProtection/>
  <mergeCells count="6">
    <mergeCell ref="B93:E93"/>
    <mergeCell ref="B102:E102"/>
    <mergeCell ref="B49:E49"/>
    <mergeCell ref="B56:E56"/>
    <mergeCell ref="B76:E76"/>
    <mergeCell ref="B82:E82"/>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V21"/>
  <sheetViews>
    <sheetView zoomScalePageLayoutView="0" workbookViewId="0" topLeftCell="A12">
      <selection activeCell="B25" sqref="B25"/>
    </sheetView>
  </sheetViews>
  <sheetFormatPr defaultColWidth="9.140625" defaultRowHeight="12.75"/>
  <cols>
    <col min="1" max="1" width="33.28125" style="0" customWidth="1"/>
  </cols>
  <sheetData>
    <row r="1" ht="12.75">
      <c r="A1" t="s">
        <v>0</v>
      </c>
    </row>
    <row r="2" ht="12.75">
      <c r="A2" t="s">
        <v>2</v>
      </c>
    </row>
    <row r="3" ht="12.75">
      <c r="A3" t="s">
        <v>156</v>
      </c>
    </row>
    <row r="4" ht="12.75">
      <c r="A4" s="13" t="s">
        <v>128</v>
      </c>
    </row>
    <row r="5" spans="1:2" ht="12.75">
      <c r="A5" s="13" t="s">
        <v>155</v>
      </c>
      <c r="B5">
        <v>38.7</v>
      </c>
    </row>
    <row r="6" ht="12.75">
      <c r="A6" s="13" t="s">
        <v>157</v>
      </c>
    </row>
    <row r="9" spans="1:2" ht="12.75">
      <c r="A9" s="13" t="s">
        <v>127</v>
      </c>
      <c r="B9" s="13" t="s">
        <v>124</v>
      </c>
    </row>
    <row r="10" spans="1:22" ht="12.75">
      <c r="A10" s="13" t="s">
        <v>132</v>
      </c>
      <c r="B10" s="1">
        <v>2010</v>
      </c>
      <c r="C10" s="1">
        <v>2011</v>
      </c>
      <c r="D10" s="1">
        <v>2012</v>
      </c>
      <c r="E10" s="1">
        <v>2013</v>
      </c>
      <c r="F10" s="1">
        <v>2014</v>
      </c>
      <c r="G10" s="1">
        <v>2015</v>
      </c>
      <c r="H10" s="1">
        <v>2016</v>
      </c>
      <c r="I10" s="1">
        <v>2017</v>
      </c>
      <c r="J10" s="1">
        <v>2018</v>
      </c>
      <c r="K10" s="1">
        <v>2019</v>
      </c>
      <c r="L10" s="1">
        <v>2020</v>
      </c>
      <c r="M10" s="1">
        <v>2021</v>
      </c>
      <c r="N10" s="1">
        <v>2022</v>
      </c>
      <c r="O10" s="1">
        <v>2023</v>
      </c>
      <c r="P10" s="1">
        <v>2024</v>
      </c>
      <c r="Q10" s="1">
        <v>2025</v>
      </c>
      <c r="R10" s="1">
        <v>2026</v>
      </c>
      <c r="S10" s="1">
        <v>2027</v>
      </c>
      <c r="T10" s="1">
        <v>2028</v>
      </c>
      <c r="U10" s="1">
        <v>2029</v>
      </c>
      <c r="V10" s="1">
        <v>2030</v>
      </c>
    </row>
    <row r="11" spans="1:22" ht="12.75">
      <c r="A11" t="s">
        <v>126</v>
      </c>
      <c r="B11" s="7">
        <f>B18</f>
        <v>104831140</v>
      </c>
      <c r="C11" s="7">
        <v>48375000</v>
      </c>
      <c r="D11" s="7">
        <v>48375000</v>
      </c>
      <c r="E11" s="7">
        <v>48375000</v>
      </c>
      <c r="F11" s="7">
        <v>48375000</v>
      </c>
      <c r="G11" s="7">
        <v>48375000</v>
      </c>
      <c r="H11" s="7">
        <v>48375000</v>
      </c>
      <c r="I11" s="7">
        <v>48375000</v>
      </c>
      <c r="J11" s="7">
        <v>48375000</v>
      </c>
      <c r="K11" s="7">
        <v>48375000</v>
      </c>
      <c r="L11" s="7">
        <v>48375000</v>
      </c>
      <c r="M11" s="7">
        <v>48375000</v>
      </c>
      <c r="N11" s="7">
        <v>48375000</v>
      </c>
      <c r="O11" s="7">
        <v>48375000</v>
      </c>
      <c r="P11" s="7">
        <v>48375000</v>
      </c>
      <c r="Q11" s="7">
        <v>48375000</v>
      </c>
      <c r="R11" s="7">
        <v>48375000</v>
      </c>
      <c r="S11" s="7">
        <v>48375000</v>
      </c>
      <c r="T11" s="7">
        <f>48375000+500000</f>
        <v>48875000</v>
      </c>
      <c r="U11" s="7">
        <v>48375000</v>
      </c>
      <c r="V11" s="7">
        <v>48375000</v>
      </c>
    </row>
    <row r="12" spans="1:22" ht="12.75">
      <c r="A12" t="s">
        <v>125</v>
      </c>
      <c r="B12" s="27">
        <v>5363373568</v>
      </c>
      <c r="C12" s="27">
        <v>5363373568</v>
      </c>
      <c r="D12" s="1"/>
      <c r="E12" s="1"/>
      <c r="F12" s="1"/>
      <c r="G12" s="1"/>
      <c r="H12" s="1"/>
      <c r="I12" s="1"/>
      <c r="J12" s="1"/>
      <c r="K12" s="1"/>
      <c r="L12" s="1"/>
      <c r="M12" s="1"/>
      <c r="N12" s="1"/>
      <c r="O12" s="1"/>
      <c r="P12" s="1"/>
      <c r="Q12" s="1"/>
      <c r="R12" s="1"/>
      <c r="S12" s="1"/>
      <c r="T12" s="1"/>
      <c r="U12" s="1"/>
      <c r="V12" s="1"/>
    </row>
    <row r="13" spans="1:22" ht="12.75">
      <c r="A13" s="13" t="s">
        <v>134</v>
      </c>
      <c r="B13" s="7">
        <f aca="true" t="shared" si="0" ref="B13:V13">B11+B12</f>
        <v>5468204708</v>
      </c>
      <c r="C13" s="7">
        <f t="shared" si="0"/>
        <v>5411748568</v>
      </c>
      <c r="D13" s="7">
        <f t="shared" si="0"/>
        <v>48375000</v>
      </c>
      <c r="E13" s="7">
        <f t="shared" si="0"/>
        <v>48375000</v>
      </c>
      <c r="F13" s="7">
        <f t="shared" si="0"/>
        <v>48375000</v>
      </c>
      <c r="G13" s="7">
        <f t="shared" si="0"/>
        <v>48375000</v>
      </c>
      <c r="H13" s="7">
        <f t="shared" si="0"/>
        <v>48375000</v>
      </c>
      <c r="I13" s="7">
        <f t="shared" si="0"/>
        <v>48375000</v>
      </c>
      <c r="J13" s="7">
        <f t="shared" si="0"/>
        <v>48375000</v>
      </c>
      <c r="K13" s="7">
        <f t="shared" si="0"/>
        <v>48375000</v>
      </c>
      <c r="L13" s="7">
        <f t="shared" si="0"/>
        <v>48375000</v>
      </c>
      <c r="M13" s="7">
        <f t="shared" si="0"/>
        <v>48375000</v>
      </c>
      <c r="N13" s="7">
        <f t="shared" si="0"/>
        <v>48375000</v>
      </c>
      <c r="O13" s="7">
        <f t="shared" si="0"/>
        <v>48375000</v>
      </c>
      <c r="P13" s="7">
        <f t="shared" si="0"/>
        <v>48375000</v>
      </c>
      <c r="Q13" s="7">
        <f t="shared" si="0"/>
        <v>48375000</v>
      </c>
      <c r="R13" s="7">
        <f t="shared" si="0"/>
        <v>48375000</v>
      </c>
      <c r="S13" s="7">
        <f t="shared" si="0"/>
        <v>48375000</v>
      </c>
      <c r="T13" s="7">
        <f t="shared" si="0"/>
        <v>48875000</v>
      </c>
      <c r="U13" s="7">
        <f t="shared" si="0"/>
        <v>48375000</v>
      </c>
      <c r="V13" s="7">
        <f t="shared" si="0"/>
        <v>48375000</v>
      </c>
    </row>
    <row r="15" ht="12.75">
      <c r="A15" s="13" t="s">
        <v>133</v>
      </c>
    </row>
    <row r="16" spans="1:22" ht="12.75">
      <c r="A16" s="26" t="s">
        <v>130</v>
      </c>
      <c r="B16" s="7">
        <v>102748504</v>
      </c>
      <c r="C16" s="7">
        <v>102748504</v>
      </c>
      <c r="D16" s="7">
        <v>102748504</v>
      </c>
      <c r="E16" s="7">
        <v>102748504</v>
      </c>
      <c r="F16" s="7">
        <v>102748504</v>
      </c>
      <c r="G16" s="7">
        <v>102748504</v>
      </c>
      <c r="H16" s="7">
        <v>102748504</v>
      </c>
      <c r="I16" s="7">
        <v>102748504</v>
      </c>
      <c r="J16" s="7">
        <v>102748504</v>
      </c>
      <c r="K16" s="7">
        <v>102748504</v>
      </c>
      <c r="L16" s="7">
        <v>102748504</v>
      </c>
      <c r="M16" s="7">
        <v>102748504</v>
      </c>
      <c r="N16" s="7">
        <v>102748504</v>
      </c>
      <c r="O16" s="7">
        <v>102748504</v>
      </c>
      <c r="P16" s="7">
        <v>102748504</v>
      </c>
      <c r="Q16" s="7">
        <v>102748504</v>
      </c>
      <c r="R16" s="7">
        <v>102748504</v>
      </c>
      <c r="S16" s="7">
        <v>102748504</v>
      </c>
      <c r="T16" s="7">
        <v>102748504</v>
      </c>
      <c r="U16" s="7">
        <v>102748504</v>
      </c>
      <c r="V16" s="7">
        <v>102748504</v>
      </c>
    </row>
    <row r="17" spans="1:22" ht="12.75">
      <c r="A17" s="26" t="s">
        <v>129</v>
      </c>
      <c r="B17" s="27">
        <v>2082636</v>
      </c>
      <c r="C17" s="27">
        <v>3052529</v>
      </c>
      <c r="D17" s="27">
        <v>4589405</v>
      </c>
      <c r="E17" s="27">
        <v>5326617</v>
      </c>
      <c r="F17" s="27">
        <v>5915821</v>
      </c>
      <c r="G17" s="27">
        <v>6371753</v>
      </c>
      <c r="H17" s="27">
        <v>6991260</v>
      </c>
      <c r="I17" s="27">
        <v>7213750</v>
      </c>
      <c r="J17" s="27">
        <v>7411768</v>
      </c>
      <c r="K17" s="27">
        <v>7601261</v>
      </c>
      <c r="L17" s="27">
        <v>7788070</v>
      </c>
      <c r="M17" s="27">
        <v>7977574</v>
      </c>
      <c r="N17" s="27">
        <v>8170543</v>
      </c>
      <c r="O17" s="27">
        <f aca="true" t="shared" si="1" ref="O17:V17">N17*1.024</f>
        <v>8366636.032000001</v>
      </c>
      <c r="P17" s="27">
        <f t="shared" si="1"/>
        <v>8567435.296768</v>
      </c>
      <c r="Q17" s="27">
        <f t="shared" si="1"/>
        <v>8773053.743890433</v>
      </c>
      <c r="R17" s="27">
        <f t="shared" si="1"/>
        <v>8983607.033743802</v>
      </c>
      <c r="S17" s="27">
        <f t="shared" si="1"/>
        <v>9199213.602553654</v>
      </c>
      <c r="T17" s="27">
        <f t="shared" si="1"/>
        <v>9419994.729014942</v>
      </c>
      <c r="U17" s="27">
        <f t="shared" si="1"/>
        <v>9646074.602511302</v>
      </c>
      <c r="V17" s="27">
        <f t="shared" si="1"/>
        <v>9877580.392971573</v>
      </c>
    </row>
    <row r="18" spans="1:22" ht="12.75">
      <c r="A18" s="13" t="s">
        <v>134</v>
      </c>
      <c r="B18" s="7">
        <f aca="true" t="shared" si="2" ref="B18:V18">B16+B17</f>
        <v>104831140</v>
      </c>
      <c r="C18" s="7">
        <f t="shared" si="2"/>
        <v>105801033</v>
      </c>
      <c r="D18" s="7">
        <f t="shared" si="2"/>
        <v>107337909</v>
      </c>
      <c r="E18" s="7">
        <f t="shared" si="2"/>
        <v>108075121</v>
      </c>
      <c r="F18" s="7">
        <f t="shared" si="2"/>
        <v>108664325</v>
      </c>
      <c r="G18" s="7">
        <f t="shared" si="2"/>
        <v>109120257</v>
      </c>
      <c r="H18" s="7">
        <f t="shared" si="2"/>
        <v>109739764</v>
      </c>
      <c r="I18" s="7">
        <f t="shared" si="2"/>
        <v>109962254</v>
      </c>
      <c r="J18" s="7">
        <f t="shared" si="2"/>
        <v>110160272</v>
      </c>
      <c r="K18" s="7">
        <f t="shared" si="2"/>
        <v>110349765</v>
      </c>
      <c r="L18" s="7">
        <f t="shared" si="2"/>
        <v>110536574</v>
      </c>
      <c r="M18" s="7">
        <f t="shared" si="2"/>
        <v>110726078</v>
      </c>
      <c r="N18" s="7">
        <f t="shared" si="2"/>
        <v>110919047</v>
      </c>
      <c r="O18" s="7">
        <f t="shared" si="2"/>
        <v>111115140.032</v>
      </c>
      <c r="P18" s="7">
        <f t="shared" si="2"/>
        <v>111315939.296768</v>
      </c>
      <c r="Q18" s="7">
        <f t="shared" si="2"/>
        <v>111521557.74389043</v>
      </c>
      <c r="R18" s="7">
        <f t="shared" si="2"/>
        <v>111732111.0337438</v>
      </c>
      <c r="S18" s="7">
        <f t="shared" si="2"/>
        <v>111947717.60255365</v>
      </c>
      <c r="T18" s="7">
        <f t="shared" si="2"/>
        <v>112168498.72901495</v>
      </c>
      <c r="U18" s="7">
        <f t="shared" si="2"/>
        <v>112394578.6025113</v>
      </c>
      <c r="V18" s="7">
        <f t="shared" si="2"/>
        <v>112626084.39297158</v>
      </c>
    </row>
    <row r="20" spans="1:22" ht="12.75">
      <c r="A20" s="13" t="s">
        <v>135</v>
      </c>
      <c r="B20" s="7">
        <f aca="true" t="shared" si="3" ref="B20:V20">B18-B11</f>
        <v>0</v>
      </c>
      <c r="C20" s="7">
        <f t="shared" si="3"/>
        <v>57426033</v>
      </c>
      <c r="D20" s="7">
        <f t="shared" si="3"/>
        <v>58962909</v>
      </c>
      <c r="E20" s="7">
        <f t="shared" si="3"/>
        <v>59700121</v>
      </c>
      <c r="F20" s="7">
        <f t="shared" si="3"/>
        <v>60289325</v>
      </c>
      <c r="G20" s="7">
        <f t="shared" si="3"/>
        <v>60745257</v>
      </c>
      <c r="H20" s="7">
        <f t="shared" si="3"/>
        <v>61364764</v>
      </c>
      <c r="I20" s="7">
        <f t="shared" si="3"/>
        <v>61587254</v>
      </c>
      <c r="J20" s="7">
        <f t="shared" si="3"/>
        <v>61785272</v>
      </c>
      <c r="K20" s="7">
        <f t="shared" si="3"/>
        <v>61974765</v>
      </c>
      <c r="L20" s="7">
        <f t="shared" si="3"/>
        <v>62161574</v>
      </c>
      <c r="M20" s="7">
        <f t="shared" si="3"/>
        <v>62351078</v>
      </c>
      <c r="N20" s="7">
        <f t="shared" si="3"/>
        <v>62544047</v>
      </c>
      <c r="O20" s="7">
        <f t="shared" si="3"/>
        <v>62740140.032000005</v>
      </c>
      <c r="P20" s="7">
        <f t="shared" si="3"/>
        <v>62940939.296767995</v>
      </c>
      <c r="Q20" s="7">
        <f t="shared" si="3"/>
        <v>63146557.743890435</v>
      </c>
      <c r="R20" s="7">
        <f t="shared" si="3"/>
        <v>63357111.0337438</v>
      </c>
      <c r="S20" s="7">
        <f t="shared" si="3"/>
        <v>63572717.60255365</v>
      </c>
      <c r="T20" s="7">
        <f t="shared" si="3"/>
        <v>63293498.72901495</v>
      </c>
      <c r="U20" s="7">
        <f t="shared" si="3"/>
        <v>64019578.6025113</v>
      </c>
      <c r="V20" s="7">
        <f t="shared" si="3"/>
        <v>64251084.392971575</v>
      </c>
    </row>
    <row r="21" spans="1:22" ht="12.75">
      <c r="A21" s="13" t="s">
        <v>136</v>
      </c>
      <c r="B21" s="7">
        <f aca="true" t="shared" si="4" ref="B21:V21">B20-B12</f>
        <v>-5363373568</v>
      </c>
      <c r="C21" s="7">
        <f t="shared" si="4"/>
        <v>-5305947535</v>
      </c>
      <c r="D21" s="7">
        <f t="shared" si="4"/>
        <v>58962909</v>
      </c>
      <c r="E21" s="7">
        <f t="shared" si="4"/>
        <v>59700121</v>
      </c>
      <c r="F21" s="7">
        <f t="shared" si="4"/>
        <v>60289325</v>
      </c>
      <c r="G21" s="7">
        <f t="shared" si="4"/>
        <v>60745257</v>
      </c>
      <c r="H21" s="7">
        <f t="shared" si="4"/>
        <v>61364764</v>
      </c>
      <c r="I21" s="7">
        <f t="shared" si="4"/>
        <v>61587254</v>
      </c>
      <c r="J21" s="7">
        <f t="shared" si="4"/>
        <v>61785272</v>
      </c>
      <c r="K21" s="7">
        <f t="shared" si="4"/>
        <v>61974765</v>
      </c>
      <c r="L21" s="7">
        <f t="shared" si="4"/>
        <v>62161574</v>
      </c>
      <c r="M21" s="7">
        <f t="shared" si="4"/>
        <v>62351078</v>
      </c>
      <c r="N21" s="7">
        <f t="shared" si="4"/>
        <v>62544047</v>
      </c>
      <c r="O21" s="7">
        <f t="shared" si="4"/>
        <v>62740140.032000005</v>
      </c>
      <c r="P21" s="7">
        <f t="shared" si="4"/>
        <v>62940939.296767995</v>
      </c>
      <c r="Q21" s="7">
        <f t="shared" si="4"/>
        <v>63146557.743890435</v>
      </c>
      <c r="R21" s="7">
        <f t="shared" si="4"/>
        <v>63357111.0337438</v>
      </c>
      <c r="S21" s="7">
        <f t="shared" si="4"/>
        <v>63572717.60255365</v>
      </c>
      <c r="T21" s="7">
        <f t="shared" si="4"/>
        <v>63293498.72901495</v>
      </c>
      <c r="U21" s="7">
        <f t="shared" si="4"/>
        <v>64019578.6025113</v>
      </c>
      <c r="V21" s="7">
        <f t="shared" si="4"/>
        <v>64251084.392971575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75"/>
  <sheetViews>
    <sheetView zoomScalePageLayoutView="0" workbookViewId="0" topLeftCell="A1">
      <selection activeCell="B25" sqref="B25"/>
    </sheetView>
  </sheetViews>
  <sheetFormatPr defaultColWidth="9.140625" defaultRowHeight="12.75"/>
  <cols>
    <col min="1" max="1" width="63.8515625" style="0" customWidth="1"/>
    <col min="2" max="2" width="11.8515625" style="0" customWidth="1"/>
    <col min="3" max="3" width="9.421875" style="0" customWidth="1"/>
    <col min="5" max="5" width="9.28125" style="0" customWidth="1"/>
  </cols>
  <sheetData>
    <row r="1" ht="15">
      <c r="A1" s="15" t="s">
        <v>69</v>
      </c>
    </row>
    <row r="2" ht="15">
      <c r="A2" s="15" t="s">
        <v>0</v>
      </c>
    </row>
    <row r="3" spans="1:8" ht="15">
      <c r="A3" s="15" t="s">
        <v>70</v>
      </c>
      <c r="D3" s="15" t="s">
        <v>145</v>
      </c>
      <c r="G3" s="28">
        <f>27.4093377578977*1000000</f>
        <v>27409337.757897697</v>
      </c>
      <c r="H3" s="13" t="s">
        <v>149</v>
      </c>
    </row>
    <row r="4" spans="1:7" ht="15">
      <c r="A4" s="15" t="s">
        <v>2</v>
      </c>
      <c r="D4" s="15" t="s">
        <v>146</v>
      </c>
      <c r="G4" s="28">
        <f>1.71*1000000</f>
        <v>1710000</v>
      </c>
    </row>
    <row r="5" spans="1:7" ht="15">
      <c r="A5" s="15" t="s">
        <v>141</v>
      </c>
      <c r="D5" s="15" t="s">
        <v>147</v>
      </c>
      <c r="G5" s="28">
        <f>1.71*1000000</f>
        <v>1710000</v>
      </c>
    </row>
    <row r="6" spans="1:7" ht="15">
      <c r="A6" s="15" t="s">
        <v>144</v>
      </c>
      <c r="D6" s="15" t="s">
        <v>148</v>
      </c>
      <c r="G6" s="34"/>
    </row>
    <row r="7" spans="1:8" ht="15">
      <c r="A7" s="15" t="s">
        <v>142</v>
      </c>
      <c r="B7">
        <v>38.7</v>
      </c>
      <c r="F7" s="13" t="s">
        <v>67</v>
      </c>
      <c r="G7" s="28">
        <f>SUM(G3:G6)</f>
        <v>30829337.757897697</v>
      </c>
      <c r="H7" t="s">
        <v>169</v>
      </c>
    </row>
    <row r="9" ht="15">
      <c r="A9" s="15" t="s">
        <v>143</v>
      </c>
    </row>
    <row r="10" spans="1:2" ht="15">
      <c r="A10" s="15" t="s">
        <v>131</v>
      </c>
      <c r="B10" s="155">
        <v>0.03</v>
      </c>
    </row>
    <row r="11" spans="1:2" ht="15">
      <c r="A11" s="15" t="s">
        <v>138</v>
      </c>
      <c r="B11" s="9">
        <f>G7</f>
        <v>30829337.757897697</v>
      </c>
    </row>
    <row r="12" spans="1:3" ht="15">
      <c r="A12" s="15" t="s">
        <v>139</v>
      </c>
      <c r="B12" s="9">
        <f>B11*1</f>
        <v>30829337.757897697</v>
      </c>
      <c r="C12" s="13"/>
    </row>
    <row r="13" spans="1:5" ht="15">
      <c r="A13" s="15" t="s">
        <v>114</v>
      </c>
      <c r="B13" s="2">
        <f>B12/B7</f>
        <v>796623.7146743591</v>
      </c>
      <c r="C13" s="13"/>
      <c r="E13" s="2"/>
    </row>
    <row r="14" spans="1:3" ht="15">
      <c r="A14" s="15" t="s">
        <v>113</v>
      </c>
      <c r="B14" s="9">
        <f>B12*485</f>
        <v>14952228812.580383</v>
      </c>
      <c r="C14" s="13"/>
    </row>
    <row r="15" ht="15">
      <c r="A15" s="15"/>
    </row>
    <row r="16" spans="1:21" ht="15">
      <c r="A16" s="15"/>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row>
    <row r="17" spans="1:4" ht="15">
      <c r="A17" s="15" t="s">
        <v>71</v>
      </c>
      <c r="B17" s="155">
        <v>0.25</v>
      </c>
      <c r="C17" s="155">
        <v>0.3</v>
      </c>
      <c r="D17" s="155">
        <v>0.45</v>
      </c>
    </row>
    <row r="18" spans="1:5" ht="15">
      <c r="A18" s="15"/>
      <c r="B18" s="32"/>
      <c r="C18" s="33"/>
      <c r="D18" s="33"/>
      <c r="E18" s="33"/>
    </row>
    <row r="19" spans="1:21" ht="15">
      <c r="A19" s="24" t="s">
        <v>102</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row>
    <row r="20" spans="1:6" ht="15">
      <c r="A20" s="15" t="s">
        <v>78</v>
      </c>
      <c r="B20" s="9">
        <f>$B14*B17</f>
        <v>3738057203.145096</v>
      </c>
      <c r="C20" s="9">
        <f>$B14*C17</f>
        <v>4485668643.774115</v>
      </c>
      <c r="D20" s="9">
        <f>$B14*D17</f>
        <v>6728502965.661173</v>
      </c>
      <c r="E20" s="9">
        <f>$B14*E17</f>
        <v>0</v>
      </c>
      <c r="F20" s="9">
        <f>$B14*F17</f>
        <v>0</v>
      </c>
    </row>
    <row r="21" spans="1:6" ht="15">
      <c r="A21" s="15" t="s">
        <v>103</v>
      </c>
      <c r="B21" s="9">
        <f>B20*0.1</f>
        <v>373805720.31450963</v>
      </c>
      <c r="C21" s="9">
        <f>C20*0.1</f>
        <v>448566864.3774115</v>
      </c>
      <c r="D21" s="9">
        <f>D20*0.1</f>
        <v>672850296.5661173</v>
      </c>
      <c r="E21" s="9">
        <f>E20*0.1</f>
        <v>0</v>
      </c>
      <c r="F21" s="9">
        <f>F20*0.1</f>
        <v>0</v>
      </c>
    </row>
    <row r="22" spans="1:21" ht="15">
      <c r="A22" s="15" t="s">
        <v>137</v>
      </c>
      <c r="B22" s="9">
        <f>EntretienVelMan!B20</f>
        <v>0</v>
      </c>
      <c r="C22" s="9">
        <f>EntretienVelMan!C20</f>
        <v>57426033</v>
      </c>
      <c r="D22" s="9">
        <f>EntretienVelMan!D20</f>
        <v>58962909</v>
      </c>
      <c r="E22" s="9">
        <f>EntretienVelMan!E20</f>
        <v>59700121</v>
      </c>
      <c r="F22" s="9">
        <f>EntretienVelMan!F20</f>
        <v>60289325</v>
      </c>
      <c r="G22" s="9">
        <f>EntretienVelMan!G20</f>
        <v>60745257</v>
      </c>
      <c r="H22" s="9">
        <f>EntretienVelMan!H20</f>
        <v>61364764</v>
      </c>
      <c r="I22" s="9">
        <f>EntretienVelMan!I20</f>
        <v>61587254</v>
      </c>
      <c r="J22" s="9">
        <f>EntretienVelMan!J20</f>
        <v>61785272</v>
      </c>
      <c r="K22" s="9">
        <f>EntretienVelMan!K20</f>
        <v>61974765</v>
      </c>
      <c r="L22" s="9">
        <f>EntretienVelMan!L20</f>
        <v>62161574</v>
      </c>
      <c r="M22" s="9">
        <f>EntretienVelMan!M20</f>
        <v>62351078</v>
      </c>
      <c r="N22" s="9">
        <f>EntretienVelMan!N20</f>
        <v>62544047</v>
      </c>
      <c r="O22" s="9">
        <f>EntretienVelMan!O20</f>
        <v>62740140.032000005</v>
      </c>
      <c r="P22" s="9">
        <f>EntretienVelMan!P20</f>
        <v>62940939.296767995</v>
      </c>
      <c r="Q22" s="9">
        <f>EntretienVelMan!Q20</f>
        <v>63146557.743890435</v>
      </c>
      <c r="R22" s="9">
        <f>EntretienVelMan!R20</f>
        <v>63357111.0337438</v>
      </c>
      <c r="S22" s="9">
        <f>EntretienVelMan!S20</f>
        <v>63572717.60255365</v>
      </c>
      <c r="T22" s="9">
        <f>EntretienVelMan!T20</f>
        <v>63293498.72901495</v>
      </c>
      <c r="U22" s="9">
        <f>EntretienVelMan!U20</f>
        <v>64019578.6025113</v>
      </c>
    </row>
    <row r="23" spans="1:21" ht="15">
      <c r="A23" s="24" t="s">
        <v>79</v>
      </c>
      <c r="B23" s="30"/>
      <c r="C23" s="31"/>
      <c r="D23" s="31"/>
      <c r="E23" s="30" t="e">
        <f>[1]!HypothBene*(1+$B10)^(E19-$E19)</f>
        <v>#REF!</v>
      </c>
      <c r="F23" s="30" t="e">
        <f>[1]!HypothBene*(1+$B10)^(F19-$E19)</f>
        <v>#REF!</v>
      </c>
      <c r="G23" s="30" t="e">
        <f>[1]!HypothBene*(1+$B10)^(G19-$E19)</f>
        <v>#REF!</v>
      </c>
      <c r="H23" s="30" t="e">
        <f>[1]!HypothBene*(1+$B10)^(H19-$E19)</f>
        <v>#REF!</v>
      </c>
      <c r="I23" s="30" t="e">
        <f>[1]!HypothBene*(1+$B10)^(I19-$E19)</f>
        <v>#REF!</v>
      </c>
      <c r="J23" s="30" t="e">
        <f>[1]!HypothBene*(1+$B10)^(J19-$E19)</f>
        <v>#REF!</v>
      </c>
      <c r="K23" s="30" t="e">
        <f>[1]!HypothBene*(1+$B10)^(K19-$E19)</f>
        <v>#REF!</v>
      </c>
      <c r="L23" s="30" t="e">
        <f>[1]!HypothBene*(1+$B10)^(L19-$E19)</f>
        <v>#REF!</v>
      </c>
      <c r="M23" s="30" t="e">
        <f>[1]!HypothBene*(1+$B10)^(M19-$E19)</f>
        <v>#REF!</v>
      </c>
      <c r="N23" s="30" t="e">
        <f>[1]!HypothBene*(1+$B10)^(N19-$E19)</f>
        <v>#REF!</v>
      </c>
      <c r="O23" s="30" t="e">
        <f>[1]!HypothBene*(1+$B10)^(O19-$E19)</f>
        <v>#REF!</v>
      </c>
      <c r="P23" s="30" t="e">
        <f>[1]!HypothBene*(1+$B10)^(P19-$E19)</f>
        <v>#REF!</v>
      </c>
      <c r="Q23" s="30" t="e">
        <f>[1]!HypothBene*(1+$B10)^(Q19-$E19)</f>
        <v>#REF!</v>
      </c>
      <c r="R23" s="30" t="e">
        <f>[1]!HypothBene*(1+$B10)^(R19-$E19)</f>
        <v>#REF!</v>
      </c>
      <c r="S23" s="30" t="e">
        <f>[1]!HypothBene*(1+$B10)^(S19-$E19)</f>
        <v>#REF!</v>
      </c>
      <c r="T23" s="30" t="e">
        <f>[1]!HypothBene*(1+$B10)^(T19-$E19)</f>
        <v>#REF!</v>
      </c>
      <c r="U23" s="30" t="e">
        <f>[1]!HypothBene*(1+$B10)^(U19-$E19)</f>
        <v>#REF!</v>
      </c>
    </row>
    <row r="24" spans="1:21" ht="15">
      <c r="A24" s="15" t="s">
        <v>104</v>
      </c>
      <c r="B24" s="9">
        <f aca="true" t="shared" si="0" ref="B24:U24">B22+B23-B20-B21</f>
        <v>-4111862923.459605</v>
      </c>
      <c r="C24" s="9">
        <f t="shared" si="0"/>
        <v>-4876809475.151526</v>
      </c>
      <c r="D24" s="9">
        <f t="shared" si="0"/>
        <v>-7342390353.22729</v>
      </c>
      <c r="E24" s="9" t="e">
        <f t="shared" si="0"/>
        <v>#REF!</v>
      </c>
      <c r="F24" s="9" t="e">
        <f t="shared" si="0"/>
        <v>#REF!</v>
      </c>
      <c r="G24" s="9" t="e">
        <f t="shared" si="0"/>
        <v>#REF!</v>
      </c>
      <c r="H24" s="9" t="e">
        <f t="shared" si="0"/>
        <v>#REF!</v>
      </c>
      <c r="I24" s="9" t="e">
        <f t="shared" si="0"/>
        <v>#REF!</v>
      </c>
      <c r="J24" s="9" t="e">
        <f t="shared" si="0"/>
        <v>#REF!</v>
      </c>
      <c r="K24" s="9" t="e">
        <f t="shared" si="0"/>
        <v>#REF!</v>
      </c>
      <c r="L24" s="9" t="e">
        <f t="shared" si="0"/>
        <v>#REF!</v>
      </c>
      <c r="M24" s="9" t="e">
        <f t="shared" si="0"/>
        <v>#REF!</v>
      </c>
      <c r="N24" s="9" t="e">
        <f t="shared" si="0"/>
        <v>#REF!</v>
      </c>
      <c r="O24" s="9" t="e">
        <f t="shared" si="0"/>
        <v>#REF!</v>
      </c>
      <c r="P24" s="9" t="e">
        <f t="shared" si="0"/>
        <v>#REF!</v>
      </c>
      <c r="Q24" s="9" t="e">
        <f t="shared" si="0"/>
        <v>#REF!</v>
      </c>
      <c r="R24" s="9" t="e">
        <f t="shared" si="0"/>
        <v>#REF!</v>
      </c>
      <c r="S24" s="9" t="e">
        <f t="shared" si="0"/>
        <v>#REF!</v>
      </c>
      <c r="T24" s="9" t="e">
        <f t="shared" si="0"/>
        <v>#REF!</v>
      </c>
      <c r="U24" s="9" t="e">
        <f t="shared" si="0"/>
        <v>#REF!</v>
      </c>
    </row>
    <row r="25" spans="6:21" ht="12.75">
      <c r="F25" s="9"/>
      <c r="G25" s="9"/>
      <c r="H25" s="9"/>
      <c r="I25" s="9"/>
      <c r="J25" s="9"/>
      <c r="K25" s="9"/>
      <c r="L25" s="9"/>
      <c r="M25" s="9"/>
      <c r="N25" s="9"/>
      <c r="O25" s="9"/>
      <c r="P25" s="9"/>
      <c r="Q25" s="9"/>
      <c r="R25" s="9"/>
      <c r="S25" s="9"/>
      <c r="T25" s="9"/>
      <c r="U25" s="9"/>
    </row>
    <row r="26" spans="1:21" ht="15">
      <c r="A26" s="15" t="s">
        <v>105</v>
      </c>
      <c r="B26" s="156" t="e">
        <f>IRR(B24:U24,0.1)</f>
        <v>#VALUE!</v>
      </c>
      <c r="C26" s="9"/>
      <c r="D26" s="9"/>
      <c r="E26" s="9"/>
      <c r="F26" s="9"/>
      <c r="G26" s="9"/>
      <c r="H26" s="9"/>
      <c r="I26" s="9"/>
      <c r="J26" s="9"/>
      <c r="K26" s="9"/>
      <c r="L26" s="9"/>
      <c r="M26" s="9"/>
      <c r="N26" s="9"/>
      <c r="O26" s="9"/>
      <c r="P26" s="9"/>
      <c r="Q26" s="9"/>
      <c r="R26" s="9"/>
      <c r="S26" s="9"/>
      <c r="T26" s="9"/>
      <c r="U26" s="9"/>
    </row>
    <row r="27" spans="1:21" ht="15">
      <c r="A27" s="15"/>
      <c r="B27" s="156"/>
      <c r="C27" s="9"/>
      <c r="D27" s="9"/>
      <c r="E27" s="9"/>
      <c r="F27" s="9"/>
      <c r="G27" s="9"/>
      <c r="H27" s="9"/>
      <c r="I27" s="9"/>
      <c r="J27" s="9"/>
      <c r="K27" s="9"/>
      <c r="L27" s="9"/>
      <c r="M27" s="9"/>
      <c r="N27" s="9"/>
      <c r="O27" s="9"/>
      <c r="P27" s="9"/>
      <c r="Q27" s="9"/>
      <c r="R27" s="9"/>
      <c r="S27" s="9"/>
      <c r="T27" s="9"/>
      <c r="U27" s="9"/>
    </row>
    <row r="28" spans="1:5" ht="15">
      <c r="A28" s="15" t="s">
        <v>140</v>
      </c>
      <c r="B28" s="9"/>
      <c r="C28" s="9"/>
      <c r="D28" s="9"/>
      <c r="E28" s="2">
        <v>970</v>
      </c>
    </row>
    <row r="29" spans="1:5" ht="15">
      <c r="A29" s="15" t="s">
        <v>154</v>
      </c>
      <c r="B29" s="9"/>
      <c r="C29" s="9"/>
      <c r="D29" s="9"/>
      <c r="E29" s="21" t="e">
        <f>E23/E28/B7</f>
        <v>#REF!</v>
      </c>
    </row>
    <row r="30" spans="1:5" ht="15">
      <c r="A30" s="15"/>
      <c r="B30" s="9"/>
      <c r="C30" s="9"/>
      <c r="D30" s="9"/>
      <c r="E30" s="2" t="e">
        <f>E29/485</f>
        <v>#REF!</v>
      </c>
    </row>
    <row r="33" ht="27" customHeight="1"/>
    <row r="40" ht="27" customHeight="1"/>
    <row r="60" ht="27" customHeight="1"/>
    <row r="66" ht="27" customHeight="1"/>
    <row r="71" spans="20:22" ht="12.75">
      <c r="T71" s="1">
        <v>18</v>
      </c>
      <c r="U71" s="1">
        <v>19</v>
      </c>
      <c r="V71" s="1">
        <v>20</v>
      </c>
    </row>
    <row r="72" spans="20:22" ht="12.75">
      <c r="T72" s="2">
        <f aca="true" t="shared" si="1" ref="T72:V75">S72</f>
        <v>0</v>
      </c>
      <c r="U72" s="2">
        <f t="shared" si="1"/>
        <v>0</v>
      </c>
      <c r="V72" s="2">
        <f t="shared" si="1"/>
        <v>0</v>
      </c>
    </row>
    <row r="73" spans="20:22" ht="12.75">
      <c r="T73" s="2">
        <f t="shared" si="1"/>
        <v>0</v>
      </c>
      <c r="U73" s="2">
        <f t="shared" si="1"/>
        <v>0</v>
      </c>
      <c r="V73" s="2">
        <f t="shared" si="1"/>
        <v>0</v>
      </c>
    </row>
    <row r="74" spans="20:22" ht="12.75">
      <c r="T74" s="2">
        <f t="shared" si="1"/>
        <v>0</v>
      </c>
      <c r="U74" s="2">
        <f t="shared" si="1"/>
        <v>0</v>
      </c>
      <c r="V74" s="2">
        <f t="shared" si="1"/>
        <v>0</v>
      </c>
    </row>
    <row r="75" spans="20:22" ht="12.75">
      <c r="T75" s="2">
        <f t="shared" si="1"/>
        <v>0</v>
      </c>
      <c r="U75" s="2">
        <f t="shared" si="1"/>
        <v>0</v>
      </c>
      <c r="V75" s="2">
        <f t="shared" si="1"/>
        <v>0</v>
      </c>
    </row>
    <row r="77" ht="27" customHeight="1"/>
    <row r="86" ht="27" customHeight="1"/>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U32"/>
  <sheetViews>
    <sheetView zoomScalePageLayoutView="0" workbookViewId="0" topLeftCell="A1">
      <selection activeCell="B25" sqref="B25"/>
    </sheetView>
  </sheetViews>
  <sheetFormatPr defaultColWidth="9.140625" defaultRowHeight="12.75"/>
  <cols>
    <col min="1" max="1" width="63.8515625" style="0" customWidth="1"/>
    <col min="2" max="2" width="11.8515625" style="0" customWidth="1"/>
    <col min="3" max="3" width="9.421875" style="0" customWidth="1"/>
    <col min="5" max="5" width="9.28125" style="0" customWidth="1"/>
    <col min="8" max="10" width="0" style="0" hidden="1" customWidth="1"/>
    <col min="12" max="15" width="0" style="0" hidden="1" customWidth="1"/>
    <col min="17" max="20" width="0" style="0" hidden="1" customWidth="1"/>
  </cols>
  <sheetData>
    <row r="1" spans="1:7" ht="15">
      <c r="A1" s="15" t="s">
        <v>69</v>
      </c>
      <c r="D1" t="s">
        <v>260</v>
      </c>
      <c r="G1" s="13" t="s">
        <v>149</v>
      </c>
    </row>
    <row r="2" spans="1:10" ht="15">
      <c r="A2" s="15" t="s">
        <v>0</v>
      </c>
      <c r="D2" s="15" t="s">
        <v>145</v>
      </c>
      <c r="G2" s="28">
        <f>68.5043789738291*1000000</f>
        <v>68504378.9738291</v>
      </c>
      <c r="H2" s="155">
        <f aca="true" t="shared" si="0" ref="H2:H7">G2/G$7</f>
        <v>0.7388754552642384</v>
      </c>
      <c r="I2">
        <v>1</v>
      </c>
      <c r="J2" s="28">
        <f>G2*I2</f>
        <v>68504378.9738291</v>
      </c>
    </row>
    <row r="3" spans="1:10" ht="15">
      <c r="A3" s="15" t="s">
        <v>70</v>
      </c>
      <c r="D3" s="15" t="s">
        <v>146</v>
      </c>
      <c r="G3" s="28">
        <f>4.27*1000000</f>
        <v>4270000</v>
      </c>
      <c r="H3" s="155">
        <f t="shared" si="0"/>
        <v>0.046055423627497</v>
      </c>
      <c r="I3">
        <v>1</v>
      </c>
      <c r="J3" s="28">
        <f>G3*I3</f>
        <v>4270000</v>
      </c>
    </row>
    <row r="4" spans="1:10" ht="15">
      <c r="A4" s="15" t="s">
        <v>2</v>
      </c>
      <c r="D4" s="15" t="s">
        <v>147</v>
      </c>
      <c r="G4" s="28">
        <f>4.27*1000000</f>
        <v>4270000</v>
      </c>
      <c r="H4" s="155">
        <f t="shared" si="0"/>
        <v>0.046055423627497</v>
      </c>
      <c r="I4">
        <v>1</v>
      </c>
      <c r="J4" s="28">
        <f>G4*I4</f>
        <v>4270000</v>
      </c>
    </row>
    <row r="5" spans="1:10" ht="15">
      <c r="A5" s="15" t="s">
        <v>152</v>
      </c>
      <c r="D5" s="15" t="s">
        <v>148</v>
      </c>
      <c r="G5">
        <v>0</v>
      </c>
      <c r="H5" s="155">
        <f t="shared" si="0"/>
        <v>0</v>
      </c>
      <c r="I5">
        <v>1</v>
      </c>
      <c r="J5" s="28">
        <f>G5*I5</f>
        <v>0</v>
      </c>
    </row>
    <row r="6" spans="1:10" ht="15">
      <c r="A6" s="15" t="s">
        <v>144</v>
      </c>
      <c r="D6" s="15" t="s">
        <v>249</v>
      </c>
      <c r="G6" s="34">
        <f>15.67*1000000</f>
        <v>15670000</v>
      </c>
      <c r="H6" s="158">
        <f t="shared" si="0"/>
        <v>0.16901369748076767</v>
      </c>
      <c r="I6">
        <v>1</v>
      </c>
      <c r="J6" s="28">
        <f>G6*I6</f>
        <v>15670000</v>
      </c>
    </row>
    <row r="7" spans="1:11" ht="15">
      <c r="A7" s="15" t="s">
        <v>142</v>
      </c>
      <c r="B7">
        <v>130</v>
      </c>
      <c r="F7" s="13" t="s">
        <v>67</v>
      </c>
      <c r="G7" s="28">
        <f>SUM(G2:G6)</f>
        <v>92714378.9738291</v>
      </c>
      <c r="H7" s="155">
        <f t="shared" si="0"/>
        <v>1</v>
      </c>
      <c r="J7" s="28">
        <f>SUM(J2:J6)</f>
        <v>92714378.9738291</v>
      </c>
      <c r="K7" s="10">
        <f>J7/G7</f>
        <v>1</v>
      </c>
    </row>
    <row r="9" ht="15">
      <c r="A9" s="15"/>
    </row>
    <row r="10" spans="1:2" ht="15">
      <c r="A10" s="15" t="s">
        <v>131</v>
      </c>
      <c r="B10" s="155">
        <v>0.03</v>
      </c>
    </row>
    <row r="11" spans="1:2" ht="15">
      <c r="A11" s="15" t="s">
        <v>138</v>
      </c>
      <c r="B11" s="9">
        <f>G7</f>
        <v>92714378.9738291</v>
      </c>
    </row>
    <row r="12" spans="1:3" ht="15">
      <c r="A12" s="15" t="s">
        <v>139</v>
      </c>
      <c r="B12" s="9">
        <f>B11*1</f>
        <v>92714378.9738291</v>
      </c>
      <c r="C12" s="13"/>
    </row>
    <row r="13" spans="1:5" ht="15">
      <c r="A13" s="15" t="s">
        <v>114</v>
      </c>
      <c r="B13" s="2">
        <f>B12/B7</f>
        <v>713187.5305679162</v>
      </c>
      <c r="C13" s="13"/>
      <c r="E13" s="2"/>
    </row>
    <row r="14" spans="1:3" ht="15">
      <c r="A14" s="15" t="s">
        <v>113</v>
      </c>
      <c r="B14" s="9">
        <f>B12*485</f>
        <v>44966473802.30711</v>
      </c>
      <c r="C14" s="13"/>
    </row>
    <row r="15" spans="1:2" ht="15">
      <c r="A15" s="15"/>
      <c r="B15" t="s">
        <v>264</v>
      </c>
    </row>
    <row r="16" spans="1:21" ht="15">
      <c r="A16" s="15"/>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row>
    <row r="17" spans="1:4" ht="15">
      <c r="A17" s="15" t="s">
        <v>71</v>
      </c>
      <c r="B17" s="155">
        <v>0.25</v>
      </c>
      <c r="C17" s="155">
        <v>0.3</v>
      </c>
      <c r="D17" s="155">
        <v>0.45</v>
      </c>
    </row>
    <row r="18" spans="1:5" ht="15">
      <c r="A18" s="15"/>
      <c r="B18" s="32"/>
      <c r="C18" s="33"/>
      <c r="D18" s="33"/>
      <c r="E18" s="33"/>
    </row>
    <row r="19" spans="1:21" ht="15">
      <c r="A19" s="24" t="s">
        <v>102</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row>
    <row r="20" spans="1:6" ht="15">
      <c r="A20" s="15" t="s">
        <v>78</v>
      </c>
      <c r="B20" s="9">
        <f>$B14*B17</f>
        <v>11241618450.576778</v>
      </c>
      <c r="C20" s="9">
        <f>$B14*C17</f>
        <v>13489942140.692133</v>
      </c>
      <c r="D20" s="9">
        <f>$B14*D17</f>
        <v>20234913211.0382</v>
      </c>
      <c r="E20" s="9">
        <f>$B14*E17</f>
        <v>0</v>
      </c>
      <c r="F20" s="9">
        <f>$B14*F17</f>
        <v>0</v>
      </c>
    </row>
    <row r="21" spans="1:6" ht="15">
      <c r="A21" s="15" t="s">
        <v>103</v>
      </c>
      <c r="B21" s="9">
        <f>B20*0.1</f>
        <v>1124161845.057678</v>
      </c>
      <c r="C21" s="9">
        <f>C20*0.1</f>
        <v>1348994214.0692134</v>
      </c>
      <c r="D21" s="9">
        <f>D20*0.1</f>
        <v>2023491321.10382</v>
      </c>
      <c r="E21" s="9">
        <f>E20*0.1</f>
        <v>0</v>
      </c>
      <c r="F21" s="9">
        <f>F20*0.1</f>
        <v>0</v>
      </c>
    </row>
    <row r="22" spans="1:21" ht="15">
      <c r="A22" s="15" t="s">
        <v>137</v>
      </c>
      <c r="B22" s="9">
        <f>EntretienKolVel!B21</f>
        <v>0</v>
      </c>
      <c r="C22" s="9">
        <f>EntretienKolVel!C21</f>
        <v>198470487</v>
      </c>
      <c r="D22" s="9">
        <f>EntretienKolVel!D21</f>
        <v>342993272</v>
      </c>
      <c r="E22" s="9">
        <f>EntretienKolVel!E21</f>
        <v>210048470</v>
      </c>
      <c r="F22" s="9">
        <f>EntretienKolVel!F21</f>
        <v>351363324</v>
      </c>
      <c r="G22" s="9">
        <f>EntretienKolVel!G21</f>
        <v>215548070</v>
      </c>
      <c r="H22" s="9">
        <f>EntretienKolVel!H21</f>
        <v>373001256</v>
      </c>
      <c r="I22" s="9">
        <f>EntretienKolVel!I21</f>
        <v>218913988</v>
      </c>
      <c r="J22" s="9">
        <f>EntretienKolVel!J21</f>
        <v>395259688</v>
      </c>
      <c r="K22" s="9">
        <f>EntretienKolVel!K21</f>
        <v>221226212</v>
      </c>
      <c r="L22" s="9">
        <f>EntretienKolVel!L21</f>
        <v>419337748</v>
      </c>
      <c r="M22" s="9">
        <f>EntretienKolVel!M21</f>
        <v>223226324</v>
      </c>
      <c r="N22" s="9">
        <f>EntretienKolVel!N21</f>
        <v>446144032</v>
      </c>
      <c r="O22" s="9">
        <f>EntretienKolVel!O21</f>
        <v>346445516</v>
      </c>
      <c r="P22" s="9">
        <f>EntretienKolVel!P21</f>
        <v>355059580</v>
      </c>
      <c r="Q22" s="9">
        <f>EntretienKolVel!Q21</f>
        <v>364114239.024</v>
      </c>
      <c r="R22" s="9">
        <f>EntretienKolVel!R21</f>
        <v>373679782.548672</v>
      </c>
      <c r="S22" s="9">
        <f>EntretienKolVel!S21</f>
        <v>383786310.7960348</v>
      </c>
      <c r="T22" s="9">
        <f>EntretienKolVel!T21</f>
        <v>394465566.98632383</v>
      </c>
      <c r="U22" s="9">
        <f>EntretienKolVel!U21</f>
        <v>405751258.09394085</v>
      </c>
    </row>
    <row r="23" spans="1:21" ht="15">
      <c r="A23" s="24" t="s">
        <v>79</v>
      </c>
      <c r="B23" s="30"/>
      <c r="C23" s="31"/>
      <c r="D23" s="31"/>
      <c r="E23" s="30">
        <f aca="true" t="shared" si="1" ref="E23:U23">($E28*$E29*$B7)*(1+$B10)^(E19-$E19)</f>
        <v>8817508790.290133</v>
      </c>
      <c r="F23" s="30">
        <f t="shared" si="1"/>
        <v>9082034053.998837</v>
      </c>
      <c r="G23" s="30">
        <f t="shared" si="1"/>
        <v>9354495075.618801</v>
      </c>
      <c r="H23" s="30">
        <f t="shared" si="1"/>
        <v>9635129927.887365</v>
      </c>
      <c r="I23" s="30">
        <f t="shared" si="1"/>
        <v>9924183825.723986</v>
      </c>
      <c r="J23" s="30">
        <f t="shared" si="1"/>
        <v>10221909340.495705</v>
      </c>
      <c r="K23" s="30">
        <f t="shared" si="1"/>
        <v>10528566620.710577</v>
      </c>
      <c r="L23" s="30">
        <f t="shared" si="1"/>
        <v>10844423619.331894</v>
      </c>
      <c r="M23" s="30">
        <f t="shared" si="1"/>
        <v>11169756327.91185</v>
      </c>
      <c r="N23" s="30">
        <f t="shared" si="1"/>
        <v>11504849017.749207</v>
      </c>
      <c r="O23" s="30">
        <f t="shared" si="1"/>
        <v>11849994488.281683</v>
      </c>
      <c r="P23" s="30">
        <f t="shared" si="1"/>
        <v>12205494322.930134</v>
      </c>
      <c r="Q23" s="30">
        <f t="shared" si="1"/>
        <v>12571659152.618034</v>
      </c>
      <c r="R23" s="30">
        <f t="shared" si="1"/>
        <v>12948808927.196575</v>
      </c>
      <c r="S23" s="30">
        <f t="shared" si="1"/>
        <v>13337273195.012474</v>
      </c>
      <c r="T23" s="30">
        <f t="shared" si="1"/>
        <v>13737391390.86285</v>
      </c>
      <c r="U23" s="30">
        <f t="shared" si="1"/>
        <v>14149513132.588732</v>
      </c>
    </row>
    <row r="24" spans="1:21" ht="15">
      <c r="A24" s="15" t="s">
        <v>104</v>
      </c>
      <c r="B24" s="9">
        <f aca="true" t="shared" si="2" ref="B24:U24">B22+B23-B20-B21</f>
        <v>-12365780295.634457</v>
      </c>
      <c r="C24" s="9">
        <f t="shared" si="2"/>
        <v>-14640465867.761347</v>
      </c>
      <c r="D24" s="9">
        <f t="shared" si="2"/>
        <v>-21915411260.14202</v>
      </c>
      <c r="E24" s="9">
        <f t="shared" si="2"/>
        <v>9027557260.290133</v>
      </c>
      <c r="F24" s="9">
        <f t="shared" si="2"/>
        <v>9433397377.998837</v>
      </c>
      <c r="G24" s="9">
        <f t="shared" si="2"/>
        <v>9570043145.618801</v>
      </c>
      <c r="H24" s="9">
        <f t="shared" si="2"/>
        <v>10008131183.887365</v>
      </c>
      <c r="I24" s="9">
        <f t="shared" si="2"/>
        <v>10143097813.723986</v>
      </c>
      <c r="J24" s="9">
        <f t="shared" si="2"/>
        <v>10617169028.495705</v>
      </c>
      <c r="K24" s="9">
        <f t="shared" si="2"/>
        <v>10749792832.710577</v>
      </c>
      <c r="L24" s="9">
        <f t="shared" si="2"/>
        <v>11263761367.331894</v>
      </c>
      <c r="M24" s="9">
        <f t="shared" si="2"/>
        <v>11392982651.91185</v>
      </c>
      <c r="N24" s="9">
        <f t="shared" si="2"/>
        <v>11950993049.749207</v>
      </c>
      <c r="O24" s="9">
        <f t="shared" si="2"/>
        <v>12196440004.281683</v>
      </c>
      <c r="P24" s="9">
        <f t="shared" si="2"/>
        <v>12560553902.930134</v>
      </c>
      <c r="Q24" s="9">
        <f t="shared" si="2"/>
        <v>12935773391.642035</v>
      </c>
      <c r="R24" s="9">
        <f t="shared" si="2"/>
        <v>13322488709.745247</v>
      </c>
      <c r="S24" s="9">
        <f t="shared" si="2"/>
        <v>13721059505.80851</v>
      </c>
      <c r="T24" s="9">
        <f t="shared" si="2"/>
        <v>14131856957.849174</v>
      </c>
      <c r="U24" s="9">
        <f t="shared" si="2"/>
        <v>14555264390.682673</v>
      </c>
    </row>
    <row r="25" spans="6:21" ht="12.75">
      <c r="F25" s="9"/>
      <c r="G25" s="9"/>
      <c r="H25" s="9"/>
      <c r="I25" s="9"/>
      <c r="J25" s="9"/>
      <c r="K25" s="9"/>
      <c r="L25" s="9"/>
      <c r="M25" s="9"/>
      <c r="N25" s="9"/>
      <c r="O25" s="9"/>
      <c r="P25" s="9"/>
      <c r="Q25" s="9"/>
      <c r="R25" s="9"/>
      <c r="S25" s="9"/>
      <c r="T25" s="9"/>
      <c r="U25" s="9"/>
    </row>
    <row r="26" spans="1:21" ht="15">
      <c r="A26" s="15" t="s">
        <v>105</v>
      </c>
      <c r="B26" s="156">
        <f>IRR(B24:U24,0.1)</f>
        <v>0.17428750121695646</v>
      </c>
      <c r="C26" s="9"/>
      <c r="D26" s="9"/>
      <c r="E26" s="9"/>
      <c r="F26" s="2">
        <f>E28*(1+B10)</f>
        <v>1760.27</v>
      </c>
      <c r="G26" s="9"/>
      <c r="H26" s="9"/>
      <c r="I26" s="9"/>
      <c r="J26" s="9"/>
      <c r="K26" s="9"/>
      <c r="L26" s="9"/>
      <c r="M26" s="9"/>
      <c r="N26" s="9"/>
      <c r="O26" s="9"/>
      <c r="P26" s="9"/>
      <c r="Q26" s="9"/>
      <c r="R26" s="9"/>
      <c r="S26" s="9"/>
      <c r="T26" s="9"/>
      <c r="U26" s="9"/>
    </row>
    <row r="27" spans="1:21" ht="15">
      <c r="A27" s="15"/>
      <c r="B27" s="156"/>
      <c r="C27" s="9"/>
      <c r="D27" s="9"/>
      <c r="E27" s="9"/>
      <c r="G27" s="9"/>
      <c r="H27" s="9"/>
      <c r="I27" s="9"/>
      <c r="J27" s="9"/>
      <c r="K27" s="9"/>
      <c r="L27" s="9"/>
      <c r="M27" s="9"/>
      <c r="N27" s="9"/>
      <c r="O27" s="9"/>
      <c r="P27" s="9"/>
      <c r="Q27" s="9"/>
      <c r="R27" s="9"/>
      <c r="S27" s="9"/>
      <c r="T27" s="9"/>
      <c r="U27" s="9"/>
    </row>
    <row r="28" spans="1:6" ht="15">
      <c r="A28" s="15" t="s">
        <v>140</v>
      </c>
      <c r="B28" s="9"/>
      <c r="C28" s="9"/>
      <c r="D28" s="9"/>
      <c r="E28" s="2">
        <v>1709</v>
      </c>
      <c r="F28" t="s">
        <v>161</v>
      </c>
    </row>
    <row r="29" spans="1:5" ht="15">
      <c r="A29" s="15" t="s">
        <v>153</v>
      </c>
      <c r="B29" s="9"/>
      <c r="C29" s="9"/>
      <c r="D29" s="9"/>
      <c r="E29" s="29">
        <f>'Vel-MandaFeasSim'!B45</f>
        <v>39688.116263627555</v>
      </c>
    </row>
    <row r="30" spans="1:5" ht="15">
      <c r="A30" s="15"/>
      <c r="B30" s="9"/>
      <c r="C30" s="9"/>
      <c r="D30" s="9"/>
      <c r="E30" s="2"/>
    </row>
    <row r="32" spans="6:7" ht="12.75">
      <c r="F32" s="2"/>
      <c r="G32" s="2"/>
    </row>
    <row r="33" ht="27" customHeight="1"/>
    <row r="40" ht="27" customHeight="1"/>
    <row r="60" ht="27" customHeight="1"/>
    <row r="66" ht="27" customHeight="1"/>
    <row r="77" ht="27" customHeight="1"/>
    <row r="86" ht="27" customHeight="1"/>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U32"/>
  <sheetViews>
    <sheetView zoomScalePageLayoutView="0" workbookViewId="0" topLeftCell="A1">
      <selection activeCell="B25" sqref="B25"/>
    </sheetView>
  </sheetViews>
  <sheetFormatPr defaultColWidth="9.140625" defaultRowHeight="12.75"/>
  <cols>
    <col min="1" max="1" width="63.8515625" style="0" customWidth="1"/>
    <col min="2" max="2" width="11.8515625" style="0" customWidth="1"/>
    <col min="3" max="3" width="9.421875" style="0" customWidth="1"/>
    <col min="5" max="5" width="9.28125" style="0" customWidth="1"/>
    <col min="8" max="10" width="0" style="0" hidden="1" customWidth="1"/>
    <col min="12" max="15" width="0" style="0" hidden="1" customWidth="1"/>
    <col min="17" max="20" width="0" style="0" hidden="1" customWidth="1"/>
  </cols>
  <sheetData>
    <row r="1" spans="1:7" ht="15">
      <c r="A1" s="15" t="s">
        <v>69</v>
      </c>
      <c r="D1" t="s">
        <v>260</v>
      </c>
      <c r="G1" s="13" t="s">
        <v>354</v>
      </c>
    </row>
    <row r="2" spans="1:10" ht="15">
      <c r="A2" s="15" t="s">
        <v>0</v>
      </c>
      <c r="D2" s="15" t="s">
        <v>145</v>
      </c>
      <c r="G2" s="28">
        <f>68.5043789738291*1000000</f>
        <v>68504378.9738291</v>
      </c>
      <c r="H2" s="155">
        <f aca="true" t="shared" si="0" ref="H2:H7">G2/G$7</f>
        <v>0.7388754552642384</v>
      </c>
      <c r="I2">
        <v>1</v>
      </c>
      <c r="J2" s="28">
        <f>G2*I2</f>
        <v>68504378.9738291</v>
      </c>
    </row>
    <row r="3" spans="1:10" ht="15">
      <c r="A3" s="15" t="s">
        <v>70</v>
      </c>
      <c r="D3" s="15" t="s">
        <v>146</v>
      </c>
      <c r="G3" s="28">
        <f>4.27*1000000</f>
        <v>4270000</v>
      </c>
      <c r="H3" s="155">
        <f t="shared" si="0"/>
        <v>0.046055423627497</v>
      </c>
      <c r="I3">
        <v>1</v>
      </c>
      <c r="J3" s="28">
        <f>G3*I3</f>
        <v>4270000</v>
      </c>
    </row>
    <row r="4" spans="1:10" ht="15">
      <c r="A4" s="15" t="s">
        <v>2</v>
      </c>
      <c r="D4" s="15" t="s">
        <v>147</v>
      </c>
      <c r="G4" s="28">
        <f>4.27*1000000</f>
        <v>4270000</v>
      </c>
      <c r="H4" s="155">
        <f t="shared" si="0"/>
        <v>0.046055423627497</v>
      </c>
      <c r="I4">
        <v>1</v>
      </c>
      <c r="J4" s="28">
        <f>G4*I4</f>
        <v>4270000</v>
      </c>
    </row>
    <row r="5" spans="1:10" ht="15">
      <c r="A5" s="15" t="s">
        <v>353</v>
      </c>
      <c r="D5" s="15" t="s">
        <v>148</v>
      </c>
      <c r="G5">
        <v>0</v>
      </c>
      <c r="H5" s="155">
        <f t="shared" si="0"/>
        <v>0</v>
      </c>
      <c r="I5">
        <v>1</v>
      </c>
      <c r="J5" s="28">
        <f>G5*I5</f>
        <v>0</v>
      </c>
    </row>
    <row r="6" spans="1:10" ht="15">
      <c r="A6" s="15" t="s">
        <v>144</v>
      </c>
      <c r="D6" s="15" t="s">
        <v>249</v>
      </c>
      <c r="G6" s="34">
        <f>15.67*1000000</f>
        <v>15670000</v>
      </c>
      <c r="H6" s="158">
        <f t="shared" si="0"/>
        <v>0.16901369748076767</v>
      </c>
      <c r="I6">
        <v>1</v>
      </c>
      <c r="J6" s="28">
        <f>G6*I6</f>
        <v>15670000</v>
      </c>
    </row>
    <row r="7" spans="1:11" ht="15">
      <c r="A7" s="15" t="s">
        <v>142</v>
      </c>
      <c r="B7">
        <f>130-40</f>
        <v>90</v>
      </c>
      <c r="F7" s="13" t="s">
        <v>67</v>
      </c>
      <c r="G7" s="28">
        <f>SUM(G2:G6)</f>
        <v>92714378.9738291</v>
      </c>
      <c r="H7" s="155">
        <f t="shared" si="0"/>
        <v>1</v>
      </c>
      <c r="J7" s="28">
        <f>SUM(J2:J6)</f>
        <v>92714378.9738291</v>
      </c>
      <c r="K7" s="10">
        <f>J7/G7</f>
        <v>1</v>
      </c>
    </row>
    <row r="9" ht="15">
      <c r="A9" s="15"/>
    </row>
    <row r="10" spans="1:2" ht="15">
      <c r="A10" s="15" t="s">
        <v>131</v>
      </c>
      <c r="B10" s="155">
        <v>0.03</v>
      </c>
    </row>
    <row r="11" spans="1:2" ht="15">
      <c r="A11" s="15" t="s">
        <v>138</v>
      </c>
      <c r="B11" s="9">
        <f>G7*90/130</f>
        <v>64186877.75111246</v>
      </c>
    </row>
    <row r="12" spans="1:3" ht="15">
      <c r="A12" s="15" t="s">
        <v>139</v>
      </c>
      <c r="B12" s="9">
        <f>B11*1</f>
        <v>64186877.75111246</v>
      </c>
      <c r="C12" s="13"/>
    </row>
    <row r="13" spans="1:5" ht="15">
      <c r="A13" s="15" t="s">
        <v>114</v>
      </c>
      <c r="B13" s="2">
        <f>B12/B7</f>
        <v>713187.5305679162</v>
      </c>
      <c r="C13" s="13"/>
      <c r="E13" s="2"/>
    </row>
    <row r="14" spans="1:3" ht="15">
      <c r="A14" s="15" t="s">
        <v>113</v>
      </c>
      <c r="B14" s="9">
        <f>B12*485</f>
        <v>31130635709.289543</v>
      </c>
      <c r="C14" s="13"/>
    </row>
    <row r="15" spans="1:2" ht="15">
      <c r="A15" s="15"/>
      <c r="B15" t="s">
        <v>264</v>
      </c>
    </row>
    <row r="16" spans="1:21" ht="15">
      <c r="A16" s="15"/>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row>
    <row r="17" spans="1:4" ht="15">
      <c r="A17" s="15" t="s">
        <v>71</v>
      </c>
      <c r="B17" s="155">
        <v>0.25</v>
      </c>
      <c r="C17" s="155">
        <v>0.3</v>
      </c>
      <c r="D17" s="155">
        <v>0.45</v>
      </c>
    </row>
    <row r="18" spans="1:5" ht="15">
      <c r="A18" s="15"/>
      <c r="B18" s="32"/>
      <c r="C18" s="33"/>
      <c r="D18" s="33"/>
      <c r="E18" s="33"/>
    </row>
    <row r="19" spans="1:21" ht="15">
      <c r="A19" s="24" t="s">
        <v>102</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row>
    <row r="20" spans="1:6" ht="15">
      <c r="A20" s="15" t="s">
        <v>78</v>
      </c>
      <c r="B20" s="9">
        <f>$B14*B17</f>
        <v>7782658927.322386</v>
      </c>
      <c r="C20" s="9">
        <f>$B14*C17</f>
        <v>9339190712.786863</v>
      </c>
      <c r="D20" s="9">
        <f>$B14*D17</f>
        <v>14008786069.180294</v>
      </c>
      <c r="E20" s="9">
        <f>$B14*E17</f>
        <v>0</v>
      </c>
      <c r="F20" s="9">
        <f>$B14*F17</f>
        <v>0</v>
      </c>
    </row>
    <row r="21" spans="1:6" ht="15">
      <c r="A21" s="15" t="s">
        <v>103</v>
      </c>
      <c r="B21" s="9">
        <f>B20*0.1</f>
        <v>778265892.7322387</v>
      </c>
      <c r="C21" s="9">
        <f>C20*0.1</f>
        <v>933919071.2786864</v>
      </c>
      <c r="D21" s="9">
        <f>D20*0.1</f>
        <v>1400878606.9180295</v>
      </c>
      <c r="E21" s="9">
        <f>E20*0.1</f>
        <v>0</v>
      </c>
      <c r="F21" s="9">
        <f>F20*0.1</f>
        <v>0</v>
      </c>
    </row>
    <row r="22" spans="1:21" ht="15">
      <c r="A22" s="15" t="s">
        <v>137</v>
      </c>
      <c r="B22" s="9">
        <f>EntretienKolVel!B21*90/130</f>
        <v>0</v>
      </c>
      <c r="C22" s="9">
        <f>EntretienKolVel!C21*90/130</f>
        <v>137402644.84615386</v>
      </c>
      <c r="D22" s="9">
        <f>EntretienKolVel!D21*90/130</f>
        <v>237456880.6153846</v>
      </c>
      <c r="E22" s="9">
        <f>EntretienKolVel!E21*90/130</f>
        <v>145418171.53846154</v>
      </c>
      <c r="F22" s="9">
        <f>EntretienKolVel!F21*90/130</f>
        <v>243251532</v>
      </c>
      <c r="G22" s="9">
        <f>EntretienKolVel!G21*90/130</f>
        <v>149225586.92307693</v>
      </c>
      <c r="H22" s="9">
        <f>EntretienKolVel!H21*90/130</f>
        <v>258231638.76923078</v>
      </c>
      <c r="I22" s="9">
        <f>EntretienKolVel!I21*90/130</f>
        <v>151555837.84615386</v>
      </c>
      <c r="J22" s="9">
        <f>EntretienKolVel!J21*90/130</f>
        <v>273641322.46153843</v>
      </c>
      <c r="K22" s="9">
        <f>EntretienKolVel!K21*90/130</f>
        <v>153156608.30769232</v>
      </c>
      <c r="L22" s="9">
        <f>EntretienKolVel!L21*90/130</f>
        <v>290310748.61538464</v>
      </c>
      <c r="M22" s="9">
        <f>EntretienKolVel!M21*90/130</f>
        <v>154541301.23076922</v>
      </c>
      <c r="N22" s="9">
        <f>EntretienKolVel!N21*90/130</f>
        <v>308868945.2307692</v>
      </c>
      <c r="O22" s="9">
        <f>EntretienKolVel!O21*90/130</f>
        <v>239846895.69230768</v>
      </c>
      <c r="P22" s="9">
        <f>EntretienKolVel!P21*90/130</f>
        <v>245810478.46153846</v>
      </c>
      <c r="Q22" s="9">
        <f>EntretienKolVel!Q21*90/130</f>
        <v>252079088.55507693</v>
      </c>
      <c r="R22" s="9">
        <f>EntretienKolVel!R21*90/130</f>
        <v>258701387.9183114</v>
      </c>
      <c r="S22" s="9">
        <f>EntretienKolVel!S21*90/130</f>
        <v>265698215.16648567</v>
      </c>
      <c r="T22" s="9">
        <f>EntretienKolVel!T21*90/130</f>
        <v>273091546.3751472</v>
      </c>
      <c r="U22" s="9">
        <f>EntretienKolVel!U21*90/130</f>
        <v>280904717.141959</v>
      </c>
    </row>
    <row r="23" spans="1:21" ht="15">
      <c r="A23" s="24" t="s">
        <v>79</v>
      </c>
      <c r="B23" s="30"/>
      <c r="C23" s="31"/>
      <c r="D23" s="31"/>
      <c r="E23" s="30">
        <f aca="true" t="shared" si="1" ref="E23:U23">($E28*$E29*$B7)*(1+$B10)^(E19-$E19)</f>
        <v>6104429162.5085535</v>
      </c>
      <c r="F23" s="30">
        <f t="shared" si="1"/>
        <v>6287562037.38381</v>
      </c>
      <c r="G23" s="30">
        <f t="shared" si="1"/>
        <v>6476188898.505324</v>
      </c>
      <c r="H23" s="30">
        <f t="shared" si="1"/>
        <v>6670474565.4604845</v>
      </c>
      <c r="I23" s="30">
        <f t="shared" si="1"/>
        <v>6870588802.424298</v>
      </c>
      <c r="J23" s="30">
        <f t="shared" si="1"/>
        <v>7076706466.497026</v>
      </c>
      <c r="K23" s="30">
        <f t="shared" si="1"/>
        <v>7289007660.491938</v>
      </c>
      <c r="L23" s="30">
        <f t="shared" si="1"/>
        <v>7507677890.306697</v>
      </c>
      <c r="M23" s="30">
        <f t="shared" si="1"/>
        <v>7732908227.015897</v>
      </c>
      <c r="N23" s="30">
        <f t="shared" si="1"/>
        <v>7964895473.826374</v>
      </c>
      <c r="O23" s="30">
        <f t="shared" si="1"/>
        <v>8203842338.041164</v>
      </c>
      <c r="P23" s="30">
        <f t="shared" si="1"/>
        <v>8449957608.1824</v>
      </c>
      <c r="Q23" s="30">
        <f t="shared" si="1"/>
        <v>8703456336.42787</v>
      </c>
      <c r="R23" s="30">
        <f t="shared" si="1"/>
        <v>8964560026.520706</v>
      </c>
      <c r="S23" s="30">
        <f t="shared" si="1"/>
        <v>9233496827.316328</v>
      </c>
      <c r="T23" s="30">
        <f t="shared" si="1"/>
        <v>9510501732.135818</v>
      </c>
      <c r="U23" s="30">
        <f t="shared" si="1"/>
        <v>9795816784.099892</v>
      </c>
    </row>
    <row r="24" spans="1:21" ht="15">
      <c r="A24" s="15" t="s">
        <v>104</v>
      </c>
      <c r="B24" s="9">
        <f aca="true" t="shared" si="2" ref="B24:U24">B22+B23-B20-B21</f>
        <v>-8560924820.054625</v>
      </c>
      <c r="C24" s="9">
        <f t="shared" si="2"/>
        <v>-10135707139.219397</v>
      </c>
      <c r="D24" s="9">
        <f t="shared" si="2"/>
        <v>-15172207795.482939</v>
      </c>
      <c r="E24" s="9">
        <f t="shared" si="2"/>
        <v>6249847334.047015</v>
      </c>
      <c r="F24" s="9">
        <f t="shared" si="2"/>
        <v>6530813569.38381</v>
      </c>
      <c r="G24" s="9">
        <f t="shared" si="2"/>
        <v>6625414485.428401</v>
      </c>
      <c r="H24" s="9">
        <f t="shared" si="2"/>
        <v>6928706204.229715</v>
      </c>
      <c r="I24" s="9">
        <f t="shared" si="2"/>
        <v>7022144640.2704525</v>
      </c>
      <c r="J24" s="9">
        <f t="shared" si="2"/>
        <v>7350347788.958565</v>
      </c>
      <c r="K24" s="9">
        <f t="shared" si="2"/>
        <v>7442164268.79963</v>
      </c>
      <c r="L24" s="9">
        <f t="shared" si="2"/>
        <v>7797988638.922082</v>
      </c>
      <c r="M24" s="9">
        <f t="shared" si="2"/>
        <v>7887449528.246666</v>
      </c>
      <c r="N24" s="9">
        <f t="shared" si="2"/>
        <v>8273764419.057143</v>
      </c>
      <c r="O24" s="9">
        <f t="shared" si="2"/>
        <v>8443689233.733472</v>
      </c>
      <c r="P24" s="9">
        <f t="shared" si="2"/>
        <v>8695768086.643938</v>
      </c>
      <c r="Q24" s="9">
        <f t="shared" si="2"/>
        <v>8955535424.982946</v>
      </c>
      <c r="R24" s="9">
        <f t="shared" si="2"/>
        <v>9223261414.439018</v>
      </c>
      <c r="S24" s="9">
        <f t="shared" si="2"/>
        <v>9499195042.482813</v>
      </c>
      <c r="T24" s="9">
        <f t="shared" si="2"/>
        <v>9783593278.510965</v>
      </c>
      <c r="U24" s="9">
        <f t="shared" si="2"/>
        <v>10076721501.24185</v>
      </c>
    </row>
    <row r="25" spans="6:21" ht="12.75">
      <c r="F25" s="9"/>
      <c r="G25" s="9"/>
      <c r="H25" s="9"/>
      <c r="I25" s="9"/>
      <c r="J25" s="9"/>
      <c r="K25" s="9"/>
      <c r="L25" s="9"/>
      <c r="M25" s="9"/>
      <c r="N25" s="9"/>
      <c r="O25" s="9"/>
      <c r="P25" s="9"/>
      <c r="Q25" s="9"/>
      <c r="R25" s="9"/>
      <c r="S25" s="9"/>
      <c r="T25" s="9"/>
      <c r="U25" s="9"/>
    </row>
    <row r="26" spans="1:21" ht="15">
      <c r="A26" s="15" t="s">
        <v>105</v>
      </c>
      <c r="B26" s="156">
        <f>IRR(B24:U24,0.1)</f>
        <v>0.17428750121695646</v>
      </c>
      <c r="C26" s="9"/>
      <c r="D26" s="9"/>
      <c r="E26" s="9"/>
      <c r="F26" s="9"/>
      <c r="G26" s="9"/>
      <c r="H26" s="9"/>
      <c r="I26" s="9"/>
      <c r="J26" s="9"/>
      <c r="K26" s="9"/>
      <c r="L26" s="9"/>
      <c r="M26" s="9"/>
      <c r="N26" s="9"/>
      <c r="O26" s="9"/>
      <c r="P26" s="9"/>
      <c r="Q26" s="9"/>
      <c r="R26" s="9"/>
      <c r="S26" s="9"/>
      <c r="T26" s="9"/>
      <c r="U26" s="9"/>
    </row>
    <row r="27" spans="1:21" ht="15">
      <c r="A27" s="15"/>
      <c r="B27" s="156"/>
      <c r="C27" s="9"/>
      <c r="D27" s="9"/>
      <c r="E27" s="9"/>
      <c r="F27" s="9"/>
      <c r="G27" s="9"/>
      <c r="H27" s="9"/>
      <c r="I27" s="9"/>
      <c r="J27" s="9"/>
      <c r="K27" s="9"/>
      <c r="L27" s="9"/>
      <c r="M27" s="9"/>
      <c r="N27" s="9"/>
      <c r="O27" s="9"/>
      <c r="P27" s="9"/>
      <c r="Q27" s="9"/>
      <c r="R27" s="9"/>
      <c r="S27" s="9"/>
      <c r="T27" s="9"/>
      <c r="U27" s="9"/>
    </row>
    <row r="28" spans="1:6" ht="15">
      <c r="A28" s="15" t="s">
        <v>140</v>
      </c>
      <c r="B28" s="9"/>
      <c r="C28" s="9"/>
      <c r="D28" s="9"/>
      <c r="E28" s="2">
        <v>1709</v>
      </c>
      <c r="F28" t="s">
        <v>161</v>
      </c>
    </row>
    <row r="29" spans="1:5" ht="15">
      <c r="A29" s="15" t="s">
        <v>153</v>
      </c>
      <c r="B29" s="9"/>
      <c r="C29" s="9"/>
      <c r="D29" s="9"/>
      <c r="E29" s="29">
        <f>'Vel-MandaFeasSim'!B45</f>
        <v>39688.116263627555</v>
      </c>
    </row>
    <row r="30" spans="1:5" ht="15">
      <c r="A30" s="15"/>
      <c r="B30" s="9"/>
      <c r="C30" s="9"/>
      <c r="D30" s="9"/>
      <c r="E30" s="2"/>
    </row>
    <row r="32" spans="6:7" ht="12.75">
      <c r="F32" s="2"/>
      <c r="G32" s="2"/>
    </row>
    <row r="33" ht="27" customHeight="1"/>
    <row r="40" ht="27" customHeight="1"/>
    <row r="60" ht="27" customHeight="1"/>
    <row r="66" ht="27" customHeight="1"/>
    <row r="77" ht="27" customHeight="1"/>
    <row r="86" ht="27" customHeight="1"/>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Deren</dc:creator>
  <cp:keywords/>
  <dc:description>Version History:
1.3: addition of analysis for Zinguinchor-Tanaff-Kolda segment only.
2.0: updating of costs from NKR of 24 June 2009.
2.1: updated Compact Administration costs in line with multi-year financial plan.
        Basic Sensitivity Analysis added.
2.2: Change in Tn-Kolda base traffic 1141-&gt;1439.</dc:description>
  <cp:lastModifiedBy>Andrew Carter</cp:lastModifiedBy>
  <cp:lastPrinted>2010-06-17T16:05:44Z</cp:lastPrinted>
  <dcterms:created xsi:type="dcterms:W3CDTF">2009-05-08T15:18:10Z</dcterms:created>
  <dcterms:modified xsi:type="dcterms:W3CDTF">2012-01-17T19:32:26Z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