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8700" activeTab="1"/>
  </bookViews>
  <sheets>
    <sheet name="User Guide" sheetId="1" r:id="rId1"/>
    <sheet name="Activity Description" sheetId="2" r:id="rId2"/>
    <sheet name="ERR and Sensitivity Analysis" sheetId="3" r:id="rId3"/>
    <sheet name="ERR Calculation" sheetId="4" r:id="rId4"/>
    <sheet name="RT-Nd" sheetId="5" state="hidden" r:id="rId5"/>
    <sheet name="Nd-Th" sheetId="6" state="hidden" r:id="rId6"/>
    <sheet name="Sum" sheetId="7" state="hidden" r:id="rId7"/>
    <sheet name="BASummary_RN2" sheetId="8" state="hidden" r:id="rId8"/>
    <sheet name="RT-Nd_Sensit" sheetId="9" state="hidden" r:id="rId9"/>
    <sheet name="BA worksheet" sheetId="10" state="hidden" r:id="rId10"/>
    <sheet name="New BA" sheetId="11" state="hidden" r:id="rId11"/>
  </sheets>
  <externalReferences>
    <externalReference r:id="rId14"/>
  </externalReferences>
  <definedNames>
    <definedName name="CBWorkbookPriority" hidden="1">-1554024671</definedName>
    <definedName name="PPP_exrate" localSheetId="7">'[1]RN6ZigTnKolVel'!$B$45</definedName>
    <definedName name="PPP_exrate">'RT-Nd'!$B$94</definedName>
    <definedName name="STAT">#N/A</definedName>
  </definedNames>
  <calcPr fullCalcOnLoad="1"/>
</workbook>
</file>

<file path=xl/comments5.xml><?xml version="1.0" encoding="utf-8"?>
<comments xmlns="http://schemas.openxmlformats.org/spreadsheetml/2006/main">
  <authors>
    <author>derenb</author>
  </authors>
  <commentList>
    <comment ref="N63" authorId="0">
      <text>
        <r>
          <rPr>
            <b/>
            <sz val="8"/>
            <rFont val="Tahoma"/>
            <family val="2"/>
          </rPr>
          <t>derenb:</t>
        </r>
        <r>
          <rPr>
            <sz val="8"/>
            <rFont val="Tahoma"/>
            <family val="2"/>
          </rPr>
          <t xml:space="preserve">
No 'conversion factor' applied
</t>
        </r>
      </text>
    </comment>
    <comment ref="H79" authorId="0">
      <text>
        <r>
          <rPr>
            <b/>
            <sz val="8"/>
            <rFont val="Tahoma"/>
            <family val="2"/>
          </rPr>
          <t>derenb:</t>
        </r>
        <r>
          <rPr>
            <sz val="8"/>
            <rFont val="Tahoma"/>
            <family val="2"/>
          </rPr>
          <t xml:space="preserve">
Includes foregone investment/maintenance without project</t>
        </r>
      </text>
    </comment>
    <comment ref="N79" authorId="0">
      <text>
        <r>
          <rPr>
            <b/>
            <sz val="8"/>
            <rFont val="Tahoma"/>
            <family val="2"/>
          </rPr>
          <t>derenb:</t>
        </r>
        <r>
          <rPr>
            <sz val="8"/>
            <rFont val="Tahoma"/>
            <family val="2"/>
          </rPr>
          <t xml:space="preserve">
Includes foregone investment/maintenance without project.</t>
        </r>
      </text>
    </comment>
    <comment ref="D79" authorId="0">
      <text>
        <r>
          <rPr>
            <b/>
            <sz val="8"/>
            <rFont val="Tahoma"/>
            <family val="2"/>
          </rPr>
          <t>derenb:</t>
        </r>
        <r>
          <rPr>
            <sz val="8"/>
            <rFont val="Tahoma"/>
            <family val="2"/>
          </rPr>
          <t xml:space="preserve">
Factor of 1.13 applied to accommodate disruption during construction.</t>
        </r>
      </text>
    </comment>
  </commentList>
</comments>
</file>

<file path=xl/comments8.xml><?xml version="1.0" encoding="utf-8"?>
<comments xmlns="http://schemas.openxmlformats.org/spreadsheetml/2006/main">
  <authors>
    <author>derenb</author>
  </authors>
  <commentList>
    <comment ref="L34" authorId="0">
      <text>
        <r>
          <rPr>
            <b/>
            <sz val="8"/>
            <rFont val="Tahoma"/>
            <family val="2"/>
          </rPr>
          <t>derenb:</t>
        </r>
        <r>
          <rPr>
            <sz val="8"/>
            <rFont val="Tahoma"/>
            <family val="2"/>
          </rPr>
          <t xml:space="preserve">
From CIA World Factbook. Is there a better estimate?</t>
        </r>
      </text>
    </comment>
  </commentList>
</comments>
</file>

<file path=xl/sharedStrings.xml><?xml version="1.0" encoding="utf-8"?>
<sst xmlns="http://schemas.openxmlformats.org/spreadsheetml/2006/main" count="506" uniqueCount="246">
  <si>
    <t>Senegal</t>
  </si>
  <si>
    <t>RN2</t>
  </si>
  <si>
    <t>(FCFA million)</t>
  </si>
  <si>
    <t>Investment</t>
  </si>
  <si>
    <t>With Project</t>
  </si>
  <si>
    <t>Without Project</t>
  </si>
  <si>
    <t>Veh Op Costs</t>
  </si>
  <si>
    <t>Time Costs</t>
  </si>
  <si>
    <t>Fonctionnement</t>
  </si>
  <si>
    <t>Incremental</t>
  </si>
  <si>
    <t>ERR</t>
  </si>
  <si>
    <t>Population (zone of influence)</t>
  </si>
  <si>
    <t>Dagana</t>
  </si>
  <si>
    <t>RT</t>
  </si>
  <si>
    <t>Podor</t>
  </si>
  <si>
    <t>Gollere</t>
  </si>
  <si>
    <t>Ndioum</t>
  </si>
  <si>
    <t>(source: Situation economique et sociale du Senegal, 2005; MCA feasibility report)</t>
  </si>
  <si>
    <t>Estimated 2009</t>
  </si>
  <si>
    <t>km</t>
  </si>
  <si>
    <t>RT-Ndioum</t>
  </si>
  <si>
    <t>Ndioum-Thilonge</t>
  </si>
  <si>
    <t>Presentation of the Feasibility: Richard Toll-Ndioum</t>
  </si>
  <si>
    <t>FS Costs (CFCA million)</t>
  </si>
  <si>
    <t>FS Costs (USD million)</t>
  </si>
  <si>
    <t>FS Costs wo 80% adj (USD million)</t>
  </si>
  <si>
    <t>Analysis with Diligenced Costs</t>
  </si>
  <si>
    <t>Base cost of 260 km (USD million)</t>
  </si>
  <si>
    <t>Supervision</t>
  </si>
  <si>
    <t>Management</t>
  </si>
  <si>
    <t>Techincal Risk</t>
  </si>
  <si>
    <t>Financial Risk</t>
  </si>
  <si>
    <t>Total</t>
  </si>
  <si>
    <t>Cost per km (USD)</t>
  </si>
  <si>
    <t>(NB: Maintenance costs largely do not change with/without project)</t>
  </si>
  <si>
    <t>Project Year</t>
  </si>
  <si>
    <t>Presentation of the Feasibility: Ndioum-Thilogne</t>
  </si>
  <si>
    <t>NPV @ 12%</t>
  </si>
  <si>
    <t>Traffic</t>
  </si>
  <si>
    <t>Road Length</t>
  </si>
  <si>
    <t>Increment</t>
  </si>
  <si>
    <t>Richard Toll - Ndioum</t>
  </si>
  <si>
    <t>Incremental net benefit (FCFA million)</t>
  </si>
  <si>
    <t>Approach based on average benefits per traffic vehicle per road length (cf simulation of results for Velingara-Manda Douane of the RN6)</t>
  </si>
  <si>
    <t>cf USD 82 for RN6:  IRI for RN6 is &gt;16; IRI for this segment of the RN2 is 8.4</t>
  </si>
  <si>
    <t>Incremental Net Benefits</t>
  </si>
  <si>
    <t>traffic growth rate</t>
  </si>
  <si>
    <t>Base Net benefits per MV/km road</t>
  </si>
  <si>
    <t>Vehicle Base Traffic</t>
  </si>
  <si>
    <t>Estimated returns based on feasibility study Annex J data on net savings for Richard Toll-Ndioum</t>
  </si>
  <si>
    <t>This result was based on discounting investments by 0.80; removing this variation the net benefit stream would have been the following:</t>
  </si>
  <si>
    <t>Analysis on the basis of the net benefit stream presented in Feasibility Study Annex J and using diligenced costs</t>
  </si>
  <si>
    <t>Diligenced Costs</t>
  </si>
  <si>
    <t>FS Costs w/o 80% adj (USD million)</t>
  </si>
  <si>
    <t>FS Costs w/o 80% adj (FCFA million)</t>
  </si>
  <si>
    <t>FS 'Economic' Costs (USD million)</t>
  </si>
  <si>
    <t>Year</t>
  </si>
  <si>
    <t xml:space="preserve">Induced/generated traffic </t>
  </si>
  <si>
    <t>(spread over three years following completion of the investment)</t>
  </si>
  <si>
    <t>Estimated PPP Exchange Rate</t>
  </si>
  <si>
    <t>Distribution of Households in Road Catchment</t>
  </si>
  <si>
    <t>Households consuming at PPP USD/person/day</t>
  </si>
  <si>
    <t>&lt;1.25</t>
  </si>
  <si>
    <t>1.25-2</t>
  </si>
  <si>
    <t>2-4</t>
  </si>
  <si>
    <t>&gt;4</t>
  </si>
  <si>
    <t>National Average</t>
  </si>
  <si>
    <t>Estimated in Road Catchment</t>
  </si>
  <si>
    <t>(Source: Interpolation based on poverty incidence in road districts; ESPS 2005-2006)</t>
  </si>
  <si>
    <t>Share of traffic that is regional</t>
  </si>
  <si>
    <t>Estimated Distribution of Net Benefits</t>
  </si>
  <si>
    <t>RN6 Catchment and Rest of the Country</t>
  </si>
  <si>
    <t>Present Value of Net Benefit Stream at 10% (FCFA million)</t>
  </si>
  <si>
    <t>Present Value of Net Benefit Stream at 10% (USD million)</t>
  </si>
  <si>
    <t>Number of Households in 10 km Catchment</t>
  </si>
  <si>
    <t>Number of Beneficiaries within Catchment</t>
  </si>
  <si>
    <t>Beneficiaries per km within Catchment (person/10 km2)</t>
  </si>
  <si>
    <t>Implied Population Density (person/km2)</t>
  </si>
  <si>
    <t>Households per km2</t>
  </si>
  <si>
    <t>Number of Households outside Catchment</t>
  </si>
  <si>
    <t>Number of Beneficiaries Outside Catchment</t>
  </si>
  <si>
    <t>Total Beneficiary Households</t>
  </si>
  <si>
    <t>Total Beneficiaries</t>
  </si>
  <si>
    <t>Average Present Value of benefits per beneficiary (FCFA'000)</t>
  </si>
  <si>
    <t>Average Present Value of benefits per beneficiary (PPP USD)</t>
  </si>
  <si>
    <t>&lt;2</t>
  </si>
  <si>
    <t>Distribution of Road Beneficiaries</t>
  </si>
  <si>
    <t>Distrbution of Road Benefits (PPP USD million)</t>
  </si>
  <si>
    <t>Distribution of Present Value of Benefits per Beneficiary (PPP USD)</t>
  </si>
  <si>
    <t>Calculation of Present Income by Consumption Category</t>
  </si>
  <si>
    <t>monthly income/person</t>
  </si>
  <si>
    <t>annual income/person</t>
  </si>
  <si>
    <t>Discounted Current Annual Income Streams over 20 Years</t>
  </si>
  <si>
    <t>Present Value</t>
  </si>
  <si>
    <t>Present Value of  Consumption Streams of Beneficiaries (PPP USD million)</t>
  </si>
  <si>
    <t>Average PV benefit stream as share of PV existing consumption</t>
  </si>
  <si>
    <t>Present Value of Investment Costs (FCFA million)</t>
  </si>
  <si>
    <t>Present Value of Investment Costs (USD million)</t>
  </si>
  <si>
    <t>Present Value Benefit Stream/Project Dollar Spent</t>
  </si>
  <si>
    <t>Millennium Challenge Corporation</t>
  </si>
  <si>
    <t>Economic Analysis</t>
  </si>
  <si>
    <t>Richard Toll - Ndioum Segment</t>
  </si>
  <si>
    <t>Poverty Scorecard</t>
  </si>
  <si>
    <r>
      <t>Project Cost (</t>
    </r>
    <r>
      <rPr>
        <b/>
        <sz val="8"/>
        <rFont val="Arial"/>
        <family val="2"/>
      </rPr>
      <t>Millions constant USD</t>
    </r>
    <r>
      <rPr>
        <b/>
        <sz val="9"/>
        <rFont val="Arial"/>
        <family val="2"/>
      </rPr>
      <t>)</t>
    </r>
    <r>
      <rPr>
        <b/>
        <vertAlign val="superscript"/>
        <sz val="9"/>
        <rFont val="Arial"/>
        <family val="2"/>
      </rPr>
      <t>1</t>
    </r>
  </si>
  <si>
    <t>20-Year ERR</t>
  </si>
  <si>
    <r>
      <t xml:space="preserve">Present Value </t>
    </r>
    <r>
      <rPr>
        <b/>
        <sz val="8"/>
        <rFont val="Arial"/>
        <family val="2"/>
      </rPr>
      <t>(PV)</t>
    </r>
    <r>
      <rPr>
        <b/>
        <sz val="9"/>
        <rFont val="Arial"/>
        <family val="2"/>
      </rPr>
      <t xml:space="preserve"> of Benefit Stream </t>
    </r>
    <r>
      <rPr>
        <b/>
        <sz val="8"/>
        <rFont val="Arial"/>
        <family val="2"/>
      </rPr>
      <t>(Millions USD)</t>
    </r>
  </si>
  <si>
    <t>Consumption per day (PPP $)</t>
  </si>
  <si>
    <t>Beneficiaries</t>
  </si>
  <si>
    <t>&lt; $1.25</t>
  </si>
  <si>
    <r>
      <t xml:space="preserve">&lt; $2 </t>
    </r>
    <r>
      <rPr>
        <vertAlign val="superscript"/>
        <sz val="9"/>
        <rFont val="Arial"/>
        <family val="2"/>
      </rPr>
      <t>2</t>
    </r>
    <r>
      <rPr>
        <sz val="9"/>
        <rFont val="Arial"/>
        <family val="2"/>
      </rPr>
      <t xml:space="preserve"> </t>
    </r>
  </si>
  <si>
    <t>$2-$4</t>
  </si>
  <si>
    <t>&gt; $4</t>
  </si>
  <si>
    <r>
      <t xml:space="preserve">Beneficiary Households in Year 20 </t>
    </r>
    <r>
      <rPr>
        <sz val="8"/>
        <rFont val="Arial"/>
        <family val="2"/>
      </rPr>
      <t>(#)</t>
    </r>
  </si>
  <si>
    <r>
      <t xml:space="preserve">Beneficiary Individuals in Year 20 </t>
    </r>
    <r>
      <rPr>
        <sz val="8"/>
        <rFont val="Arial"/>
        <family val="2"/>
      </rPr>
      <t>(#)</t>
    </r>
  </si>
  <si>
    <t>Population held constant at level of participation achieved at full develpoment.</t>
  </si>
  <si>
    <r>
      <t xml:space="preserve">National Population in Year 20 </t>
    </r>
    <r>
      <rPr>
        <vertAlign val="superscript"/>
        <sz val="9"/>
        <rFont val="Arial"/>
        <family val="2"/>
      </rPr>
      <t>3</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</si>
  <si>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4</t>
    </r>
  </si>
  <si>
    <r>
      <t xml:space="preserve">National Population by Poverty Level </t>
    </r>
    <r>
      <rPr>
        <vertAlign val="superscript"/>
        <sz val="9"/>
        <rFont val="Arial"/>
        <family val="2"/>
      </rPr>
      <t>5</t>
    </r>
    <r>
      <rPr>
        <sz val="9"/>
        <rFont val="Arial"/>
        <family val="2"/>
      </rPr>
      <t xml:space="preserve"> </t>
    </r>
    <r>
      <rPr>
        <sz val="8"/>
        <rFont val="Arial"/>
        <family val="2"/>
      </rPr>
      <t>(%)</t>
    </r>
  </si>
  <si>
    <t>The Magnitude of the Benefits</t>
  </si>
  <si>
    <r>
      <t xml:space="preserve">PV of Benefit Stream Per Beneficiary </t>
    </r>
    <r>
      <rPr>
        <sz val="8"/>
        <rFont val="Arial"/>
        <family val="2"/>
      </rPr>
      <t xml:space="preserve">(USD) </t>
    </r>
  </si>
  <si>
    <r>
      <t>PV of Benefit Stream as Share of Annual Income</t>
    </r>
    <r>
      <rPr>
        <sz val="8"/>
        <rFont val="Arial"/>
        <family val="2"/>
      </rPr>
      <t xml:space="preserve"> (%)</t>
    </r>
  </si>
  <si>
    <t>Cost Effectiveness</t>
  </si>
  <si>
    <r>
      <t xml:space="preserve">PV of Benefit Stream/Project Dollar </t>
    </r>
    <r>
      <rPr>
        <sz val="8"/>
        <rFont val="Arial"/>
        <family val="2"/>
      </rPr>
      <t>(USD/USD)</t>
    </r>
  </si>
  <si>
    <t>Population projection</t>
  </si>
  <si>
    <t>Percent of Project Participants Who Are Female</t>
  </si>
  <si>
    <t>Growth Rate</t>
  </si>
  <si>
    <r>
      <t xml:space="preserve">GNI per capita </t>
    </r>
    <r>
      <rPr>
        <vertAlign val="superscript"/>
        <sz val="9"/>
        <rFont val="Arial"/>
        <family val="2"/>
      </rPr>
      <t xml:space="preserve">6 </t>
    </r>
    <r>
      <rPr>
        <sz val="9"/>
        <rFont val="Arial"/>
        <family val="2"/>
      </rPr>
      <t>(USD)</t>
    </r>
  </si>
  <si>
    <t>Current National Population</t>
  </si>
  <si>
    <t>NB: all benefits incremental; PVs based on 10% discount rate and exclude MCC costs but net out any local costs</t>
  </si>
  <si>
    <r>
      <t xml:space="preserve">1    </t>
    </r>
    <r>
      <rPr>
        <sz val="8"/>
        <rFont val="Arial"/>
        <family val="2"/>
      </rPr>
      <t>Present value of total investment costs expressed in mid-2009 values</t>
    </r>
  </si>
  <si>
    <r>
      <t xml:space="preserve">2    </t>
    </r>
    <r>
      <rPr>
        <sz val="8"/>
        <rFont val="Arial"/>
        <family val="2"/>
      </rPr>
      <t>The beneficiaries and population living on less than $2 per day include those under $1.25 per day</t>
    </r>
  </si>
  <si>
    <r>
      <t xml:space="preserve">3    </t>
    </r>
    <r>
      <rPr>
        <sz val="8"/>
        <rFont val="Arial"/>
        <family val="2"/>
      </rPr>
      <t>Based on estimated 2009 population (CIA World Factbook), projected to Year 20</t>
    </r>
  </si>
  <si>
    <r>
      <t xml:space="preserve">4,5 </t>
    </r>
    <r>
      <rPr>
        <sz val="8"/>
        <rFont val="Arial"/>
        <family val="2"/>
      </rPr>
      <t>Based on National income distribution figures from ESPS 2005-2006 data</t>
    </r>
  </si>
  <si>
    <r>
      <t xml:space="preserve">6   </t>
    </r>
    <r>
      <rPr>
        <sz val="8"/>
        <rFont val="Arial"/>
        <family val="2"/>
      </rPr>
      <t>See MCC 2009 Scorecard</t>
    </r>
  </si>
  <si>
    <t>RN2 Project: Richard Toll - Ndioum</t>
  </si>
  <si>
    <t>(Source: Feasibility Study)</t>
  </si>
  <si>
    <t>Sensitivity Analysis</t>
  </si>
  <si>
    <t>Analysis for the IM</t>
  </si>
  <si>
    <t xml:space="preserve">Incremental Benefit </t>
  </si>
  <si>
    <t>Incremental net benefit</t>
  </si>
  <si>
    <t>Variation of Incremental Road Cost Savings</t>
  </si>
  <si>
    <t>Base cost of 120 km (USD million)</t>
  </si>
  <si>
    <t>Compact Administration Costs (USD million)</t>
  </si>
  <si>
    <t>before Compact Adminstration Costs</t>
  </si>
  <si>
    <t>Compact Adminstration Costs</t>
  </si>
  <si>
    <t>after Compact Adminstration Costs</t>
  </si>
  <si>
    <t>Weighted Road ERR</t>
  </si>
  <si>
    <r>
      <t xml:space="preserve">MCC Cost </t>
    </r>
    <r>
      <rPr>
        <b/>
        <sz val="8"/>
        <rFont val="Arial"/>
        <family val="2"/>
      </rPr>
      <t>(Millions USD)</t>
    </r>
  </si>
  <si>
    <t>Current in calculation</t>
  </si>
  <si>
    <t>15% increase in traffic plus growth</t>
  </si>
  <si>
    <t>15% increase in traffic plus growth plus 10% increase then growth</t>
  </si>
  <si>
    <t>Avant projet</t>
  </si>
  <si>
    <t>Avec projet</t>
  </si>
  <si>
    <t>(Source of traffic and savings data: feasibility study Annex F)</t>
  </si>
  <si>
    <t>(Source: PovCalc based on ESPS 2005-2006; follows distribution of irrigation project beneficiaries)</t>
  </si>
  <si>
    <t>The following calculation is a reality check</t>
  </si>
  <si>
    <t>Summary</t>
  </si>
  <si>
    <t>Description of Key Parameters</t>
  </si>
  <si>
    <t>Parameter Values</t>
  </si>
  <si>
    <t>User Input</t>
  </si>
  <si>
    <t>MCC Estimate</t>
  </si>
  <si>
    <t>Plausible Range</t>
  </si>
  <si>
    <t>Values Used in Computation</t>
  </si>
  <si>
    <t>Actual costs as a percentage of estimated costs</t>
  </si>
  <si>
    <t>80-120%</t>
  </si>
  <si>
    <t>Actual benefits as a percentage of estimated benefits</t>
  </si>
  <si>
    <t>Specific</t>
  </si>
  <si>
    <t>Parameter Type</t>
  </si>
  <si>
    <r>
      <t>Project Cost (Millions constant USD)</t>
    </r>
    <r>
      <rPr>
        <b/>
        <vertAlign val="superscript"/>
        <sz val="9"/>
        <rFont val="Arial"/>
        <family val="2"/>
      </rPr>
      <t>1</t>
    </r>
  </si>
  <si>
    <r>
      <t xml:space="preserve">3    </t>
    </r>
    <r>
      <rPr>
        <sz val="8"/>
        <rFont val="Arial"/>
        <family val="2"/>
      </rPr>
      <t>Based on estimated 2010 population (CIA World Factbook), projected to Year 20</t>
    </r>
  </si>
  <si>
    <r>
      <t xml:space="preserve">4,5 </t>
    </r>
    <r>
      <rPr>
        <sz val="8"/>
        <rFont val="Arial"/>
        <family val="2"/>
      </rPr>
      <t>Based on National income distribution figures from ESPS 2007 data</t>
    </r>
  </si>
  <si>
    <r>
      <t xml:space="preserve">6   </t>
    </r>
    <r>
      <rPr>
        <sz val="8"/>
        <rFont val="Arial"/>
        <family val="2"/>
      </rPr>
      <t>See MCC 2010 Scorecard</t>
    </r>
  </si>
  <si>
    <t>MCC costs</t>
  </si>
  <si>
    <t>Present Value of Investment Costs (FCFA)</t>
  </si>
  <si>
    <t>Present Value of Investment Costs (USD)</t>
  </si>
  <si>
    <t>Present Value of Benefit Stream (FCFA)</t>
  </si>
  <si>
    <t>Present Value of Benefit Stream (USD)</t>
  </si>
  <si>
    <t>net benefits</t>
  </si>
  <si>
    <t>Total net benefits-MCC costs (PPP)</t>
  </si>
  <si>
    <t>Total beneficiaries</t>
  </si>
  <si>
    <t>MILLENNIUM CHALLENGE CORPORATION</t>
  </si>
  <si>
    <t>Direct Interventions/PPO Capacity Building</t>
  </si>
  <si>
    <t>MCC Project Costs</t>
  </si>
  <si>
    <t>NPV</t>
  </si>
  <si>
    <t>10.9% over 20 years</t>
  </si>
  <si>
    <t>In FCFA million unless otherwise specified</t>
  </si>
  <si>
    <t>Road:</t>
  </si>
  <si>
    <t>Total Costs</t>
  </si>
  <si>
    <t>exchange rate (FCFA/USD)</t>
  </si>
  <si>
    <t xml:space="preserve">Base cost of 260 km </t>
  </si>
  <si>
    <t>Exchange rate (FCFA/USD)</t>
  </si>
  <si>
    <t>Total Diligenced Costs</t>
  </si>
  <si>
    <t>Incremental Net Benefit</t>
  </si>
  <si>
    <t>Diligenced Costs  (USD million)</t>
  </si>
  <si>
    <t>ERR Calculation</t>
  </si>
  <si>
    <t>A brief summary of the project's key parameters and ERR calculations.</t>
  </si>
  <si>
    <t>430-530</t>
  </si>
  <si>
    <t>Estimated base cost for 260km</t>
  </si>
  <si>
    <t>Estimated financial risk as a percentage of actual financial risk</t>
  </si>
  <si>
    <t>$72 million</t>
  </si>
  <si>
    <t xml:space="preserve">PPP conversion </t>
  </si>
  <si>
    <t>#of ben</t>
  </si>
  <si>
    <t>%age</t>
  </si>
  <si>
    <t>PROJECT NAME</t>
  </si>
  <si>
    <t>National Road No. 2 (RN2) Activity</t>
  </si>
  <si>
    <t>Senegal: Road RN2</t>
  </si>
  <si>
    <t>Economic rate of return (ERR):</t>
  </si>
  <si>
    <t>MCC Estimated ERR (as of 6/10/2010):</t>
  </si>
  <si>
    <t>SPREADSHEET VERSION</t>
  </si>
  <si>
    <t>Investment memo, final</t>
  </si>
  <si>
    <t>DATE</t>
  </si>
  <si>
    <t>AMOUNT OF MCC FUNDS</t>
  </si>
  <si>
    <t>PROJECT DESCRIPTION</t>
  </si>
  <si>
    <t>BENEFIT STREAMS INCLUDED IN ERR</t>
  </si>
  <si>
    <t>ESTIMATED ERR AND TIMELINE</t>
  </si>
  <si>
    <t>WORKSHEETS IN THIS FILE</t>
  </si>
  <si>
    <t>Activity Description</t>
  </si>
  <si>
    <t>One should read this sheet first, as it offers a summary of the activity, a list of components, and states the economic rationale for the project.</t>
  </si>
  <si>
    <t>ERR &amp; Sensitivity Analysis</t>
  </si>
  <si>
    <t>Road Rehabilitation Project</t>
  </si>
  <si>
    <t>Rehabilitating and upgrading RN2</t>
  </si>
  <si>
    <t>Saved time and vehicle operation costs</t>
  </si>
  <si>
    <t>SUMMARY</t>
  </si>
  <si>
    <t>COMPONENTS</t>
  </si>
  <si>
    <t>Specifically, MCC Funding will support</t>
  </si>
  <si>
    <t>1.</t>
  </si>
  <si>
    <t>2.</t>
  </si>
  <si>
    <t>ECONOMIC RATIONALE</t>
  </si>
  <si>
    <t xml:space="preserve">MCC Funding will be used to rehabilitate and upgrade approximately 120 kilometers of the RN2
road, from Richard Toll to Ndioum, and replace or upgrade associated structures, such as bridges
and culverts, to eliminate flooding and improve road safety. The RN2’s improvement is
expected to stimulate domestic and trans-border traffic and commerce generally as well as
specifically provide reliable, year-round access to markets, schools, and hospitals, including
during the rainy seasons, throughout the primarily agricultural and agricultural processing area
where the Activity is focused. </t>
  </si>
  <si>
    <t>Construction Costs. These costs include, without limitation, pavement strengthening, road widening, road safety improvements, and replacement or upgrading of associated structures, such as bridges and culverts, and any activity associated with the environmental management plan developed with respect to the Activity.</t>
  </si>
  <si>
    <t>Non-Construction Costs. These costs include, without limitation, studies, construction supervision, implementation of any resettlement action plan developed with respect to the Activity, and other project management costs to be incurred in connection with the RN2 Road Activity.</t>
  </si>
  <si>
    <t>ERR and Sensitivity analysis</t>
  </si>
  <si>
    <t>Last updated:  8/24/2007</t>
  </si>
  <si>
    <t>NOTES:</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</si>
  <si>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</si>
  <si>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All summary parameters set to initial values?</t>
  </si>
  <si>
    <t>More Info</t>
  </si>
  <si>
    <t>User's Guide</t>
  </si>
  <si>
    <t>Operation costs</t>
  </si>
  <si>
    <t>The analysis of the RN2 and the RN6 investments focuses on the estimation ofthe cost savings accruing to transport operators and consumers of transport services following the improvement of road surface conditions and geometries. This cost-savings approach, measuring primary effects that directly affect road users, is an approximate, proxy measure of the broad social benefits accruing to the general population served by the infrastructure and relating to changes in incomes8. The approach is employed to achieve an indirect measure of income effects arising from multiple sources that are both difficult to define with much precision, difficult to predict because of the dynamic and interacting responses that might be involved, and because there may be variable and overlapping sets of beneficiaries9. This is in contrast with the income benefits of the ilTigation investment, which is specifically defined around a single type of activity that is associated with a more or less identifiable group of participants.</t>
  </si>
  <si>
    <t>The primary effects that are considered include reduced vehicle operating costs, reduced travel
time, changes in maintenance costs, changes in accident rates, increases in the value of goods
moved, more frequent travel, and possibly enviromnental effects.</t>
  </si>
  <si>
    <t>The analysis of the RN2 indicates that the section of road between Richard-Toll and Ndioum
would have a return on investment of about 11 %, excluding Compact administration costs, due to
high construction costs for this section of Lot 1 of the entire RN2 investment (Richard-Toll to
Bakel). Including Compact administration costs, the rate of return is 10%. However, we
recommend construction of the Richard Toll -Ndioum segment because the return would surpass
the ERR threshold if the costs for technical and financial risks actually incurred do not exceed
more than 80% of the costs assessed in due diligence. The costs associated with these risks may not be incurred.</t>
  </si>
  <si>
    <t>The improved roads will benefit the users of non-motorized as well as motorized vehicles, including local agricultural producers, and commercial and passenger transport services. Information on the physical distribution of households within the project areas allows for a conservative, but rough, estimate of beneficiary numbers based on geographic proximity to the roads. Where possible, the analysis also discounts pass-through international traffic, where little savings might be captured locally in the economy.</t>
  </si>
  <si>
    <t>Project Description</t>
  </si>
  <si>
    <r>
      <t xml:space="preserve">COSTS INCLUDED IN ERR </t>
    </r>
    <r>
      <rPr>
        <sz val="10"/>
        <rFont val="Arial"/>
        <family val="2"/>
      </rPr>
      <t>(OTHER THAN COSTS BORNE BY MCC)</t>
    </r>
  </si>
  <si>
    <t>LAST UPDATED: 6/10/2010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</si>
</sst>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0.0,"/>
    <numFmt numFmtId="170" formatCode="0_);[Red]\(0\)"/>
    <numFmt numFmtId="171" formatCode="&quot;$&quot;#,##0"/>
    <numFmt numFmtId="172" formatCode="_(* #,##0_);_(* \(#,##0\);_(* &quot;-&quot;??_);_(@_)"/>
    <numFmt numFmtId="173" formatCode="&quot;$&quot;#,##0.00"/>
    <numFmt numFmtId="174" formatCode="#,##0.000"/>
    <numFmt numFmtId="175" formatCode="_-* #,##0.00\ _€_-;\-* #,##0.00\ _€_-;_-* &quot;-&quot;??\ _€_-;_-@_-"/>
  </numFmts>
  <fonts count="85">
    <font>
      <sz val="10"/>
      <name val="Arial"/>
      <family val="0"/>
    </font>
    <font>
      <sz val="11"/>
      <color indexed="8"/>
      <name val="Calibri"/>
      <family val="2"/>
    </font>
    <font>
      <sz val="8"/>
      <name val="Arial"/>
      <family val="2"/>
    </font>
    <font>
      <sz val="8"/>
      <name val="Tahoma"/>
      <family val="2"/>
    </font>
    <font>
      <b/>
      <sz val="8"/>
      <name val="Tahoma"/>
      <family val="2"/>
    </font>
    <font>
      <b/>
      <sz val="11"/>
      <color indexed="8"/>
      <name val="Calibri"/>
      <family val="2"/>
    </font>
    <font>
      <b/>
      <sz val="10"/>
      <name val="Arial"/>
      <family val="2"/>
    </font>
    <font>
      <b/>
      <sz val="12"/>
      <name val="Arial"/>
      <family val="2"/>
    </font>
    <font>
      <b/>
      <sz val="16"/>
      <name val="Arial"/>
      <family val="2"/>
    </font>
    <font>
      <b/>
      <sz val="12"/>
      <color indexed="12"/>
      <name val="Arial"/>
      <family val="2"/>
    </font>
    <font>
      <sz val="10"/>
      <color indexed="42"/>
      <name val="Arial"/>
      <family val="2"/>
    </font>
    <font>
      <b/>
      <sz val="11"/>
      <name val="Arial"/>
      <family val="2"/>
    </font>
    <font>
      <sz val="9"/>
      <name val="Arial"/>
      <family val="2"/>
    </font>
    <font>
      <b/>
      <sz val="9"/>
      <name val="Arial"/>
      <family val="2"/>
    </font>
    <font>
      <b/>
      <sz val="8"/>
      <name val="Arial"/>
      <family val="2"/>
    </font>
    <font>
      <b/>
      <vertAlign val="superscript"/>
      <sz val="9"/>
      <name val="Arial"/>
      <family val="2"/>
    </font>
    <font>
      <vertAlign val="superscript"/>
      <sz val="9"/>
      <name val="Arial"/>
      <family val="2"/>
    </font>
    <font>
      <vertAlign val="superscript"/>
      <sz val="8"/>
      <name val="Arial"/>
      <family val="2"/>
    </font>
    <font>
      <sz val="10"/>
      <color indexed="9"/>
      <name val="Arial"/>
      <family val="2"/>
    </font>
    <font>
      <sz val="9"/>
      <color indexed="12"/>
      <name val="Arial"/>
      <family val="2"/>
    </font>
    <font>
      <sz val="12"/>
      <name val="Arial"/>
      <family val="2"/>
    </font>
    <font>
      <sz val="10"/>
      <name val="Times New Roman"/>
      <family val="1"/>
    </font>
    <font>
      <sz val="18"/>
      <name val="Times New Roman"/>
      <family val="1"/>
    </font>
    <font>
      <sz val="8"/>
      <name val="Times New Roman"/>
      <family val="1"/>
    </font>
    <font>
      <i/>
      <sz val="12"/>
      <name val="Times New Roman"/>
      <family val="1"/>
    </font>
    <font>
      <sz val="18"/>
      <name val="Arial"/>
      <family val="2"/>
    </font>
    <font>
      <i/>
      <sz val="12"/>
      <name val="Arial"/>
      <family val="2"/>
    </font>
    <font>
      <b/>
      <i/>
      <sz val="8"/>
      <name val="Arial"/>
      <family val="2"/>
    </font>
    <font>
      <i/>
      <sz val="8"/>
      <name val="Arial"/>
      <family val="2"/>
    </font>
    <font>
      <u val="single"/>
      <sz val="10"/>
      <color indexed="12"/>
      <name val="Arial"/>
      <family val="2"/>
    </font>
    <font>
      <sz val="16"/>
      <name val="Arial"/>
      <family val="2"/>
    </font>
    <font>
      <sz val="10"/>
      <color indexed="17"/>
      <name val="Arial"/>
      <family val="2"/>
    </font>
    <font>
      <b/>
      <sz val="14"/>
      <name val="Arial"/>
      <family val="2"/>
    </font>
    <font>
      <sz val="14"/>
      <name val="Arial"/>
      <family val="2"/>
    </font>
    <font>
      <sz val="10"/>
      <color indexed="23"/>
      <name val="Arial"/>
      <family val="2"/>
    </font>
    <font>
      <b/>
      <sz val="10"/>
      <color indexed="55"/>
      <name val="Arial"/>
      <family val="2"/>
    </font>
    <font>
      <u val="single"/>
      <sz val="12"/>
      <color indexed="12"/>
      <name val="Arial"/>
      <family val="2"/>
    </font>
    <font>
      <b/>
      <sz val="10"/>
      <color indexed="48"/>
      <name val="Arial"/>
      <family val="2"/>
    </font>
    <font>
      <b/>
      <sz val="10"/>
      <color indexed="9"/>
      <name val="Arial"/>
      <family val="2"/>
    </font>
    <font>
      <sz val="10"/>
      <color indexed="10"/>
      <name val="Arial"/>
      <family val="2"/>
    </font>
    <font>
      <sz val="8"/>
      <color indexed="10"/>
      <name val="Arial"/>
      <family val="2"/>
    </font>
    <font>
      <sz val="14"/>
      <color indexed="10"/>
      <name val="Arial"/>
      <family val="2"/>
    </font>
    <font>
      <sz val="8"/>
      <color indexed="17"/>
      <name val="Arial"/>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1"/>
      <color indexed="4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Arial"/>
      <family val="2"/>
    </font>
    <font>
      <b/>
      <sz val="10"/>
      <color rgb="FF3333FF"/>
      <name val="Arial"/>
      <family val="2"/>
    </font>
    <font>
      <b/>
      <sz val="10"/>
      <color theme="0"/>
      <name val="Arial"/>
      <family val="2"/>
    </font>
    <font>
      <sz val="10"/>
      <color rgb="FFFF0000"/>
      <name val="Arial"/>
      <family val="2"/>
    </font>
    <font>
      <sz val="8"/>
      <color rgb="FFFF0000"/>
      <name val="Arial"/>
      <family val="2"/>
    </font>
    <font>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indexed="12"/>
      </bottom>
    </border>
    <border>
      <left/>
      <right/>
      <top style="thin">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thin"/>
      <right style="dotted"/>
      <top style="thin"/>
      <bottom style="thin"/>
    </border>
    <border>
      <left style="thin"/>
      <right style="dotted"/>
      <top/>
      <bottom/>
    </border>
    <border>
      <left style="dotted"/>
      <right style="dotted"/>
      <top/>
      <bottom/>
    </border>
    <border>
      <left style="thin"/>
      <right/>
      <top style="thin"/>
      <bottom style="thin"/>
    </border>
    <border>
      <left style="thin"/>
      <right/>
      <top/>
      <bottom/>
    </border>
    <border>
      <left/>
      <right style="dotted"/>
      <top style="thin"/>
      <bottom style="thin"/>
    </border>
    <border>
      <left style="dotted"/>
      <right style="dotted"/>
      <top style="thin"/>
      <bottom style="thin"/>
    </border>
    <border>
      <left style="dotted"/>
      <right style="thin"/>
      <top style="thin"/>
      <bottom style="thin"/>
    </border>
    <border>
      <left/>
      <right style="dotted"/>
      <top/>
      <bottom/>
    </border>
    <border>
      <left style="dotted"/>
      <right style="thin"/>
      <top/>
      <bottom/>
    </border>
    <border>
      <left/>
      <right style="thin"/>
      <top style="thin"/>
      <bottom style="thin"/>
    </border>
    <border>
      <left/>
      <right style="dotted"/>
      <top/>
      <bottom style="thin"/>
    </border>
    <border>
      <left style="dotted"/>
      <right style="dotted"/>
      <top/>
      <bottom style="thin"/>
    </border>
    <border>
      <left style="dotted"/>
      <right style="thin"/>
      <top/>
      <bottom style="thin"/>
    </border>
    <border>
      <left style="dotted"/>
      <right style="dotted"/>
      <top style="thin"/>
      <bottom/>
    </border>
    <border>
      <left style="thin"/>
      <right style="dotted"/>
      <top/>
      <bottom style="thin"/>
    </border>
    <border>
      <left style="double"/>
      <right/>
      <top style="double"/>
      <bottom/>
    </border>
    <border>
      <left style="thin">
        <color indexed="22"/>
      </left>
      <right style="thin">
        <color indexed="22"/>
      </right>
      <top style="thin">
        <color indexed="22"/>
      </top>
      <bottom style="thin">
        <color indexed="22"/>
      </bottom>
    </border>
    <border>
      <left/>
      <right/>
      <top style="double"/>
      <bottom/>
    </border>
    <border>
      <left/>
      <right style="double"/>
      <top style="double"/>
      <bottom/>
    </border>
    <border>
      <left style="thin"/>
      <right style="thin"/>
      <top style="thin"/>
      <bottom/>
    </border>
    <border>
      <left style="thin"/>
      <right style="thin"/>
      <top/>
      <bottom style="thin"/>
    </border>
    <border>
      <left style="thin"/>
      <right style="double"/>
      <top style="double"/>
      <bottom/>
    </border>
    <border>
      <left/>
      <right style="double"/>
      <top/>
      <bottom/>
    </border>
    <border>
      <left style="double"/>
      <right/>
      <top style="thin"/>
      <bottom style="thin"/>
    </border>
    <border>
      <left style="thin"/>
      <right style="double"/>
      <top style="thin"/>
      <bottom style="thin"/>
    </border>
    <border>
      <left style="double"/>
      <right style="thin"/>
      <top style="thin"/>
      <bottom style="thin"/>
    </border>
    <border>
      <left style="double"/>
      <right/>
      <top/>
      <bottom/>
    </border>
    <border>
      <left style="thin"/>
      <right style="double"/>
      <top/>
      <bottom/>
    </border>
    <border>
      <left style="double"/>
      <right/>
      <top style="thin"/>
      <bottom/>
    </border>
    <border>
      <left style="thin"/>
      <right style="double"/>
      <top style="thin"/>
      <bottom/>
    </border>
    <border>
      <left style="double"/>
      <right style="thin"/>
      <top style="thin"/>
      <bottom/>
    </border>
    <border>
      <left style="double"/>
      <right style="thin"/>
      <top/>
      <bottom/>
    </border>
    <border>
      <left style="thin"/>
      <right style="thin"/>
      <top style="thin"/>
      <bottom style="medium"/>
    </border>
    <border>
      <left style="thin"/>
      <right style="thin"/>
      <top style="medium"/>
      <bottom/>
    </border>
    <border>
      <left/>
      <right style="thin"/>
      <top style="medium"/>
      <bottom/>
    </border>
    <border>
      <left style="thin"/>
      <right style="thin"/>
      <top/>
      <bottom/>
    </border>
    <border>
      <left/>
      <right style="thin"/>
      <top/>
      <bottom style="thin"/>
    </border>
    <border>
      <left style="double"/>
      <right/>
      <top/>
      <bottom style="double"/>
    </border>
    <border>
      <left/>
      <right style="double"/>
      <top/>
      <bottom style="double"/>
    </border>
    <border>
      <left style="double"/>
      <right style="thin"/>
      <top style="double"/>
      <bottom/>
    </border>
    <border>
      <left style="thin"/>
      <right style="thin"/>
      <top/>
      <bottom style="medium"/>
    </border>
    <border>
      <left/>
      <right/>
      <top style="thin"/>
      <bottom/>
    </border>
    <border>
      <left/>
      <right/>
      <top/>
      <bottom style="medium"/>
    </border>
    <border>
      <left/>
      <right/>
      <top/>
      <bottom style="double"/>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1" fillId="29" borderId="0" applyNumberFormat="0" applyBorder="0" applyAlignment="0">
      <protection locked="0"/>
    </xf>
    <xf numFmtId="0" fontId="66" fillId="0" borderId="0" applyNumberFormat="0" applyFill="0" applyBorder="0" applyAlignment="0" applyProtection="0"/>
    <xf numFmtId="1" fontId="22" fillId="0" borderId="0" applyProtection="0">
      <alignment/>
    </xf>
    <xf numFmtId="1" fontId="23" fillId="0" borderId="0" applyProtection="0">
      <alignment/>
    </xf>
    <xf numFmtId="1" fontId="24" fillId="0" borderId="0" applyProtection="0">
      <alignment/>
    </xf>
    <xf numFmtId="1" fontId="20" fillId="0" borderId="0" applyProtection="0">
      <alignment/>
    </xf>
    <xf numFmtId="1" fontId="25" fillId="0" borderId="0" applyProtection="0">
      <alignment/>
    </xf>
    <xf numFmtId="1" fontId="2" fillId="0" borderId="0" applyProtection="0">
      <alignment/>
    </xf>
    <xf numFmtId="1" fontId="26" fillId="0" borderId="0" applyProtection="0">
      <alignment/>
    </xf>
    <xf numFmtId="0" fontId="67" fillId="30"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1" borderId="1" applyNumberFormat="0" applyAlignment="0" applyProtection="0"/>
    <xf numFmtId="0" fontId="73" fillId="0" borderId="6" applyNumberFormat="0" applyFill="0" applyAlignment="0" applyProtection="0"/>
    <xf numFmtId="0" fontId="74" fillId="32"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33"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33">
    <xf numFmtId="0" fontId="0" fillId="0" borderId="0" xfId="0" applyAlignment="1">
      <alignment/>
    </xf>
    <xf numFmtId="164" fontId="0" fillId="0" borderId="0" xfId="0" applyNumberFormat="1" applyAlignment="1">
      <alignment/>
    </xf>
    <xf numFmtId="165" fontId="0" fillId="0" borderId="0" xfId="79" applyNumberFormat="1" applyFont="1" applyAlignment="1">
      <alignment/>
    </xf>
    <xf numFmtId="10" fontId="0" fillId="0" borderId="0" xfId="79" applyNumberFormat="1" applyFont="1" applyAlignment="1">
      <alignment/>
    </xf>
    <xf numFmtId="164" fontId="0" fillId="0" borderId="10" xfId="0" applyNumberFormat="1" applyBorder="1" applyAlignment="1">
      <alignment/>
    </xf>
    <xf numFmtId="0" fontId="0" fillId="0" borderId="10" xfId="0" applyBorder="1" applyAlignment="1">
      <alignment/>
    </xf>
    <xf numFmtId="166" fontId="0" fillId="0" borderId="0" xfId="0" applyNumberFormat="1" applyAlignment="1">
      <alignment/>
    </xf>
    <xf numFmtId="1" fontId="0" fillId="0" borderId="0" xfId="0" applyNumberFormat="1" applyAlignment="1">
      <alignment/>
    </xf>
    <xf numFmtId="1" fontId="0" fillId="0" borderId="10" xfId="0" applyNumberFormat="1" applyBorder="1" applyAlignment="1">
      <alignment/>
    </xf>
    <xf numFmtId="2" fontId="0" fillId="0" borderId="0" xfId="79" applyNumberFormat="1" applyFont="1" applyAlignment="1">
      <alignment/>
    </xf>
    <xf numFmtId="2" fontId="0" fillId="0" borderId="0" xfId="0" applyNumberFormat="1" applyAlignment="1">
      <alignment/>
    </xf>
    <xf numFmtId="0" fontId="0" fillId="0" borderId="0" xfId="0" applyAlignment="1">
      <alignment wrapText="1"/>
    </xf>
    <xf numFmtId="10" fontId="0" fillId="0" borderId="0" xfId="79" applyNumberFormat="1" applyAlignment="1">
      <alignment/>
    </xf>
    <xf numFmtId="165" fontId="0" fillId="0" borderId="0" xfId="79" applyNumberFormat="1" applyAlignment="1">
      <alignment/>
    </xf>
    <xf numFmtId="2" fontId="0" fillId="0" borderId="0" xfId="79" applyNumberFormat="1" applyFont="1" applyAlignment="1">
      <alignment/>
    </xf>
    <xf numFmtId="166" fontId="0" fillId="0" borderId="10" xfId="0" applyNumberFormat="1" applyBorder="1" applyAlignment="1">
      <alignment/>
    </xf>
    <xf numFmtId="9" fontId="0" fillId="0" borderId="0" xfId="0" applyNumberFormat="1" applyAlignment="1">
      <alignment/>
    </xf>
    <xf numFmtId="167" fontId="0" fillId="0" borderId="0" xfId="0" applyNumberFormat="1" applyAlignment="1">
      <alignment/>
    </xf>
    <xf numFmtId="9" fontId="0" fillId="0" borderId="0" xfId="79" applyFont="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0" fillId="0" borderId="0" xfId="0" applyFont="1" applyAlignment="1">
      <alignment wrapText="1"/>
    </xf>
    <xf numFmtId="0" fontId="5" fillId="0" borderId="0" xfId="0" applyFont="1" applyAlignment="1">
      <alignment/>
    </xf>
    <xf numFmtId="0" fontId="6" fillId="0" borderId="0" xfId="0" applyFont="1" applyAlignment="1">
      <alignment/>
    </xf>
    <xf numFmtId="0" fontId="0" fillId="0" borderId="11" xfId="0" applyBorder="1" applyAlignment="1">
      <alignment horizontal="center"/>
    </xf>
    <xf numFmtId="0" fontId="6" fillId="0" borderId="10" xfId="0" applyFont="1" applyBorder="1" applyAlignment="1">
      <alignment/>
    </xf>
    <xf numFmtId="169" fontId="0" fillId="0" borderId="0" xfId="0" applyNumberFormat="1" applyAlignment="1">
      <alignment/>
    </xf>
    <xf numFmtId="0" fontId="0" fillId="0" borderId="10" xfId="0" applyBorder="1" applyAlignment="1">
      <alignment horizontal="center"/>
    </xf>
    <xf numFmtId="0" fontId="0" fillId="0" borderId="0" xfId="0" applyAlignment="1">
      <alignment horizontal="center"/>
    </xf>
    <xf numFmtId="16" fontId="0" fillId="0" borderId="0" xfId="0" applyNumberFormat="1" applyAlignment="1" quotePrefix="1">
      <alignment horizontal="center"/>
    </xf>
    <xf numFmtId="0" fontId="0" fillId="0" borderId="0" xfId="0" applyFont="1" applyAlignment="1">
      <alignment horizontal="center" wrapText="1"/>
    </xf>
    <xf numFmtId="170" fontId="0" fillId="0" borderId="0" xfId="0" applyNumberFormat="1" applyAlignment="1">
      <alignment/>
    </xf>
    <xf numFmtId="0" fontId="0" fillId="0" borderId="0" xfId="0" applyBorder="1" applyAlignment="1">
      <alignment/>
    </xf>
    <xf numFmtId="164" fontId="0" fillId="0" borderId="0" xfId="0" applyNumberFormat="1" applyBorder="1" applyAlignment="1">
      <alignment/>
    </xf>
    <xf numFmtId="0" fontId="0" fillId="0" borderId="0" xfId="71" applyFont="1" applyAlignment="1">
      <alignment/>
    </xf>
    <xf numFmtId="0" fontId="0" fillId="0" borderId="0" xfId="71" applyFont="1" applyBorder="1" applyAlignment="1">
      <alignment/>
    </xf>
    <xf numFmtId="0" fontId="0" fillId="0" borderId="0" xfId="71" applyFont="1" applyFill="1" applyBorder="1" applyAlignment="1">
      <alignment/>
    </xf>
    <xf numFmtId="0" fontId="0" fillId="0" borderId="0" xfId="72" applyAlignment="1">
      <alignment/>
    </xf>
    <xf numFmtId="0" fontId="7" fillId="0" borderId="0" xfId="71" applyFont="1" applyFill="1" applyBorder="1" applyAlignment="1">
      <alignment/>
    </xf>
    <xf numFmtId="0" fontId="9" fillId="0" borderId="0" xfId="71" applyFont="1" applyFill="1" applyBorder="1" applyAlignment="1">
      <alignment/>
    </xf>
    <xf numFmtId="0" fontId="10" fillId="0" borderId="0" xfId="71" applyFont="1" applyFill="1" applyBorder="1" applyAlignment="1">
      <alignment/>
    </xf>
    <xf numFmtId="0" fontId="11" fillId="0" borderId="0" xfId="71" applyFont="1" applyFill="1" applyBorder="1" applyAlignment="1">
      <alignment horizontal="right"/>
    </xf>
    <xf numFmtId="0" fontId="0" fillId="0" borderId="12" xfId="71" applyFont="1" applyBorder="1" applyAlignment="1">
      <alignment/>
    </xf>
    <xf numFmtId="0" fontId="12" fillId="0" borderId="13" xfId="71" applyFont="1" applyFill="1" applyBorder="1" applyAlignment="1">
      <alignment wrapText="1"/>
    </xf>
    <xf numFmtId="171" fontId="12" fillId="0" borderId="13" xfId="71" applyNumberFormat="1" applyFont="1" applyFill="1" applyBorder="1" applyAlignment="1">
      <alignment horizontal="right" wrapText="1"/>
    </xf>
    <xf numFmtId="0" fontId="0" fillId="0" borderId="13" xfId="71" applyFont="1" applyBorder="1" applyAlignment="1">
      <alignment/>
    </xf>
    <xf numFmtId="0" fontId="0" fillId="0" borderId="14" xfId="71" applyFont="1" applyBorder="1" applyAlignment="1">
      <alignment/>
    </xf>
    <xf numFmtId="0" fontId="0" fillId="0" borderId="15" xfId="71" applyFont="1" applyBorder="1" applyAlignment="1">
      <alignment/>
    </xf>
    <xf numFmtId="0" fontId="13" fillId="0" borderId="0" xfId="71" applyFont="1" applyFill="1" applyBorder="1" applyAlignment="1">
      <alignment wrapText="1"/>
    </xf>
    <xf numFmtId="167" fontId="13" fillId="0" borderId="0" xfId="71" applyNumberFormat="1" applyFont="1" applyFill="1" applyBorder="1" applyAlignment="1">
      <alignment horizontal="center" wrapText="1"/>
    </xf>
    <xf numFmtId="0" fontId="12" fillId="0" borderId="0" xfId="71" applyFont="1" applyBorder="1" applyAlignment="1">
      <alignment/>
    </xf>
    <xf numFmtId="0" fontId="0" fillId="0" borderId="16" xfId="71" applyFont="1" applyBorder="1" applyAlignment="1">
      <alignment/>
    </xf>
    <xf numFmtId="165" fontId="13" fillId="0" borderId="0" xfId="80" applyNumberFormat="1" applyFont="1" applyFill="1" applyBorder="1" applyAlignment="1">
      <alignment horizontal="right" wrapText="1" indent="2"/>
    </xf>
    <xf numFmtId="0" fontId="13" fillId="0" borderId="0" xfId="71" applyFont="1" applyFill="1" applyBorder="1" applyAlignment="1">
      <alignment/>
    </xf>
    <xf numFmtId="0" fontId="12" fillId="0" borderId="0" xfId="71" applyFont="1" applyFill="1" applyBorder="1" applyAlignment="1">
      <alignment/>
    </xf>
    <xf numFmtId="0" fontId="13" fillId="0" borderId="17" xfId="71" applyFont="1" applyFill="1" applyBorder="1" applyAlignment="1">
      <alignment/>
    </xf>
    <xf numFmtId="0" fontId="13" fillId="0" borderId="17" xfId="71" applyFont="1" applyFill="1" applyBorder="1" applyAlignment="1">
      <alignment horizontal="center"/>
    </xf>
    <xf numFmtId="0" fontId="13" fillId="0" borderId="17" xfId="71" applyFont="1" applyBorder="1" applyAlignment="1">
      <alignment horizontal="right"/>
    </xf>
    <xf numFmtId="0" fontId="13" fillId="0" borderId="18" xfId="71" applyFont="1" applyFill="1" applyBorder="1" applyAlignment="1">
      <alignment/>
    </xf>
    <xf numFmtId="0" fontId="13" fillId="0" borderId="18" xfId="71" applyFont="1" applyFill="1" applyBorder="1" applyAlignment="1">
      <alignment horizontal="center"/>
    </xf>
    <xf numFmtId="0" fontId="13" fillId="0" borderId="18" xfId="71" applyFont="1" applyBorder="1" applyAlignment="1">
      <alignment horizontal="right"/>
    </xf>
    <xf numFmtId="3" fontId="12" fillId="0" borderId="0" xfId="71" applyNumberFormat="1" applyFont="1" applyFill="1" applyBorder="1" applyAlignment="1">
      <alignment horizontal="right" wrapText="1" indent="2"/>
    </xf>
    <xf numFmtId="0" fontId="12" fillId="0" borderId="0" xfId="71" applyFont="1" applyBorder="1" applyAlignment="1">
      <alignment horizontal="right" indent="2"/>
    </xf>
    <xf numFmtId="0" fontId="13" fillId="0" borderId="0" xfId="71" applyFont="1" applyFill="1" applyBorder="1" applyAlignment="1">
      <alignment horizontal="right" wrapText="1" indent="1"/>
    </xf>
    <xf numFmtId="0" fontId="12" fillId="0" borderId="0" xfId="71" applyFont="1" applyFill="1" applyBorder="1" applyAlignment="1">
      <alignment wrapText="1"/>
    </xf>
    <xf numFmtId="172" fontId="12" fillId="0" borderId="0" xfId="44" applyNumberFormat="1" applyFont="1" applyFill="1" applyBorder="1" applyAlignment="1">
      <alignment horizontal="right" wrapText="1" indent="1"/>
    </xf>
    <xf numFmtId="0" fontId="0" fillId="0" borderId="0" xfId="72" applyFont="1" applyAlignment="1">
      <alignment/>
    </xf>
    <xf numFmtId="3" fontId="12" fillId="0" borderId="0" xfId="71" applyNumberFormat="1" applyFont="1" applyFill="1" applyBorder="1" applyAlignment="1">
      <alignment horizontal="right" indent="2" shrinkToFit="1"/>
    </xf>
    <xf numFmtId="0" fontId="12" fillId="0" borderId="0" xfId="71" applyFont="1" applyFill="1" applyBorder="1" applyAlignment="1">
      <alignment horizontal="right" indent="1"/>
    </xf>
    <xf numFmtId="3" fontId="12" fillId="0" borderId="0" xfId="71" applyNumberFormat="1" applyFont="1" applyFill="1" applyBorder="1" applyAlignment="1">
      <alignment horizontal="right" indent="2"/>
    </xf>
    <xf numFmtId="9" fontId="12" fillId="0" borderId="0" xfId="71" applyNumberFormat="1" applyFont="1" applyFill="1" applyBorder="1" applyAlignment="1">
      <alignment horizontal="right" wrapText="1" indent="1"/>
    </xf>
    <xf numFmtId="9" fontId="0" fillId="0" borderId="16" xfId="71" applyNumberFormat="1" applyFont="1" applyBorder="1" applyAlignment="1">
      <alignment/>
    </xf>
    <xf numFmtId="0" fontId="12" fillId="0" borderId="17" xfId="71" applyFont="1" applyFill="1" applyBorder="1" applyAlignment="1">
      <alignment wrapText="1"/>
    </xf>
    <xf numFmtId="0" fontId="12" fillId="0" borderId="17" xfId="71" applyFont="1" applyBorder="1" applyAlignment="1">
      <alignment horizontal="right" indent="2"/>
    </xf>
    <xf numFmtId="9" fontId="12" fillId="0" borderId="17" xfId="71" applyNumberFormat="1" applyFont="1" applyFill="1" applyBorder="1" applyAlignment="1">
      <alignment horizontal="right" wrapText="1" indent="1"/>
    </xf>
    <xf numFmtId="0" fontId="18" fillId="0" borderId="15" xfId="71" applyFont="1" applyBorder="1" applyAlignment="1">
      <alignment/>
    </xf>
    <xf numFmtId="0" fontId="12" fillId="0" borderId="18" xfId="71" applyFont="1" applyBorder="1" applyAlignment="1">
      <alignment/>
    </xf>
    <xf numFmtId="0" fontId="19" fillId="0" borderId="18" xfId="71" applyFont="1" applyBorder="1" applyAlignment="1">
      <alignment horizontal="right" indent="2"/>
    </xf>
    <xf numFmtId="0" fontId="19" fillId="0" borderId="18" xfId="71" applyFont="1" applyFill="1" applyBorder="1" applyAlignment="1">
      <alignment horizontal="right" indent="2"/>
    </xf>
    <xf numFmtId="0" fontId="19" fillId="0" borderId="18" xfId="71" applyFont="1" applyFill="1" applyBorder="1" applyAlignment="1">
      <alignment horizontal="right" indent="1"/>
    </xf>
    <xf numFmtId="9" fontId="19" fillId="0" borderId="18" xfId="80" applyFont="1" applyFill="1" applyBorder="1" applyAlignment="1">
      <alignment horizontal="right" indent="1"/>
    </xf>
    <xf numFmtId="171" fontId="12" fillId="0" borderId="0" xfId="71" applyNumberFormat="1" applyFont="1" applyFill="1" applyBorder="1" applyAlignment="1">
      <alignment horizontal="right" vertical="center" indent="3"/>
    </xf>
    <xf numFmtId="0" fontId="12" fillId="0" borderId="0" xfId="71" applyFont="1" applyBorder="1" applyAlignment="1">
      <alignment horizontal="left" vertical="center" indent="2"/>
    </xf>
    <xf numFmtId="171" fontId="12" fillId="0" borderId="0" xfId="71" applyNumberFormat="1" applyFont="1" applyFill="1" applyBorder="1" applyAlignment="1">
      <alignment horizontal="right" vertical="center" indent="1"/>
    </xf>
    <xf numFmtId="173" fontId="0" fillId="0" borderId="16" xfId="71" applyNumberFormat="1" applyFont="1" applyBorder="1" applyAlignment="1">
      <alignment/>
    </xf>
    <xf numFmtId="173" fontId="0" fillId="0" borderId="0" xfId="72" applyNumberFormat="1" applyAlignment="1">
      <alignment/>
    </xf>
    <xf numFmtId="0" fontId="12" fillId="0" borderId="17" xfId="71" applyFont="1" applyBorder="1" applyAlignment="1">
      <alignment/>
    </xf>
    <xf numFmtId="9" fontId="12" fillId="0" borderId="17" xfId="80" applyNumberFormat="1" applyFont="1" applyBorder="1" applyAlignment="1">
      <alignment horizontal="center"/>
    </xf>
    <xf numFmtId="0" fontId="19" fillId="0" borderId="17" xfId="71" applyFont="1" applyFill="1" applyBorder="1" applyAlignment="1">
      <alignment horizontal="right" indent="2"/>
    </xf>
    <xf numFmtId="44" fontId="1" fillId="0" borderId="0" xfId="51" applyFont="1" applyAlignment="1">
      <alignment/>
    </xf>
    <xf numFmtId="0" fontId="12" fillId="0" borderId="18" xfId="71" applyFont="1" applyFill="1" applyBorder="1" applyAlignment="1">
      <alignment wrapText="1"/>
    </xf>
    <xf numFmtId="9" fontId="19" fillId="0" borderId="18" xfId="71" applyNumberFormat="1" applyFont="1" applyFill="1" applyBorder="1" applyAlignment="1">
      <alignment horizontal="right" indent="1"/>
    </xf>
    <xf numFmtId="0" fontId="19" fillId="0" borderId="17" xfId="71" applyFont="1" applyBorder="1" applyAlignment="1">
      <alignment horizontal="right" indent="2"/>
    </xf>
    <xf numFmtId="0" fontId="19" fillId="0" borderId="17" xfId="71" applyFont="1" applyFill="1" applyBorder="1" applyAlignment="1">
      <alignment horizontal="right" indent="1"/>
    </xf>
    <xf numFmtId="0" fontId="19" fillId="0" borderId="0" xfId="71" applyFont="1" applyBorder="1" applyAlignment="1">
      <alignment horizontal="right" indent="2"/>
    </xf>
    <xf numFmtId="0" fontId="19" fillId="0" borderId="0" xfId="71" applyFont="1" applyFill="1" applyBorder="1" applyAlignment="1">
      <alignment horizontal="right" indent="1"/>
    </xf>
    <xf numFmtId="39" fontId="12" fillId="0" borderId="17" xfId="51" applyNumberFormat="1" applyFont="1" applyBorder="1" applyAlignment="1">
      <alignment horizontal="center"/>
    </xf>
    <xf numFmtId="44" fontId="12" fillId="0" borderId="17" xfId="51" applyFont="1" applyBorder="1" applyAlignment="1">
      <alignment horizontal="right" indent="2"/>
    </xf>
    <xf numFmtId="39" fontId="12" fillId="0" borderId="17" xfId="51" applyNumberFormat="1" applyFont="1" applyFill="1" applyBorder="1" applyAlignment="1">
      <alignment horizontal="right" wrapText="1" indent="1"/>
    </xf>
    <xf numFmtId="173" fontId="0" fillId="0" borderId="0" xfId="72" applyNumberFormat="1" applyFont="1" applyAlignment="1">
      <alignment/>
    </xf>
    <xf numFmtId="9" fontId="12" fillId="0" borderId="0" xfId="80" applyFont="1" applyFill="1" applyBorder="1" applyAlignment="1">
      <alignment horizontal="center"/>
    </xf>
    <xf numFmtId="44" fontId="12" fillId="0" borderId="0" xfId="51" applyFont="1" applyBorder="1" applyAlignment="1">
      <alignment horizontal="right" indent="2"/>
    </xf>
    <xf numFmtId="7" fontId="12" fillId="0" borderId="0" xfId="51" applyNumberFormat="1" applyFont="1" applyFill="1" applyBorder="1" applyAlignment="1">
      <alignment horizontal="right" wrapText="1" indent="1"/>
    </xf>
    <xf numFmtId="1" fontId="0" fillId="0" borderId="0" xfId="72" applyNumberFormat="1" applyAlignment="1">
      <alignment/>
    </xf>
    <xf numFmtId="7" fontId="12" fillId="0" borderId="0" xfId="51" applyNumberFormat="1" applyFont="1" applyBorder="1" applyAlignment="1">
      <alignment horizontal="center"/>
    </xf>
    <xf numFmtId="174" fontId="0" fillId="0" borderId="0" xfId="72" applyNumberFormat="1" applyAlignment="1">
      <alignment/>
    </xf>
    <xf numFmtId="171" fontId="12" fillId="0" borderId="0" xfId="71" applyNumberFormat="1" applyFont="1" applyFill="1" applyBorder="1" applyAlignment="1">
      <alignment horizontal="right" wrapText="1" indent="2"/>
    </xf>
    <xf numFmtId="167" fontId="13" fillId="0" borderId="0" xfId="72" applyNumberFormat="1" applyFont="1" applyFill="1" applyBorder="1" applyAlignment="1">
      <alignment horizontal="center" wrapText="1"/>
    </xf>
    <xf numFmtId="0" fontId="12" fillId="0" borderId="19" xfId="71" applyFont="1" applyFill="1" applyBorder="1" applyAlignment="1">
      <alignment wrapText="1"/>
    </xf>
    <xf numFmtId="0" fontId="12" fillId="0" borderId="19" xfId="71" applyFont="1" applyBorder="1" applyAlignment="1">
      <alignment/>
    </xf>
    <xf numFmtId="171" fontId="12" fillId="0" borderId="20" xfId="71" applyNumberFormat="1" applyFont="1" applyFill="1" applyBorder="1" applyAlignment="1">
      <alignment horizontal="right" wrapText="1"/>
    </xf>
    <xf numFmtId="1" fontId="0" fillId="0" borderId="0" xfId="73" applyNumberFormat="1">
      <alignment/>
      <protection/>
    </xf>
    <xf numFmtId="0" fontId="2" fillId="0" borderId="0" xfId="71" applyFont="1" applyFill="1" applyBorder="1" applyAlignment="1">
      <alignment/>
    </xf>
    <xf numFmtId="0" fontId="12" fillId="0" borderId="0" xfId="71" applyFont="1" applyBorder="1" applyAlignment="1">
      <alignment/>
    </xf>
    <xf numFmtId="9" fontId="12" fillId="0" borderId="0" xfId="71" applyNumberFormat="1" applyFont="1" applyFill="1" applyBorder="1" applyAlignment="1">
      <alignment wrapText="1"/>
    </xf>
    <xf numFmtId="0" fontId="17" fillId="0" borderId="0" xfId="72" applyFont="1" applyBorder="1" applyAlignment="1">
      <alignment horizontal="left"/>
    </xf>
    <xf numFmtId="0" fontId="17" fillId="0" borderId="0" xfId="71" applyFont="1" applyBorder="1" applyAlignment="1">
      <alignment horizontal="left"/>
    </xf>
    <xf numFmtId="0" fontId="17" fillId="0" borderId="0" xfId="71" applyFont="1" applyBorder="1" applyAlignment="1">
      <alignment/>
    </xf>
    <xf numFmtId="0" fontId="0" fillId="0" borderId="0" xfId="72" applyBorder="1" applyAlignment="1">
      <alignment/>
    </xf>
    <xf numFmtId="0" fontId="0" fillId="0" borderId="21" xfId="71" applyFont="1" applyBorder="1" applyAlignment="1">
      <alignment/>
    </xf>
    <xf numFmtId="0" fontId="17" fillId="0" borderId="22" xfId="71" applyFont="1" applyBorder="1" applyAlignment="1">
      <alignment/>
    </xf>
    <xf numFmtId="0" fontId="0" fillId="0" borderId="22" xfId="71" applyFont="1" applyBorder="1" applyAlignment="1">
      <alignment/>
    </xf>
    <xf numFmtId="0" fontId="0" fillId="0" borderId="23" xfId="71" applyFont="1" applyBorder="1" applyAlignment="1">
      <alignment/>
    </xf>
    <xf numFmtId="9" fontId="0" fillId="0" borderId="10" xfId="79" applyFont="1" applyBorder="1" applyAlignment="1">
      <alignment/>
    </xf>
    <xf numFmtId="165" fontId="0" fillId="0" borderId="0" xfId="0" applyNumberFormat="1" applyAlignment="1">
      <alignment/>
    </xf>
    <xf numFmtId="1" fontId="0" fillId="34" borderId="0" xfId="0" applyNumberFormat="1" applyFill="1" applyAlignment="1">
      <alignment/>
    </xf>
    <xf numFmtId="10" fontId="0" fillId="0" borderId="0" xfId="79" applyNumberFormat="1" applyFont="1" applyAlignment="1">
      <alignment horizontal="right"/>
    </xf>
    <xf numFmtId="168" fontId="0" fillId="0" borderId="0" xfId="0" applyNumberFormat="1" applyAlignment="1">
      <alignment/>
    </xf>
    <xf numFmtId="0" fontId="0" fillId="0" borderId="0" xfId="0" applyFont="1" applyFill="1" applyBorder="1" applyAlignment="1">
      <alignment vertical="center"/>
    </xf>
    <xf numFmtId="3" fontId="12" fillId="0" borderId="0" xfId="71" applyNumberFormat="1" applyFont="1" applyFill="1" applyBorder="1" applyAlignment="1">
      <alignment horizontal="center" vertical="center" shrinkToFit="1"/>
    </xf>
    <xf numFmtId="171" fontId="12" fillId="0" borderId="0" xfId="71" applyNumberFormat="1" applyFont="1" applyFill="1" applyBorder="1" applyAlignment="1">
      <alignment horizontal="center" vertical="center" wrapText="1"/>
    </xf>
    <xf numFmtId="0" fontId="0" fillId="0" borderId="0" xfId="0" applyFont="1" applyAlignment="1">
      <alignment/>
    </xf>
    <xf numFmtId="165" fontId="0" fillId="0" borderId="0" xfId="79" applyNumberFormat="1" applyFont="1" applyBorder="1" applyAlignment="1">
      <alignment/>
    </xf>
    <xf numFmtId="8" fontId="0" fillId="0" borderId="0" xfId="0" applyNumberFormat="1" applyAlignment="1">
      <alignment/>
    </xf>
    <xf numFmtId="9" fontId="12" fillId="0" borderId="0" xfId="71" applyNumberFormat="1" applyFont="1" applyFill="1" applyBorder="1" applyAlignment="1">
      <alignment horizontal="center" wrapText="1"/>
    </xf>
    <xf numFmtId="3" fontId="0" fillId="0" borderId="0" xfId="0" applyNumberFormat="1" applyAlignment="1">
      <alignment/>
    </xf>
    <xf numFmtId="171" fontId="12" fillId="0" borderId="0" xfId="71" applyNumberFormat="1" applyFont="1" applyBorder="1" applyAlignment="1">
      <alignment horizontal="center" vertical="center"/>
    </xf>
    <xf numFmtId="171" fontId="12" fillId="0" borderId="0" xfId="71" applyNumberFormat="1" applyFont="1" applyFill="1" applyBorder="1" applyAlignment="1">
      <alignment horizontal="center" vertical="center"/>
    </xf>
    <xf numFmtId="1" fontId="0" fillId="0" borderId="0" xfId="0" applyNumberFormat="1" applyAlignment="1">
      <alignment horizontal="center"/>
    </xf>
    <xf numFmtId="0" fontId="0" fillId="0" borderId="0" xfId="0" applyFont="1" applyAlignment="1">
      <alignment horizontal="center" wrapText="1"/>
    </xf>
    <xf numFmtId="39" fontId="12" fillId="0" borderId="17" xfId="51" applyNumberFormat="1" applyFont="1" applyBorder="1" applyAlignment="1">
      <alignment horizontal="center" vertical="center"/>
    </xf>
    <xf numFmtId="0" fontId="2" fillId="0" borderId="0" xfId="0" applyFont="1" applyAlignment="1">
      <alignment/>
    </xf>
    <xf numFmtId="0" fontId="2" fillId="0" borderId="0" xfId="74" applyFont="1">
      <alignment/>
      <protection/>
    </xf>
    <xf numFmtId="0" fontId="23" fillId="0" borderId="0" xfId="74" applyFont="1" applyFill="1" applyBorder="1">
      <alignment/>
      <protection/>
    </xf>
    <xf numFmtId="0" fontId="0" fillId="0" borderId="0" xfId="0" applyNumberFormat="1" applyAlignment="1">
      <alignment/>
    </xf>
    <xf numFmtId="0" fontId="23" fillId="0" borderId="0" xfId="74" applyFont="1" applyFill="1">
      <alignment/>
      <protection/>
    </xf>
    <xf numFmtId="164" fontId="0" fillId="0" borderId="0" xfId="0" applyNumberFormat="1" applyFont="1" applyAlignment="1">
      <alignment/>
    </xf>
    <xf numFmtId="9" fontId="12" fillId="35" borderId="17" xfId="71" applyNumberFormat="1" applyFont="1" applyFill="1" applyBorder="1" applyAlignment="1">
      <alignment horizontal="center" vertical="center" wrapText="1"/>
    </xf>
    <xf numFmtId="3" fontId="12" fillId="35" borderId="0" xfId="71" applyNumberFormat="1" applyFont="1" applyFill="1" applyBorder="1" applyAlignment="1">
      <alignment horizontal="center" shrinkToFit="1"/>
    </xf>
    <xf numFmtId="164" fontId="13" fillId="0" borderId="0" xfId="71" applyNumberFormat="1" applyFont="1" applyFill="1" applyBorder="1" applyAlignment="1">
      <alignment horizontal="center" wrapText="1"/>
    </xf>
    <xf numFmtId="10" fontId="0" fillId="0" borderId="0" xfId="0" applyNumberFormat="1" applyAlignment="1">
      <alignment/>
    </xf>
    <xf numFmtId="2" fontId="0" fillId="0" borderId="0" xfId="0" applyNumberFormat="1" applyFont="1" applyAlignment="1">
      <alignment/>
    </xf>
    <xf numFmtId="9" fontId="12" fillId="0" borderId="17" xfId="71" applyNumberFormat="1" applyFont="1" applyFill="1" applyBorder="1" applyAlignment="1">
      <alignment horizontal="center" vertical="center"/>
    </xf>
    <xf numFmtId="0" fontId="2" fillId="0" borderId="0" xfId="74" applyFont="1" applyFill="1" applyBorder="1" applyAlignment="1">
      <alignment wrapText="1"/>
      <protection/>
    </xf>
    <xf numFmtId="0" fontId="14" fillId="0" borderId="24" xfId="74" applyFont="1" applyFill="1" applyBorder="1" applyAlignment="1">
      <alignment wrapText="1"/>
      <protection/>
    </xf>
    <xf numFmtId="0" fontId="14" fillId="0" borderId="25" xfId="74" applyFont="1" applyFill="1" applyBorder="1" applyAlignment="1">
      <alignment horizontal="center"/>
      <protection/>
    </xf>
    <xf numFmtId="0" fontId="2" fillId="0" borderId="26" xfId="74" applyFont="1" applyFill="1" applyBorder="1" applyAlignment="1">
      <alignment wrapText="1"/>
      <protection/>
    </xf>
    <xf numFmtId="0" fontId="14" fillId="0" borderId="27" xfId="74" applyFont="1" applyFill="1" applyBorder="1" applyAlignment="1">
      <alignment horizontal="center"/>
      <protection/>
    </xf>
    <xf numFmtId="0" fontId="14" fillId="0" borderId="28" xfId="74" applyFont="1" applyFill="1" applyBorder="1" applyAlignment="1">
      <alignment wrapText="1"/>
      <protection/>
    </xf>
    <xf numFmtId="0" fontId="2" fillId="0" borderId="11" xfId="74" applyFont="1" applyFill="1" applyBorder="1">
      <alignment/>
      <protection/>
    </xf>
    <xf numFmtId="0" fontId="2" fillId="0" borderId="0" xfId="0" applyFont="1" applyBorder="1" applyAlignment="1">
      <alignment/>
    </xf>
    <xf numFmtId="0" fontId="2" fillId="0" borderId="29" xfId="0" applyFont="1" applyBorder="1" applyAlignment="1">
      <alignment/>
    </xf>
    <xf numFmtId="0" fontId="2" fillId="0" borderId="27" xfId="74" applyFont="1" applyFill="1" applyBorder="1">
      <alignment/>
      <protection/>
    </xf>
    <xf numFmtId="0" fontId="28" fillId="0" borderId="29" xfId="0" applyFont="1" applyBorder="1" applyAlignment="1">
      <alignment/>
    </xf>
    <xf numFmtId="0" fontId="28" fillId="0" borderId="29" xfId="74" applyFont="1" applyFill="1" applyBorder="1" applyAlignment="1">
      <alignment wrapText="1"/>
      <protection/>
    </xf>
    <xf numFmtId="0" fontId="14" fillId="0" borderId="29" xfId="74" applyFont="1" applyFill="1" applyBorder="1" applyAlignment="1">
      <alignment wrapText="1"/>
      <protection/>
    </xf>
    <xf numFmtId="0" fontId="28" fillId="0" borderId="29" xfId="74" applyFont="1" applyFill="1" applyBorder="1">
      <alignment/>
      <protection/>
    </xf>
    <xf numFmtId="0" fontId="14" fillId="0" borderId="29" xfId="0" applyFont="1" applyBorder="1" applyAlignment="1">
      <alignment/>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xf>
    <xf numFmtId="0" fontId="2" fillId="0" borderId="34" xfId="0" applyFont="1" applyBorder="1" applyAlignment="1">
      <alignment horizontal="center"/>
    </xf>
    <xf numFmtId="0" fontId="2" fillId="0" borderId="11" xfId="0" applyFont="1" applyBorder="1" applyAlignment="1">
      <alignment horizontal="center"/>
    </xf>
    <xf numFmtId="0" fontId="2" fillId="0" borderId="35" xfId="0" applyFont="1" applyBorder="1" applyAlignment="1">
      <alignment horizontal="center"/>
    </xf>
    <xf numFmtId="164" fontId="2" fillId="0" borderId="27" xfId="0" applyNumberFormat="1" applyFont="1" applyBorder="1" applyAlignment="1">
      <alignment horizontal="center"/>
    </xf>
    <xf numFmtId="164" fontId="2" fillId="0" borderId="34" xfId="0" applyNumberFormat="1" applyFont="1" applyBorder="1" applyAlignment="1">
      <alignment horizontal="center"/>
    </xf>
    <xf numFmtId="164" fontId="2" fillId="0" borderId="33" xfId="0" applyNumberFormat="1" applyFont="1" applyBorder="1" applyAlignment="1">
      <alignment horizontal="center"/>
    </xf>
    <xf numFmtId="165" fontId="2" fillId="0" borderId="33" xfId="0" applyNumberFormat="1" applyFont="1" applyBorder="1" applyAlignment="1">
      <alignment horizontal="center"/>
    </xf>
    <xf numFmtId="164" fontId="2" fillId="0" borderId="11" xfId="0" applyNumberFormat="1" applyFont="1" applyBorder="1" applyAlignment="1">
      <alignment horizontal="center"/>
    </xf>
    <xf numFmtId="164" fontId="2" fillId="0" borderId="35" xfId="0" applyNumberFormat="1" applyFont="1" applyBorder="1" applyAlignment="1">
      <alignment horizontal="center"/>
    </xf>
    <xf numFmtId="164" fontId="2" fillId="0" borderId="27" xfId="74" applyNumberFormat="1" applyFont="1" applyFill="1" applyBorder="1" applyAlignment="1">
      <alignment horizontal="center"/>
      <protection/>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27" xfId="74" applyFont="1" applyFill="1" applyBorder="1" applyAlignment="1">
      <alignment horizontal="center"/>
      <protection/>
    </xf>
    <xf numFmtId="0" fontId="2" fillId="0" borderId="11" xfId="74" applyFont="1" applyFill="1" applyBorder="1" applyAlignment="1">
      <alignment horizontal="center"/>
      <protection/>
    </xf>
    <xf numFmtId="165" fontId="14" fillId="0" borderId="37" xfId="0" applyNumberFormat="1" applyFont="1" applyBorder="1" applyAlignment="1">
      <alignment horizontal="center"/>
    </xf>
    <xf numFmtId="167" fontId="2" fillId="0" borderId="39" xfId="0" applyNumberFormat="1" applyFont="1" applyBorder="1" applyAlignment="1">
      <alignment horizontal="center"/>
    </xf>
    <xf numFmtId="167" fontId="2" fillId="0" borderId="27" xfId="0" applyNumberFormat="1" applyFont="1" applyBorder="1" applyAlignment="1">
      <alignment horizontal="center"/>
    </xf>
    <xf numFmtId="3" fontId="2" fillId="0" borderId="27" xfId="74" applyNumberFormat="1" applyFont="1" applyFill="1" applyBorder="1" applyAlignment="1">
      <alignment horizontal="center"/>
      <protection/>
    </xf>
    <xf numFmtId="165" fontId="14" fillId="0" borderId="27" xfId="0" applyNumberFormat="1" applyFont="1" applyBorder="1" applyAlignment="1">
      <alignment horizontal="center"/>
    </xf>
    <xf numFmtId="164" fontId="14" fillId="0" borderId="37" xfId="74" applyNumberFormat="1" applyFont="1" applyFill="1" applyBorder="1" applyAlignment="1">
      <alignment horizontal="center"/>
      <protection/>
    </xf>
    <xf numFmtId="0" fontId="27" fillId="0" borderId="26" xfId="74" applyFont="1" applyFill="1" applyBorder="1" applyAlignment="1">
      <alignment horizontal="left" wrapText="1"/>
      <protection/>
    </xf>
    <xf numFmtId="0" fontId="14" fillId="0" borderId="28" xfId="74" applyFont="1" applyFill="1" applyBorder="1" applyAlignment="1">
      <alignment vertical="center" wrapText="1"/>
      <protection/>
    </xf>
    <xf numFmtId="44" fontId="14" fillId="0" borderId="39" xfId="74" applyNumberFormat="1" applyFont="1" applyFill="1" applyBorder="1" applyAlignment="1">
      <alignment horizontal="center"/>
      <protection/>
    </xf>
    <xf numFmtId="0" fontId="14" fillId="0" borderId="26" xfId="74" applyFont="1" applyFill="1" applyBorder="1" applyAlignment="1">
      <alignment horizontal="left"/>
      <protection/>
    </xf>
    <xf numFmtId="0" fontId="14" fillId="0" borderId="40" xfId="74" applyFont="1" applyFill="1" applyBorder="1" applyAlignment="1">
      <alignment horizontal="left"/>
      <protection/>
    </xf>
    <xf numFmtId="0" fontId="0" fillId="0" borderId="0" xfId="0" applyAlignment="1">
      <alignment horizontal="center" vertical="center" wrapText="1"/>
    </xf>
    <xf numFmtId="0" fontId="0" fillId="0" borderId="0" xfId="75" applyFont="1" applyAlignment="1">
      <alignment vertical="center"/>
      <protection/>
    </xf>
    <xf numFmtId="0" fontId="2" fillId="0" borderId="0" xfId="0" applyFont="1" applyAlignment="1">
      <alignment vertical="center"/>
    </xf>
    <xf numFmtId="0" fontId="2" fillId="0" borderId="0" xfId="76" applyFont="1" applyAlignment="1">
      <alignment vertical="center"/>
    </xf>
    <xf numFmtId="0" fontId="2" fillId="0" borderId="0" xfId="76" applyFont="1" applyAlignment="1">
      <alignment vertical="center" wrapText="1"/>
    </xf>
    <xf numFmtId="0" fontId="14" fillId="0" borderId="0" xfId="76" applyFont="1" applyAlignment="1">
      <alignment vertical="center" wrapText="1"/>
    </xf>
    <xf numFmtId="0" fontId="2" fillId="0" borderId="0" xfId="76" applyFont="1" applyBorder="1" applyAlignment="1">
      <alignment vertical="center"/>
    </xf>
    <xf numFmtId="0" fontId="33" fillId="0" borderId="0" xfId="0" applyFont="1" applyAlignment="1">
      <alignment/>
    </xf>
    <xf numFmtId="0" fontId="33" fillId="0" borderId="0" xfId="75" applyFont="1" applyFill="1" applyAlignment="1">
      <alignment vertical="center" wrapText="1"/>
      <protection/>
    </xf>
    <xf numFmtId="0" fontId="0" fillId="0" borderId="41" xfId="76" applyFont="1" applyBorder="1" applyAlignment="1">
      <alignment vertical="center"/>
    </xf>
    <xf numFmtId="0" fontId="34" fillId="0" borderId="42" xfId="76" applyFont="1" applyBorder="1" applyAlignment="1">
      <alignment horizontal="center" vertical="center" wrapText="1"/>
    </xf>
    <xf numFmtId="0" fontId="35" fillId="0" borderId="42" xfId="76" applyFont="1" applyFill="1" applyBorder="1" applyAlignment="1">
      <alignment horizontal="center" vertical="center" wrapText="1"/>
    </xf>
    <xf numFmtId="0" fontId="0" fillId="0" borderId="43" xfId="0" applyBorder="1" applyAlignment="1">
      <alignment/>
    </xf>
    <xf numFmtId="0" fontId="0" fillId="0" borderId="44" xfId="0" applyBorder="1" applyAlignment="1">
      <alignment/>
    </xf>
    <xf numFmtId="0" fontId="7" fillId="0" borderId="24" xfId="76" applyFont="1" applyBorder="1" applyAlignment="1">
      <alignment horizontal="center" vertical="center"/>
    </xf>
    <xf numFmtId="0" fontId="79" fillId="0" borderId="45" xfId="67" applyFont="1" applyBorder="1" applyAlignment="1" applyProtection="1">
      <alignment horizontal="center"/>
      <protection/>
    </xf>
    <xf numFmtId="0" fontId="79" fillId="0" borderId="46" xfId="67" applyFont="1" applyBorder="1" applyAlignment="1" applyProtection="1">
      <alignment horizontal="center"/>
      <protection/>
    </xf>
    <xf numFmtId="0" fontId="0" fillId="0" borderId="0" xfId="0" applyFont="1" applyAlignment="1">
      <alignment/>
    </xf>
    <xf numFmtId="0" fontId="0" fillId="0" borderId="0" xfId="75" applyFont="1" applyAlignment="1">
      <alignment vertical="center" wrapText="1"/>
      <protection/>
    </xf>
    <xf numFmtId="0" fontId="0" fillId="0" borderId="0" xfId="75" applyFont="1" applyAlignment="1">
      <alignment horizontal="left" vertical="center" wrapText="1"/>
      <protection/>
    </xf>
    <xf numFmtId="49" fontId="0" fillId="0" borderId="0" xfId="0" applyNumberFormat="1" applyFont="1" applyAlignment="1">
      <alignment horizontal="right" vertical="top" wrapText="1"/>
    </xf>
    <xf numFmtId="0" fontId="0" fillId="0" borderId="0" xfId="75" applyNumberFormat="1" applyFont="1" applyAlignment="1">
      <alignment vertical="center" wrapText="1"/>
      <protection/>
    </xf>
    <xf numFmtId="0" fontId="6" fillId="0" borderId="47" xfId="75" applyFont="1" applyBorder="1" applyAlignment="1">
      <alignment horizontal="left" vertical="center"/>
      <protection/>
    </xf>
    <xf numFmtId="0" fontId="0" fillId="0" borderId="48" xfId="0" applyFont="1" applyBorder="1" applyAlignment="1">
      <alignment/>
    </xf>
    <xf numFmtId="0" fontId="6" fillId="0" borderId="49" xfId="75" applyFont="1" applyBorder="1" applyAlignment="1">
      <alignment vertical="center" wrapText="1"/>
      <protection/>
    </xf>
    <xf numFmtId="0" fontId="0" fillId="0" borderId="50" xfId="75" applyFont="1" applyBorder="1" applyAlignment="1">
      <alignment horizontal="left" vertical="center" wrapText="1"/>
      <protection/>
    </xf>
    <xf numFmtId="0" fontId="6" fillId="0" borderId="51" xfId="75" applyFont="1" applyBorder="1" applyAlignment="1">
      <alignment vertical="center" wrapText="1"/>
      <protection/>
    </xf>
    <xf numFmtId="14" fontId="0" fillId="0" borderId="50" xfId="75" applyNumberFormat="1" applyFont="1" applyBorder="1" applyAlignment="1">
      <alignment horizontal="left" vertical="center" wrapText="1"/>
      <protection/>
    </xf>
    <xf numFmtId="49" fontId="0" fillId="0" borderId="48" xfId="48" applyNumberFormat="1" applyFont="1" applyBorder="1" applyAlignment="1">
      <alignment/>
    </xf>
    <xf numFmtId="0" fontId="0" fillId="0" borderId="50" xfId="75" applyFont="1" applyBorder="1" applyAlignment="1">
      <alignment vertical="center" wrapText="1"/>
      <protection/>
    </xf>
    <xf numFmtId="0" fontId="6" fillId="0" borderId="52" xfId="75" applyFont="1" applyBorder="1" applyAlignment="1">
      <alignment vertical="center" wrapText="1"/>
      <protection/>
    </xf>
    <xf numFmtId="0" fontId="0" fillId="0" borderId="53" xfId="75" applyFont="1" applyBorder="1" applyAlignment="1">
      <alignment vertical="center" wrapText="1"/>
      <protection/>
    </xf>
    <xf numFmtId="0" fontId="6" fillId="0" borderId="54" xfId="75" applyFont="1" applyBorder="1" applyAlignment="1">
      <alignment horizontal="left" vertical="center" wrapText="1"/>
      <protection/>
    </xf>
    <xf numFmtId="0" fontId="0" fillId="0" borderId="55" xfId="75" applyFont="1" applyBorder="1" applyAlignment="1">
      <alignment vertical="center" wrapText="1"/>
      <protection/>
    </xf>
    <xf numFmtId="0" fontId="8" fillId="0" borderId="0" xfId="76" applyFont="1" applyAlignment="1">
      <alignment vertical="center" wrapText="1"/>
    </xf>
    <xf numFmtId="0" fontId="6" fillId="0" borderId="54" xfId="75" applyFont="1" applyBorder="1" applyAlignment="1">
      <alignment vertical="center" wrapText="1"/>
      <protection/>
    </xf>
    <xf numFmtId="0" fontId="6" fillId="0" borderId="56" xfId="76" applyFont="1" applyBorder="1" applyAlignment="1">
      <alignment vertical="center" wrapText="1"/>
    </xf>
    <xf numFmtId="0" fontId="2" fillId="0" borderId="57" xfId="0" applyFont="1" applyBorder="1" applyAlignment="1">
      <alignment vertical="center"/>
    </xf>
    <xf numFmtId="0" fontId="71" fillId="0" borderId="55" xfId="67" applyFont="1" applyBorder="1" applyAlignment="1" applyProtection="1">
      <alignment/>
      <protection/>
    </xf>
    <xf numFmtId="0" fontId="0" fillId="0" borderId="53" xfId="75" applyFont="1" applyFill="1" applyBorder="1" applyAlignment="1">
      <alignment vertical="center" wrapText="1"/>
      <protection/>
    </xf>
    <xf numFmtId="0" fontId="71" fillId="0" borderId="53" xfId="67" applyFont="1" applyBorder="1" applyAlignment="1" applyProtection="1">
      <alignment/>
      <protection/>
    </xf>
    <xf numFmtId="0" fontId="0" fillId="0" borderId="53" xfId="75" applyFont="1" applyBorder="1" applyAlignment="1">
      <alignment horizontal="left" vertical="center" wrapText="1"/>
      <protection/>
    </xf>
    <xf numFmtId="0" fontId="2" fillId="0" borderId="53" xfId="0" applyFont="1" applyBorder="1" applyAlignment="1">
      <alignment vertical="center"/>
    </xf>
    <xf numFmtId="0" fontId="80" fillId="36" borderId="58"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37" borderId="58" xfId="0" applyFont="1" applyFill="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9" fontId="80" fillId="36" borderId="61" xfId="0" applyNumberFormat="1" applyFont="1" applyFill="1" applyBorder="1" applyAlignment="1">
      <alignment horizontal="center" vertical="center"/>
    </xf>
    <xf numFmtId="9" fontId="0" fillId="0" borderId="61" xfId="0" applyNumberFormat="1" applyFont="1" applyBorder="1" applyAlignment="1">
      <alignment horizontal="center" vertical="center"/>
    </xf>
    <xf numFmtId="0" fontId="0" fillId="0" borderId="61" xfId="0" applyFont="1" applyBorder="1" applyAlignment="1">
      <alignment horizontal="center" vertical="center"/>
    </xf>
    <xf numFmtId="9" fontId="0" fillId="37" borderId="61" xfId="0" applyNumberFormat="1" applyFont="1" applyFill="1" applyBorder="1" applyAlignment="1">
      <alignment horizontal="center" vertical="center"/>
    </xf>
    <xf numFmtId="0" fontId="0" fillId="0" borderId="46" xfId="0" applyFont="1" applyBorder="1" applyAlignment="1">
      <alignment vertical="center"/>
    </xf>
    <xf numFmtId="0" fontId="0" fillId="0" borderId="62" xfId="0" applyFont="1" applyBorder="1" applyAlignment="1">
      <alignment vertical="center"/>
    </xf>
    <xf numFmtId="9" fontId="80" fillId="36" borderId="46" xfId="0" applyNumberFormat="1" applyFont="1" applyFill="1" applyBorder="1" applyAlignment="1">
      <alignment horizontal="center" vertical="center"/>
    </xf>
    <xf numFmtId="9" fontId="0" fillId="0" borderId="46" xfId="0" applyNumberFormat="1" applyFont="1" applyBorder="1" applyAlignment="1">
      <alignment horizontal="center" vertical="center"/>
    </xf>
    <xf numFmtId="0" fontId="0" fillId="0" borderId="46" xfId="0" applyFont="1" applyBorder="1" applyAlignment="1">
      <alignment horizontal="center" vertical="center"/>
    </xf>
    <xf numFmtId="9" fontId="0" fillId="37" borderId="46"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9" fontId="80" fillId="35" borderId="0" xfId="0" applyNumberFormat="1" applyFont="1" applyFill="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center" vertical="center"/>
    </xf>
    <xf numFmtId="9" fontId="0" fillId="35" borderId="0" xfId="0" applyNumberFormat="1" applyFont="1" applyFill="1" applyAlignment="1">
      <alignment horizontal="center" vertical="center"/>
    </xf>
    <xf numFmtId="0" fontId="0" fillId="0" borderId="45" xfId="0" applyFont="1" applyBorder="1" applyAlignment="1">
      <alignment horizontal="left" vertical="center"/>
    </xf>
    <xf numFmtId="0" fontId="0" fillId="0" borderId="45" xfId="0" applyFont="1" applyBorder="1" applyAlignment="1">
      <alignment vertical="center" wrapText="1"/>
    </xf>
    <xf numFmtId="9" fontId="80" fillId="36" borderId="45" xfId="0" applyNumberFormat="1" applyFont="1" applyFill="1" applyBorder="1" applyAlignment="1">
      <alignment horizontal="center" vertical="center"/>
    </xf>
    <xf numFmtId="9" fontId="0" fillId="0" borderId="45" xfId="0" applyNumberFormat="1" applyFont="1" applyBorder="1" applyAlignment="1">
      <alignment horizontal="center" vertical="center"/>
    </xf>
    <xf numFmtId="0" fontId="0" fillId="0" borderId="45" xfId="0" applyFont="1" applyBorder="1" applyAlignment="1">
      <alignment horizontal="center" vertical="center"/>
    </xf>
    <xf numFmtId="9" fontId="0" fillId="37" borderId="45" xfId="0" applyNumberFormat="1" applyFont="1" applyFill="1" applyBorder="1" applyAlignment="1">
      <alignment horizontal="center" vertical="center"/>
    </xf>
    <xf numFmtId="0" fontId="0" fillId="0" borderId="61" xfId="0" applyFont="1" applyBorder="1" applyAlignment="1">
      <alignment horizontal="left" vertical="center"/>
    </xf>
    <xf numFmtId="0" fontId="0" fillId="0" borderId="61" xfId="0" applyFont="1" applyBorder="1" applyAlignment="1">
      <alignment vertical="center"/>
    </xf>
    <xf numFmtId="1" fontId="80" fillId="36" borderId="61" xfId="0" applyNumberFormat="1" applyFont="1" applyFill="1" applyBorder="1" applyAlignment="1" quotePrefix="1">
      <alignment horizontal="center" vertical="center"/>
    </xf>
    <xf numFmtId="0" fontId="0" fillId="0" borderId="61" xfId="0" applyNumberFormat="1" applyFont="1" applyBorder="1" applyAlignment="1">
      <alignment horizontal="center" vertical="center"/>
    </xf>
    <xf numFmtId="1" fontId="0" fillId="37" borderId="61" xfId="0" applyNumberFormat="1" applyFont="1" applyFill="1" applyBorder="1" applyAlignment="1">
      <alignment horizontal="center" vertical="center"/>
    </xf>
    <xf numFmtId="0" fontId="81" fillId="0" borderId="0" xfId="76" applyFont="1" applyFill="1" applyBorder="1" applyAlignment="1">
      <alignment horizontal="center" vertical="center" wrapText="1"/>
    </xf>
    <xf numFmtId="0" fontId="6" fillId="0" borderId="0" xfId="0" applyFont="1" applyAlignment="1">
      <alignment horizontal="right"/>
    </xf>
    <xf numFmtId="165" fontId="81" fillId="38" borderId="24" xfId="0" applyNumberFormat="1" applyFont="1" applyFill="1" applyBorder="1" applyAlignment="1">
      <alignment horizontal="center"/>
    </xf>
    <xf numFmtId="165" fontId="81" fillId="35" borderId="0" xfId="0" applyNumberFormat="1" applyFont="1" applyFill="1" applyBorder="1" applyAlignment="1">
      <alignment horizontal="center"/>
    </xf>
    <xf numFmtId="0" fontId="6" fillId="0" borderId="0" xfId="76" applyFont="1" applyAlignment="1">
      <alignment horizontal="right" vertical="center"/>
    </xf>
    <xf numFmtId="165" fontId="6" fillId="0" borderId="24" xfId="0" applyNumberFormat="1" applyFont="1" applyBorder="1" applyAlignment="1">
      <alignment horizontal="center"/>
    </xf>
    <xf numFmtId="0" fontId="31" fillId="0" borderId="0" xfId="76" applyFont="1" applyAlignment="1">
      <alignment vertical="center" wrapText="1"/>
    </xf>
    <xf numFmtId="0" fontId="82" fillId="0" borderId="0" xfId="0" applyFont="1" applyBorder="1" applyAlignment="1">
      <alignment/>
    </xf>
    <xf numFmtId="0" fontId="83" fillId="0" borderId="0" xfId="0" applyFont="1" applyAlignment="1">
      <alignment/>
    </xf>
    <xf numFmtId="0" fontId="2" fillId="0" borderId="63" xfId="75" applyFont="1" applyFill="1" applyBorder="1" applyAlignment="1">
      <alignment horizontal="center" vertical="center" wrapText="1"/>
      <protection/>
    </xf>
    <xf numFmtId="0" fontId="2" fillId="0" borderId="64" xfId="75" applyFont="1" applyFill="1" applyBorder="1" applyAlignment="1">
      <alignment horizontal="center" vertical="center" wrapText="1"/>
      <protection/>
    </xf>
    <xf numFmtId="0" fontId="42" fillId="0" borderId="0" xfId="76" applyFont="1" applyAlignment="1">
      <alignment horizontal="right" vertical="center" wrapText="1"/>
    </xf>
    <xf numFmtId="0" fontId="6" fillId="0" borderId="65" xfId="76" applyFont="1" applyBorder="1" applyAlignment="1">
      <alignment horizontal="left" vertical="center" wrapText="1"/>
    </xf>
    <xf numFmtId="0" fontId="6" fillId="0" borderId="57" xfId="76" applyFont="1" applyBorder="1" applyAlignment="1">
      <alignment horizontal="left" vertical="center" wrapText="1"/>
    </xf>
    <xf numFmtId="0" fontId="8" fillId="0" borderId="0" xfId="76" applyFont="1" applyAlignment="1">
      <alignment horizontal="center" vertical="center" wrapText="1"/>
    </xf>
    <xf numFmtId="0" fontId="6" fillId="0" borderId="0" xfId="75" applyFont="1" applyAlignment="1">
      <alignment horizontal="left" vertical="center" wrapText="1"/>
      <protection/>
    </xf>
    <xf numFmtId="0" fontId="0" fillId="0" borderId="0" xfId="75" applyNumberFormat="1" applyFont="1" applyFill="1" applyAlignment="1">
      <alignment horizontal="left" vertical="center" wrapText="1"/>
      <protection/>
    </xf>
    <xf numFmtId="0" fontId="30" fillId="0" borderId="0" xfId="76" applyFont="1" applyAlignment="1">
      <alignment horizontal="left" vertical="center" wrapText="1"/>
    </xf>
    <xf numFmtId="0" fontId="33" fillId="0" borderId="0" xfId="76" applyFont="1" applyAlignment="1">
      <alignment horizontal="left" vertical="center" wrapText="1"/>
    </xf>
    <xf numFmtId="0" fontId="84" fillId="0" borderId="0" xfId="0" applyFont="1" applyAlignment="1">
      <alignment horizontal="left"/>
    </xf>
    <xf numFmtId="0" fontId="33" fillId="0" borderId="0" xfId="75" applyNumberFormat="1" applyFont="1" applyAlignment="1">
      <alignment horizontal="center" vertical="center" wrapText="1"/>
      <protection/>
    </xf>
    <xf numFmtId="0" fontId="0" fillId="0" borderId="0" xfId="75" applyFont="1" applyAlignment="1">
      <alignment horizontal="left" vertical="center" wrapText="1"/>
      <protection/>
    </xf>
    <xf numFmtId="49" fontId="6" fillId="0" borderId="0" xfId="0" applyNumberFormat="1" applyFont="1" applyAlignment="1">
      <alignment horizontal="left" vertical="top" wrapText="1"/>
    </xf>
    <xf numFmtId="0" fontId="0" fillId="0" borderId="0" xfId="75" applyFont="1" applyFill="1" applyAlignment="1">
      <alignment horizontal="left" vertical="center" wrapText="1"/>
      <protection/>
    </xf>
    <xf numFmtId="0" fontId="0" fillId="0" borderId="0" xfId="75" applyNumberFormat="1" applyFont="1" applyAlignment="1">
      <alignment horizontal="left" vertical="center" wrapText="1"/>
      <protection/>
    </xf>
    <xf numFmtId="0" fontId="8" fillId="0" borderId="0" xfId="76" applyFont="1" applyAlignment="1">
      <alignment horizontal="left" vertical="center" wrapText="1"/>
    </xf>
    <xf numFmtId="0" fontId="6" fillId="0" borderId="0" xfId="0" applyFont="1" applyFill="1" applyAlignment="1">
      <alignment horizontal="left" vertical="center" wrapText="1"/>
    </xf>
    <xf numFmtId="0" fontId="8" fillId="0" borderId="0" xfId="0" applyFont="1" applyAlignment="1">
      <alignment/>
    </xf>
    <xf numFmtId="0" fontId="0" fillId="0" borderId="0" xfId="0" applyAlignment="1">
      <alignment/>
    </xf>
    <xf numFmtId="0" fontId="7" fillId="0" borderId="4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20" fillId="0" borderId="68" xfId="0" applyFont="1" applyBorder="1" applyAlignment="1">
      <alignment horizontal="center" vertical="center"/>
    </xf>
    <xf numFmtId="0" fontId="7" fillId="0" borderId="28" xfId="0" applyFont="1" applyBorder="1" applyAlignment="1">
      <alignment horizontal="center"/>
    </xf>
    <xf numFmtId="0" fontId="20" fillId="0" borderId="11" xfId="0" applyFont="1" applyBorder="1" applyAlignment="1">
      <alignment horizontal="center"/>
    </xf>
    <xf numFmtId="0" fontId="20" fillId="0" borderId="35" xfId="0" applyFont="1" applyBorder="1" applyAlignment="1">
      <alignment horizontal="center"/>
    </xf>
    <xf numFmtId="0" fontId="8" fillId="0" borderId="0" xfId="76" applyFont="1" applyAlignment="1">
      <alignment horizontal="left" vertical="center"/>
    </xf>
    <xf numFmtId="0" fontId="0" fillId="0" borderId="0" xfId="0" applyAlignment="1">
      <alignment horizontal="left" vertical="center"/>
    </xf>
    <xf numFmtId="0" fontId="32" fillId="0" borderId="0" xfId="76" applyFont="1" applyBorder="1" applyAlignment="1">
      <alignment horizontal="left" vertical="center" wrapText="1"/>
    </xf>
    <xf numFmtId="0" fontId="0" fillId="39" borderId="52" xfId="76" applyFont="1" applyFill="1" applyBorder="1" applyAlignment="1">
      <alignment horizontal="left" vertical="center" wrapText="1"/>
    </xf>
    <xf numFmtId="0" fontId="0" fillId="39" borderId="0" xfId="76" applyFont="1" applyFill="1" applyBorder="1" applyAlignment="1">
      <alignment horizontal="left" vertical="center" wrapText="1"/>
    </xf>
    <xf numFmtId="0" fontId="0" fillId="39" borderId="48" xfId="76" applyFont="1" applyFill="1" applyBorder="1" applyAlignment="1">
      <alignment horizontal="left" vertical="center" wrapText="1"/>
    </xf>
    <xf numFmtId="0" fontId="0" fillId="39" borderId="63" xfId="76" applyFont="1" applyFill="1" applyBorder="1" applyAlignment="1">
      <alignment horizontal="left" vertical="center" wrapText="1"/>
    </xf>
    <xf numFmtId="0" fontId="0" fillId="39" borderId="69" xfId="76" applyFont="1" applyFill="1" applyBorder="1" applyAlignment="1">
      <alignment horizontal="left" vertical="center" wrapText="1"/>
    </xf>
    <xf numFmtId="0" fontId="0" fillId="39" borderId="64" xfId="76" applyFont="1" applyFill="1" applyBorder="1" applyAlignment="1">
      <alignment horizontal="left" vertical="center" wrapText="1"/>
    </xf>
    <xf numFmtId="0" fontId="20" fillId="0" borderId="0" xfId="0" applyFont="1" applyAlignment="1">
      <alignment horizontal="center"/>
    </xf>
    <xf numFmtId="0" fontId="7" fillId="0" borderId="0" xfId="0" applyFont="1" applyAlignment="1">
      <alignment horizontal="center"/>
    </xf>
    <xf numFmtId="0" fontId="42" fillId="0" borderId="0" xfId="76" applyFont="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13" fillId="0" borderId="17" xfId="71" applyFont="1" applyFill="1" applyBorder="1" applyAlignment="1">
      <alignment horizontal="center" wrapText="1"/>
    </xf>
    <xf numFmtId="0" fontId="8" fillId="0" borderId="0" xfId="71" applyFont="1" applyFill="1" applyBorder="1" applyAlignment="1">
      <alignment horizontal="right"/>
    </xf>
    <xf numFmtId="0" fontId="7" fillId="0" borderId="0" xfId="71" applyFont="1" applyFill="1" applyBorder="1" applyAlignment="1">
      <alignment horizontal="center"/>
    </xf>
    <xf numFmtId="0" fontId="7" fillId="0" borderId="0" xfId="71" applyFont="1" applyFill="1" applyBorder="1" applyAlignment="1">
      <alignment horizontal="center" vertical="center"/>
    </xf>
    <xf numFmtId="0" fontId="11" fillId="0" borderId="0" xfId="71" applyFont="1" applyBorder="1" applyAlignment="1">
      <alignment horizontal="center" vertical="center"/>
    </xf>
    <xf numFmtId="0" fontId="13" fillId="0" borderId="0" xfId="71" applyFont="1" applyFill="1" applyBorder="1" applyAlignment="1">
      <alignment horizontal="left" shrinkToFit="1"/>
    </xf>
    <xf numFmtId="0" fontId="0" fillId="0" borderId="10" xfId="0" applyFont="1" applyBorder="1" applyAlignment="1">
      <alignment horizontal="center" wrapText="1"/>
    </xf>
    <xf numFmtId="0" fontId="13" fillId="0" borderId="0" xfId="71" applyFont="1" applyFill="1" applyBorder="1" applyAlignment="1">
      <alignment horizontal="center" vertical="center" wrapText="1" shrinkToFi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2 2" xfId="51"/>
    <cellStyle name="Currency 3" xfId="52"/>
    <cellStyle name="Data" xfId="53"/>
    <cellStyle name="Explanatory Text" xfId="54"/>
    <cellStyle name="F2" xfId="55"/>
    <cellStyle name="F3" xfId="56"/>
    <cellStyle name="F4" xfId="57"/>
    <cellStyle name="F5" xfId="58"/>
    <cellStyle name="F6" xfId="59"/>
    <cellStyle name="F7" xfId="60"/>
    <cellStyle name="F8"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2 2" xfId="72"/>
    <cellStyle name="Normal 3" xfId="73"/>
    <cellStyle name="Normal 4" xfId="74"/>
    <cellStyle name="Normal_Lesotho - Health - v2" xfId="75"/>
    <cellStyle name="Normal_mcc-err-namibia_mkt" xfId="76"/>
    <cellStyle name="Note" xfId="77"/>
    <cellStyle name="Output" xfId="78"/>
    <cellStyle name="Percent" xfId="79"/>
    <cellStyle name="Percent 2" xfId="80"/>
    <cellStyle name="Percent 2 2" xfId="81"/>
    <cellStyle name="Percent 3" xfId="82"/>
    <cellStyle name="Style 1" xfId="83"/>
    <cellStyle name="Title" xfId="84"/>
    <cellStyle name="Total" xfId="85"/>
    <cellStyle name="Warning Text" xfId="86"/>
  </cellStyles>
  <dxfs count="2">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135"/>
          <c:w val="0.96775"/>
          <c:h val="0.90325"/>
        </c:manualLayout>
      </c:layout>
      <c:areaChart>
        <c:grouping val="standard"/>
        <c:varyColors val="0"/>
        <c:ser>
          <c:idx val="0"/>
          <c:order val="0"/>
          <c:tx>
            <c:v>FCFA million</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val>
            <c:numRef>
              <c:f>'ERR Calculation'!$D$32:$W$32</c:f>
              <c:numCache>
                <c:ptCount val="20"/>
                <c:pt idx="0">
                  <c:v>-20211890000</c:v>
                </c:pt>
                <c:pt idx="1">
                  <c:v>-20211890000</c:v>
                </c:pt>
                <c:pt idx="2">
                  <c:v>4147146000</c:v>
                </c:pt>
                <c:pt idx="3">
                  <c:v>4599558000</c:v>
                </c:pt>
                <c:pt idx="4">
                  <c:v>5168139000</c:v>
                </c:pt>
                <c:pt idx="5">
                  <c:v>9496331250</c:v>
                </c:pt>
                <c:pt idx="6">
                  <c:v>6098300000</c:v>
                </c:pt>
                <c:pt idx="7">
                  <c:v>6467337000</c:v>
                </c:pt>
                <c:pt idx="8">
                  <c:v>6862339000</c:v>
                </c:pt>
                <c:pt idx="9">
                  <c:v>7283883000</c:v>
                </c:pt>
                <c:pt idx="10">
                  <c:v>7733155000</c:v>
                </c:pt>
                <c:pt idx="11">
                  <c:v>15415000000</c:v>
                </c:pt>
                <c:pt idx="12">
                  <c:v>1053114000</c:v>
                </c:pt>
                <c:pt idx="13">
                  <c:v>1085743000</c:v>
                </c:pt>
                <c:pt idx="14">
                  <c:v>1111581000</c:v>
                </c:pt>
                <c:pt idx="15">
                  <c:v>1133414000</c:v>
                </c:pt>
                <c:pt idx="16">
                  <c:v>1145748000</c:v>
                </c:pt>
                <c:pt idx="17">
                  <c:v>1148790000</c:v>
                </c:pt>
                <c:pt idx="18">
                  <c:v>1156260000</c:v>
                </c:pt>
                <c:pt idx="19">
                  <c:v>7406000000</c:v>
                </c:pt>
              </c:numCache>
            </c:numRef>
          </c:val>
        </c:ser>
        <c:axId val="51256046"/>
        <c:axId val="58651231"/>
      </c:areaChart>
      <c:catAx>
        <c:axId val="51256046"/>
        <c:scaling>
          <c:orientation val="minMax"/>
        </c:scaling>
        <c:axPos val="b"/>
        <c:delete val="0"/>
        <c:numFmt formatCode="General" sourceLinked="1"/>
        <c:majorTickMark val="none"/>
        <c:minorTickMark val="none"/>
        <c:tickLblPos val="nextTo"/>
        <c:spPr>
          <a:ln w="3175">
            <a:solidFill>
              <a:srgbClr val="808080"/>
            </a:solidFill>
          </a:ln>
        </c:spPr>
        <c:crossAx val="58651231"/>
        <c:crosses val="autoZero"/>
        <c:auto val="1"/>
        <c:lblOffset val="100"/>
        <c:tickLblSkip val="1"/>
        <c:noMultiLvlLbl val="0"/>
      </c:catAx>
      <c:valAx>
        <c:axId val="58651231"/>
        <c:scaling>
          <c:orientation val="minMax"/>
        </c:scaling>
        <c:axPos val="l"/>
        <c:delete val="0"/>
        <c:numFmt formatCode="General" sourceLinked="1"/>
        <c:majorTickMark val="none"/>
        <c:minorTickMark val="none"/>
        <c:tickLblPos val="nextTo"/>
        <c:spPr>
          <a:ln w="3175">
            <a:solidFill>
              <a:srgbClr val="808080"/>
            </a:solidFill>
          </a:ln>
        </c:spPr>
        <c:crossAx val="51256046"/>
        <c:crossesAt val="1"/>
        <c:crossBetween val="midCat"/>
        <c:dispUnits/>
      </c:valAx>
      <c:spPr>
        <a:solidFill>
          <a:srgbClr val="FFFFFF"/>
        </a:solidFill>
        <a:ln w="3175">
          <a:noFill/>
        </a:ln>
      </c:spPr>
    </c:plotArea>
    <c:legend>
      <c:legendPos val="b"/>
      <c:layout>
        <c:manualLayout>
          <c:xMode val="edge"/>
          <c:yMode val="edge"/>
          <c:x val="0.425"/>
          <c:y val="0.91025"/>
          <c:w val="0.14725"/>
          <c:h val="0.071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142875</xdr:rowOff>
    </xdr:from>
    <xdr:to>
      <xdr:col>0</xdr:col>
      <xdr:colOff>2914650</xdr:colOff>
      <xdr:row>7</xdr:row>
      <xdr:rowOff>47625</xdr:rowOff>
    </xdr:to>
    <xdr:pic>
      <xdr:nvPicPr>
        <xdr:cNvPr id="1" name="Picture 1" descr="identity - signature - horizontal - 66 point"/>
        <xdr:cNvPicPr preferRelativeResize="1">
          <a:picLocks noChangeAspect="1"/>
        </xdr:cNvPicPr>
      </xdr:nvPicPr>
      <xdr:blipFill>
        <a:blip r:embed="rId1"/>
        <a:stretch>
          <a:fillRect/>
        </a:stretch>
      </xdr:blipFill>
      <xdr:spPr>
        <a:xfrm>
          <a:off x="295275" y="142875"/>
          <a:ext cx="26193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30</xdr:row>
      <xdr:rowOff>180975</xdr:rowOff>
    </xdr:from>
    <xdr:to>
      <xdr:col>2</xdr:col>
      <xdr:colOff>1876425</xdr:colOff>
      <xdr:row>30</xdr:row>
      <xdr:rowOff>333375</xdr:rowOff>
    </xdr:to>
    <xdr:pic>
      <xdr:nvPicPr>
        <xdr:cNvPr id="1" name="Picture 1" descr="MCC horizontal"/>
        <xdr:cNvPicPr preferRelativeResize="1">
          <a:picLocks noChangeAspect="1"/>
        </xdr:cNvPicPr>
      </xdr:nvPicPr>
      <xdr:blipFill>
        <a:blip r:embed="rId1"/>
        <a:stretch>
          <a:fillRect/>
        </a:stretch>
      </xdr:blipFill>
      <xdr:spPr>
        <a:xfrm>
          <a:off x="647700" y="1082040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32</xdr:row>
      <xdr:rowOff>152400</xdr:rowOff>
    </xdr:from>
    <xdr:to>
      <xdr:col>5</xdr:col>
      <xdr:colOff>523875</xdr:colOff>
      <xdr:row>52</xdr:row>
      <xdr:rowOff>76200</xdr:rowOff>
    </xdr:to>
    <xdr:graphicFrame>
      <xdr:nvGraphicFramePr>
        <xdr:cNvPr id="1" name="Chart 2"/>
        <xdr:cNvGraphicFramePr/>
      </xdr:nvGraphicFramePr>
      <xdr:xfrm>
        <a:off x="2600325" y="7581900"/>
        <a:ext cx="6362700" cy="3162300"/>
      </xdr:xfrm>
      <a:graphic>
        <a:graphicData uri="http://schemas.openxmlformats.org/drawingml/2006/chart">
          <c:chart xmlns:c="http://schemas.openxmlformats.org/drawingml/2006/chart" r:id="rId1"/>
        </a:graphicData>
      </a:graphic>
    </xdr:graphicFrame>
    <xdr:clientData/>
  </xdr:twoCellAnchor>
  <xdr:twoCellAnchor>
    <xdr:from>
      <xdr:col>2</xdr:col>
      <xdr:colOff>1276350</xdr:colOff>
      <xdr:row>33</xdr:row>
      <xdr:rowOff>95250</xdr:rowOff>
    </xdr:from>
    <xdr:to>
      <xdr:col>5</xdr:col>
      <xdr:colOff>0</xdr:colOff>
      <xdr:row>36</xdr:row>
      <xdr:rowOff>95250</xdr:rowOff>
    </xdr:to>
    <xdr:sp>
      <xdr:nvSpPr>
        <xdr:cNvPr id="2" name="TextBox 3"/>
        <xdr:cNvSpPr txBox="1">
          <a:spLocks noChangeArrowheads="1"/>
        </xdr:cNvSpPr>
      </xdr:nvSpPr>
      <xdr:spPr>
        <a:xfrm>
          <a:off x="3324225" y="7686675"/>
          <a:ext cx="51149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33CCCC"/>
              </a:solidFill>
            </a:rPr>
            <a:t>Undiscounted Net Annual Benefits of Senegal's RN2 Road Rehabilitation Project</a:t>
          </a:r>
        </a:p>
      </xdr:txBody>
    </xdr:sp>
    <xdr:clientData/>
  </xdr:twoCellAnchor>
  <xdr:twoCellAnchor>
    <xdr:from>
      <xdr:col>4</xdr:col>
      <xdr:colOff>495300</xdr:colOff>
      <xdr:row>45</xdr:row>
      <xdr:rowOff>57150</xdr:rowOff>
    </xdr:from>
    <xdr:to>
      <xdr:col>4</xdr:col>
      <xdr:colOff>1104900</xdr:colOff>
      <xdr:row>46</xdr:row>
      <xdr:rowOff>123825</xdr:rowOff>
    </xdr:to>
    <xdr:sp>
      <xdr:nvSpPr>
        <xdr:cNvPr id="3" name="TextBox 4"/>
        <xdr:cNvSpPr txBox="1">
          <a:spLocks noChangeArrowheads="1"/>
        </xdr:cNvSpPr>
      </xdr:nvSpPr>
      <xdr:spPr>
        <a:xfrm>
          <a:off x="7791450" y="9591675"/>
          <a:ext cx="609600" cy="228600"/>
        </a:xfrm>
        <a:prstGeom prst="rect">
          <a:avLst/>
        </a:prstGeom>
        <a:solidFill>
          <a:srgbClr val="FFFFFF"/>
        </a:solidFill>
        <a:ln w="9525" cmpd="sng">
          <a:noFill/>
        </a:ln>
      </xdr:spPr>
      <xdr:txBody>
        <a:bodyPr vertOverflow="clip" wrap="square" anchor="b"/>
        <a:p>
          <a:pPr algn="l">
            <a:defRPr/>
          </a:pPr>
          <a:r>
            <a:rPr lang="en-US" cap="none" sz="1100" b="0" i="0" u="none" baseline="0">
              <a:solidFill>
                <a:srgbClr val="000000"/>
              </a:solidFill>
            </a:rPr>
            <a:t>Years</a:t>
          </a:r>
        </a:p>
      </xdr:txBody>
    </xdr:sp>
    <xdr:clientData/>
  </xdr:twoCellAnchor>
  <xdr:twoCellAnchor editAs="oneCell">
    <xdr:from>
      <xdr:col>5</xdr:col>
      <xdr:colOff>466725</xdr:colOff>
      <xdr:row>4</xdr:row>
      <xdr:rowOff>85725</xdr:rowOff>
    </xdr:from>
    <xdr:to>
      <xdr:col>6</xdr:col>
      <xdr:colOff>1190625</xdr:colOff>
      <xdr:row>5</xdr:row>
      <xdr:rowOff>66675</xdr:rowOff>
    </xdr:to>
    <xdr:pic>
      <xdr:nvPicPr>
        <xdr:cNvPr id="4" name="Picture 5" descr="MCC horizontal"/>
        <xdr:cNvPicPr preferRelativeResize="1">
          <a:picLocks noChangeAspect="1"/>
        </xdr:cNvPicPr>
      </xdr:nvPicPr>
      <xdr:blipFill>
        <a:blip r:embed="rId2"/>
        <a:stretch>
          <a:fillRect/>
        </a:stretch>
      </xdr:blipFill>
      <xdr:spPr>
        <a:xfrm>
          <a:off x="8905875" y="695325"/>
          <a:ext cx="216217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114300</xdr:rowOff>
    </xdr:from>
    <xdr:to>
      <xdr:col>2</xdr:col>
      <xdr:colOff>2676525</xdr:colOff>
      <xdr:row>5</xdr:row>
      <xdr:rowOff>19050</xdr:rowOff>
    </xdr:to>
    <xdr:pic>
      <xdr:nvPicPr>
        <xdr:cNvPr id="1" name="Picture 1" descr="content-branding-logo-horz"/>
        <xdr:cNvPicPr preferRelativeResize="1">
          <a:picLocks noChangeAspect="1"/>
        </xdr:cNvPicPr>
      </xdr:nvPicPr>
      <xdr:blipFill>
        <a:blip r:embed="rId1"/>
        <a:stretch>
          <a:fillRect/>
        </a:stretch>
      </xdr:blipFill>
      <xdr:spPr>
        <a:xfrm>
          <a:off x="609600" y="114300"/>
          <a:ext cx="27336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0</xdr:row>
      <xdr:rowOff>114300</xdr:rowOff>
    </xdr:from>
    <xdr:to>
      <xdr:col>2</xdr:col>
      <xdr:colOff>1571625</xdr:colOff>
      <xdr:row>4</xdr:row>
      <xdr:rowOff>66675</xdr:rowOff>
    </xdr:to>
    <xdr:pic>
      <xdr:nvPicPr>
        <xdr:cNvPr id="1" name="Picture 1" descr="content-branding-logo-horz"/>
        <xdr:cNvPicPr preferRelativeResize="1">
          <a:picLocks noChangeAspect="1"/>
        </xdr:cNvPicPr>
      </xdr:nvPicPr>
      <xdr:blipFill>
        <a:blip r:embed="rId1"/>
        <a:stretch>
          <a:fillRect/>
        </a:stretch>
      </xdr:blipFill>
      <xdr:spPr>
        <a:xfrm>
          <a:off x="914400" y="114300"/>
          <a:ext cx="21812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ffice_Shares\Compacts\Senegal\Concepts\Roads\RN6\Analysis\Working\Sen_Econ_Roads_RN6_2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l-MandaFeasSim"/>
      <sheetName val="EntretienVelMan"/>
      <sheetName val="Vel-MandaFeasDD"/>
      <sheetName val="Kol-VelFeasDD"/>
      <sheetName val="EntretienKolVel"/>
      <sheetName val="Tn-KolFeasDD"/>
      <sheetName val="EntretienTnKol"/>
      <sheetName val="ZigTnFeasDD"/>
      <sheetName val="EntretienZigTn"/>
      <sheetName val="RN6ZigTnKolVel"/>
      <sheetName val="RN6ZigTnKol"/>
      <sheetName val="BASummary_ZTKV"/>
      <sheetName val="RN6ZigTnKolVel_Sensit"/>
      <sheetName val="BASummary_ZTK"/>
      <sheetName val="RN6_Pop"/>
      <sheetName val="PovDist"/>
      <sheetName val="RN6_Data"/>
    </sheetNames>
    <sheetDataSet>
      <sheetData sheetId="9">
        <row r="45">
          <cell r="B45">
            <v>289.5780115175572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J27"/>
  <sheetViews>
    <sheetView showGridLines="0" zoomScale="80" zoomScaleNormal="80" zoomScalePageLayoutView="0" workbookViewId="0" topLeftCell="A1">
      <selection activeCell="B16" sqref="B16"/>
    </sheetView>
  </sheetViews>
  <sheetFormatPr defaultColWidth="9.140625" defaultRowHeight="15" customHeight="1"/>
  <cols>
    <col min="1" max="1" width="48.28125" style="202" customWidth="1"/>
    <col min="2" max="2" width="83.7109375" style="202" customWidth="1"/>
    <col min="3" max="16384" width="9.140625" style="202" customWidth="1"/>
  </cols>
  <sheetData>
    <row r="1" ht="12" customHeight="1"/>
    <row r="2" spans="2:6" s="203" customFormat="1" ht="9" customHeight="1">
      <c r="B2" s="289" t="s">
        <v>205</v>
      </c>
      <c r="C2" s="205"/>
      <c r="D2" s="205"/>
      <c r="E2" s="205"/>
      <c r="F2" s="205"/>
    </row>
    <row r="3" spans="1:6" s="203" customFormat="1" ht="8.25" customHeight="1">
      <c r="A3" s="234"/>
      <c r="B3" s="289"/>
      <c r="C3" s="205"/>
      <c r="D3" s="205"/>
      <c r="E3" s="205"/>
      <c r="F3" s="205"/>
    </row>
    <row r="4" spans="1:10" s="203" customFormat="1" ht="15" customHeight="1">
      <c r="A4" s="234"/>
      <c r="B4" s="289"/>
      <c r="C4" s="205"/>
      <c r="D4" s="205"/>
      <c r="E4" s="205"/>
      <c r="F4" s="205"/>
      <c r="J4" s="206"/>
    </row>
    <row r="5" spans="1:6" s="203" customFormat="1" ht="9" customHeight="1">
      <c r="A5" s="234"/>
      <c r="B5" s="289"/>
      <c r="C5" s="205"/>
      <c r="D5" s="205"/>
      <c r="E5" s="205"/>
      <c r="F5" s="205"/>
    </row>
    <row r="6" spans="1:6" s="203" customFormat="1" ht="6" customHeight="1">
      <c r="A6" s="234"/>
      <c r="B6" s="289"/>
      <c r="C6" s="205"/>
      <c r="D6" s="205"/>
      <c r="E6" s="205"/>
      <c r="F6" s="205"/>
    </row>
    <row r="7" spans="1:6" s="203" customFormat="1" ht="12" customHeight="1">
      <c r="A7" s="286" t="s">
        <v>245</v>
      </c>
      <c r="B7" s="286"/>
      <c r="C7" s="204"/>
      <c r="D7" s="204"/>
      <c r="E7" s="204"/>
      <c r="F7" s="204"/>
    </row>
    <row r="8" spans="1:2" ht="8.25" customHeight="1" thickBot="1">
      <c r="A8" s="201"/>
      <c r="B8" s="201"/>
    </row>
    <row r="9" spans="1:2" ht="18.75" customHeight="1" thickTop="1">
      <c r="A9" s="287" t="s">
        <v>203</v>
      </c>
      <c r="B9" s="222" t="s">
        <v>219</v>
      </c>
    </row>
    <row r="10" spans="1:2" ht="18.75" customHeight="1">
      <c r="A10" s="288"/>
      <c r="B10" s="223" t="s">
        <v>204</v>
      </c>
    </row>
    <row r="11" spans="1:2" ht="18.75" customHeight="1">
      <c r="A11" s="224" t="s">
        <v>208</v>
      </c>
      <c r="B11" s="225" t="s">
        <v>209</v>
      </c>
    </row>
    <row r="12" spans="1:2" ht="18.75" customHeight="1">
      <c r="A12" s="226" t="s">
        <v>210</v>
      </c>
      <c r="B12" s="227">
        <v>40013</v>
      </c>
    </row>
    <row r="13" spans="1:2" ht="18.75" customHeight="1">
      <c r="A13" s="226" t="s">
        <v>211</v>
      </c>
      <c r="B13" s="228" t="s">
        <v>199</v>
      </c>
    </row>
    <row r="14" spans="1:2" ht="18.75" customHeight="1">
      <c r="A14" s="226" t="s">
        <v>212</v>
      </c>
      <c r="B14" s="229" t="s">
        <v>220</v>
      </c>
    </row>
    <row r="15" spans="1:2" ht="18.75" customHeight="1">
      <c r="A15" s="230" t="s">
        <v>213</v>
      </c>
      <c r="B15" s="231" t="s">
        <v>221</v>
      </c>
    </row>
    <row r="16" spans="1:2" ht="31.5" customHeight="1">
      <c r="A16" s="232" t="s">
        <v>244</v>
      </c>
      <c r="B16" s="233" t="s">
        <v>238</v>
      </c>
    </row>
    <row r="17" spans="1:2" ht="18.75" customHeight="1">
      <c r="A17" s="235" t="s">
        <v>214</v>
      </c>
      <c r="B17" s="225" t="s">
        <v>184</v>
      </c>
    </row>
    <row r="18" spans="1:2" ht="18.75" customHeight="1">
      <c r="A18" s="236" t="s">
        <v>215</v>
      </c>
      <c r="B18" s="238" t="s">
        <v>216</v>
      </c>
    </row>
    <row r="19" spans="1:2" ht="27" customHeight="1">
      <c r="A19" s="237"/>
      <c r="B19" s="231" t="s">
        <v>217</v>
      </c>
    </row>
    <row r="20" spans="1:2" ht="18.75" customHeight="1">
      <c r="A20" s="237"/>
      <c r="B20" s="239"/>
    </row>
    <row r="21" spans="1:2" ht="18.75" customHeight="1">
      <c r="A21" s="237"/>
      <c r="B21" s="240" t="s">
        <v>218</v>
      </c>
    </row>
    <row r="22" spans="1:2" ht="18.75" customHeight="1">
      <c r="A22" s="237"/>
      <c r="B22" s="231" t="s">
        <v>195</v>
      </c>
    </row>
    <row r="23" spans="1:2" ht="18.75" customHeight="1">
      <c r="A23" s="237"/>
      <c r="B23" s="241"/>
    </row>
    <row r="24" spans="1:2" ht="18.75" customHeight="1">
      <c r="A24" s="237"/>
      <c r="B24" s="240" t="s">
        <v>194</v>
      </c>
    </row>
    <row r="25" spans="1:2" ht="18.75" customHeight="1">
      <c r="A25" s="237"/>
      <c r="B25" s="231" t="s">
        <v>195</v>
      </c>
    </row>
    <row r="26" spans="1:2" ht="18.75" customHeight="1">
      <c r="A26" s="237"/>
      <c r="B26" s="242"/>
    </row>
    <row r="27" spans="1:2" ht="3" customHeight="1" thickBot="1">
      <c r="A27" s="284"/>
      <c r="B27" s="285"/>
    </row>
    <row r="28" ht="15" customHeight="1" thickTop="1"/>
  </sheetData>
  <sheetProtection/>
  <mergeCells count="4">
    <mergeCell ref="A27:B27"/>
    <mergeCell ref="A7:B7"/>
    <mergeCell ref="A9:A10"/>
    <mergeCell ref="B2:B6"/>
  </mergeCells>
  <hyperlinks>
    <hyperlink ref="B24" location="'ERR Calculation'!A1" display="ERR Calculation"/>
    <hyperlink ref="B21" location="'ERR and Sensitivity Analysis'!A1" display="ERR &amp; Sensitivity Analysis"/>
    <hyperlink ref="B18" location="'Activity Description'!A1" display="Activity Description"/>
  </hyperlink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V71"/>
  <sheetViews>
    <sheetView zoomScalePageLayoutView="0" workbookViewId="0" topLeftCell="A34">
      <selection activeCell="B71" sqref="B71"/>
    </sheetView>
  </sheetViews>
  <sheetFormatPr defaultColWidth="9.140625" defaultRowHeight="12.75"/>
  <cols>
    <col min="1" max="1" width="61.421875" style="0" customWidth="1"/>
    <col min="2" max="2" width="14.00390625" style="0" customWidth="1"/>
    <col min="3" max="3" width="19.8515625" style="0" customWidth="1"/>
    <col min="8" max="8" width="12.140625" style="0" customWidth="1"/>
  </cols>
  <sheetData>
    <row r="1" ht="12.75">
      <c r="A1" t="s">
        <v>1</v>
      </c>
    </row>
    <row r="2" ht="12.75">
      <c r="A2" t="s">
        <v>101</v>
      </c>
    </row>
    <row r="4" ht="12.75">
      <c r="A4" t="s">
        <v>136</v>
      </c>
    </row>
    <row r="5" spans="2:21" ht="12.75">
      <c r="B5" s="1"/>
      <c r="C5" s="1"/>
      <c r="D5" s="1"/>
      <c r="E5" s="1"/>
      <c r="F5" s="1"/>
      <c r="G5" s="1"/>
      <c r="H5" s="1"/>
      <c r="I5" s="1"/>
      <c r="J5" s="1"/>
      <c r="K5" s="1"/>
      <c r="L5" s="1"/>
      <c r="M5" s="1"/>
      <c r="N5" s="1"/>
      <c r="O5" s="1"/>
      <c r="P5" s="1"/>
      <c r="Q5" s="1"/>
      <c r="R5" s="1"/>
      <c r="S5" s="1"/>
      <c r="T5" s="1"/>
      <c r="U5" s="1"/>
    </row>
    <row r="6" spans="2:22" ht="12.75">
      <c r="B6" s="1"/>
      <c r="C6" s="1"/>
      <c r="D6" s="1"/>
      <c r="E6" s="1"/>
      <c r="F6" s="1"/>
      <c r="G6" s="1"/>
      <c r="H6" s="1"/>
      <c r="I6" s="1"/>
      <c r="J6" s="1"/>
      <c r="K6" s="1"/>
      <c r="L6" s="1"/>
      <c r="M6" s="1"/>
      <c r="N6" s="1"/>
      <c r="O6" s="1"/>
      <c r="P6" s="1"/>
      <c r="Q6" s="1"/>
      <c r="R6" s="1"/>
      <c r="S6" s="1"/>
      <c r="T6" s="1"/>
      <c r="U6" s="1"/>
      <c r="V6" s="1"/>
    </row>
    <row r="7" spans="1:22" ht="12.75">
      <c r="A7" t="s">
        <v>137</v>
      </c>
      <c r="B7" s="1"/>
      <c r="C7" s="1"/>
      <c r="D7" s="1"/>
      <c r="E7" s="1"/>
      <c r="F7" s="1"/>
      <c r="G7" s="1"/>
      <c r="H7" s="1"/>
      <c r="I7" s="1"/>
      <c r="J7" s="1"/>
      <c r="K7" s="1"/>
      <c r="L7" s="1"/>
      <c r="M7" s="1"/>
      <c r="N7" s="1"/>
      <c r="O7" s="1"/>
      <c r="P7" s="1"/>
      <c r="Q7" s="1"/>
      <c r="R7" s="1"/>
      <c r="S7" s="1"/>
      <c r="T7" s="1"/>
      <c r="U7" s="1"/>
      <c r="V7" s="1"/>
    </row>
    <row r="8" spans="1:22" ht="12.75">
      <c r="A8" t="s">
        <v>26</v>
      </c>
      <c r="B8" s="1"/>
      <c r="C8" s="1"/>
      <c r="D8" s="1"/>
      <c r="E8" s="1"/>
      <c r="F8" s="1"/>
      <c r="G8" s="1"/>
      <c r="H8" s="1"/>
      <c r="I8" s="1"/>
      <c r="J8" s="1"/>
      <c r="K8" s="1"/>
      <c r="L8" s="1"/>
      <c r="M8" s="1"/>
      <c r="N8" s="1"/>
      <c r="O8" s="1"/>
      <c r="P8" s="1"/>
      <c r="Q8" s="1"/>
      <c r="R8" s="1"/>
      <c r="S8" s="1"/>
      <c r="T8" s="1"/>
      <c r="U8" s="1"/>
      <c r="V8" s="1"/>
    </row>
    <row r="9" ht="12.75">
      <c r="A9" t="s">
        <v>41</v>
      </c>
    </row>
    <row r="10" spans="1:9" ht="12.75">
      <c r="A10" t="s">
        <v>141</v>
      </c>
      <c r="B10">
        <v>47570000</v>
      </c>
      <c r="C10">
        <v>0.5707395498392283</v>
      </c>
      <c r="D10">
        <v>1</v>
      </c>
      <c r="E10">
        <v>47570000</v>
      </c>
      <c r="H10" s="132" t="s">
        <v>200</v>
      </c>
      <c r="I10" s="128">
        <v>286.39801160258753</v>
      </c>
    </row>
    <row r="11" spans="1:21" ht="12.75">
      <c r="A11" t="s">
        <v>28</v>
      </c>
      <c r="B11" s="1">
        <v>3799000</v>
      </c>
      <c r="C11" s="1">
        <v>0.0455799779238854</v>
      </c>
      <c r="D11" s="1">
        <v>1</v>
      </c>
      <c r="E11" s="1">
        <v>3799000</v>
      </c>
      <c r="F11" s="1"/>
      <c r="G11" s="1"/>
      <c r="H11" s="1"/>
      <c r="I11" s="1"/>
      <c r="J11" s="1"/>
      <c r="K11" s="1"/>
      <c r="L11" s="1"/>
      <c r="M11" s="1"/>
      <c r="N11" s="1"/>
      <c r="O11" s="1"/>
      <c r="P11" s="1"/>
      <c r="Q11" s="1"/>
      <c r="R11" s="1"/>
      <c r="S11" s="1"/>
      <c r="T11" s="1"/>
      <c r="U11" s="1"/>
    </row>
    <row r="12" spans="1:21" ht="12.75">
      <c r="A12" t="s">
        <v>29</v>
      </c>
      <c r="B12" s="1">
        <v>3799000</v>
      </c>
      <c r="C12" s="1">
        <v>0.0455799779238854</v>
      </c>
      <c r="D12" s="1">
        <v>1</v>
      </c>
      <c r="E12" s="1">
        <v>3799000</v>
      </c>
      <c r="F12" s="1"/>
      <c r="G12" s="1"/>
      <c r="H12" s="1"/>
      <c r="I12" s="1"/>
      <c r="J12" s="1"/>
      <c r="K12" s="1"/>
      <c r="L12" s="1"/>
      <c r="M12" s="1"/>
      <c r="N12" s="1"/>
      <c r="O12" s="1"/>
      <c r="P12" s="1"/>
      <c r="Q12" s="1"/>
      <c r="R12" s="1"/>
      <c r="S12" s="1"/>
      <c r="T12" s="1"/>
      <c r="U12" s="1"/>
    </row>
    <row r="13" spans="1:21" ht="12.75">
      <c r="A13" t="s">
        <v>30</v>
      </c>
      <c r="B13" s="1">
        <v>0</v>
      </c>
      <c r="C13" s="1">
        <v>0</v>
      </c>
      <c r="D13" s="1">
        <v>1</v>
      </c>
      <c r="E13" s="1">
        <v>0</v>
      </c>
      <c r="F13" s="1"/>
      <c r="G13" s="1"/>
      <c r="H13" s="1"/>
      <c r="I13" s="1"/>
      <c r="J13" s="1"/>
      <c r="K13" s="1"/>
      <c r="L13" s="1"/>
      <c r="M13" s="1"/>
      <c r="N13" s="1"/>
      <c r="O13" s="1"/>
      <c r="P13" s="1"/>
      <c r="Q13" s="1"/>
      <c r="R13" s="1"/>
      <c r="S13" s="1"/>
      <c r="T13" s="1"/>
      <c r="U13" s="1"/>
    </row>
    <row r="14" spans="1:21" ht="12.75">
      <c r="A14" t="s">
        <v>31</v>
      </c>
      <c r="B14" s="1">
        <v>28180000</v>
      </c>
      <c r="C14" s="1">
        <v>0.33810049431300093</v>
      </c>
      <c r="D14" s="1">
        <v>1</v>
      </c>
      <c r="E14" s="1">
        <v>28180000</v>
      </c>
      <c r="F14" s="1"/>
      <c r="G14" s="1"/>
      <c r="H14" s="1"/>
      <c r="I14" s="1"/>
      <c r="J14" s="1"/>
      <c r="K14" s="1"/>
      <c r="L14" s="1"/>
      <c r="M14" s="1"/>
      <c r="N14" s="1"/>
      <c r="O14" s="1"/>
      <c r="P14" s="1"/>
      <c r="Q14" s="1"/>
      <c r="R14" s="1"/>
      <c r="S14" s="1"/>
      <c r="T14" s="1"/>
      <c r="U14" s="1"/>
    </row>
    <row r="15" spans="1:22" ht="12.75">
      <c r="A15" t="s">
        <v>32</v>
      </c>
      <c r="B15" s="1">
        <v>83348000</v>
      </c>
      <c r="C15" s="1">
        <v>0.9999999999999999</v>
      </c>
      <c r="D15" s="1"/>
      <c r="E15" s="1">
        <v>83348000</v>
      </c>
      <c r="F15" s="1"/>
      <c r="G15" s="1"/>
      <c r="H15" s="1"/>
      <c r="I15" s="1"/>
      <c r="J15" s="1"/>
      <c r="K15" s="1"/>
      <c r="L15" s="1"/>
      <c r="M15" s="1"/>
      <c r="N15" s="1"/>
      <c r="O15" s="1"/>
      <c r="P15" s="1"/>
      <c r="Q15" s="1"/>
      <c r="R15" s="1"/>
      <c r="S15" s="1"/>
      <c r="T15" s="1"/>
      <c r="U15" s="1"/>
      <c r="V15" s="1"/>
    </row>
    <row r="17" spans="1:21" ht="12.75">
      <c r="A17" t="s">
        <v>142</v>
      </c>
      <c r="B17" s="1">
        <v>7800000</v>
      </c>
      <c r="C17" s="1"/>
      <c r="D17" s="1"/>
      <c r="E17" s="1"/>
      <c r="F17" s="1"/>
      <c r="G17" s="1"/>
      <c r="H17" s="1"/>
      <c r="I17" s="1"/>
      <c r="J17" s="1"/>
      <c r="K17" s="1"/>
      <c r="L17" s="1"/>
      <c r="M17" s="1"/>
      <c r="N17" s="1"/>
      <c r="O17" s="1"/>
      <c r="P17" s="1"/>
      <c r="Q17" s="1"/>
      <c r="R17" s="1"/>
      <c r="S17" s="1"/>
      <c r="T17" s="1"/>
      <c r="U17" s="1"/>
    </row>
    <row r="18" ht="12.75">
      <c r="B18" s="16"/>
    </row>
    <row r="19" spans="1:5" ht="12.75">
      <c r="A19" t="s">
        <v>33</v>
      </c>
      <c r="B19" s="1">
        <v>694566.6666666666</v>
      </c>
      <c r="E19" s="132"/>
    </row>
    <row r="20" spans="1:2" ht="12.75">
      <c r="A20" t="s">
        <v>140</v>
      </c>
      <c r="B20">
        <v>1</v>
      </c>
    </row>
    <row r="21" ht="12.75">
      <c r="B21" s="7"/>
    </row>
    <row r="22" spans="1:22" ht="12.75">
      <c r="A22" s="19" t="s">
        <v>51</v>
      </c>
      <c r="B22" s="7"/>
      <c r="C22" s="33"/>
      <c r="D22" s="33"/>
      <c r="E22" s="33"/>
      <c r="F22" s="33"/>
      <c r="G22" s="33"/>
      <c r="H22" s="33"/>
      <c r="I22" s="33"/>
      <c r="J22" s="33"/>
      <c r="K22" s="33"/>
      <c r="L22" s="33"/>
      <c r="M22" s="33"/>
      <c r="N22" s="33"/>
      <c r="O22" s="33"/>
      <c r="P22" s="33"/>
      <c r="Q22" s="33"/>
      <c r="R22" s="33"/>
      <c r="S22" s="33"/>
      <c r="T22" s="33"/>
      <c r="U22" s="33"/>
      <c r="V22" s="33"/>
    </row>
    <row r="23" spans="1:22" ht="12.75">
      <c r="A23" s="19"/>
      <c r="B23" s="7"/>
      <c r="C23" s="34">
        <v>1</v>
      </c>
      <c r="D23" s="34">
        <v>2</v>
      </c>
      <c r="E23" s="33">
        <v>3</v>
      </c>
      <c r="F23" s="33">
        <v>4</v>
      </c>
      <c r="G23" s="33">
        <v>5</v>
      </c>
      <c r="H23" s="33">
        <v>6</v>
      </c>
      <c r="I23" s="33">
        <v>7</v>
      </c>
      <c r="J23" s="33">
        <v>8</v>
      </c>
      <c r="K23" s="33">
        <v>9</v>
      </c>
      <c r="L23" s="33">
        <v>10</v>
      </c>
      <c r="M23" s="33">
        <v>11</v>
      </c>
      <c r="N23" s="33">
        <v>12</v>
      </c>
      <c r="O23" s="33">
        <v>13</v>
      </c>
      <c r="P23" s="33">
        <v>14</v>
      </c>
      <c r="Q23" s="33">
        <v>15</v>
      </c>
      <c r="R23" s="33">
        <v>16</v>
      </c>
      <c r="S23" s="33">
        <v>17</v>
      </c>
      <c r="T23" s="33">
        <v>18</v>
      </c>
      <c r="U23" s="33">
        <v>19</v>
      </c>
      <c r="V23" s="33">
        <v>20</v>
      </c>
    </row>
    <row r="24" spans="1:22" ht="12.75">
      <c r="A24" s="19" t="s">
        <v>2</v>
      </c>
      <c r="B24" s="7"/>
      <c r="C24" s="34">
        <v>2010</v>
      </c>
      <c r="D24" s="34">
        <v>2011</v>
      </c>
      <c r="E24" s="34">
        <v>2012</v>
      </c>
      <c r="F24" s="34">
        <v>2013</v>
      </c>
      <c r="G24" s="34">
        <v>2014</v>
      </c>
      <c r="H24" s="34">
        <v>2015</v>
      </c>
      <c r="I24" s="34">
        <v>2016</v>
      </c>
      <c r="J24" s="34">
        <v>2017</v>
      </c>
      <c r="K24" s="34">
        <v>2018</v>
      </c>
      <c r="L24" s="34">
        <v>2019</v>
      </c>
      <c r="M24" s="34">
        <v>2020</v>
      </c>
      <c r="N24" s="34">
        <v>2021</v>
      </c>
      <c r="O24" s="34">
        <v>2022</v>
      </c>
      <c r="P24" s="34">
        <v>2023</v>
      </c>
      <c r="Q24" s="34">
        <v>2024</v>
      </c>
      <c r="R24" s="34">
        <v>2025</v>
      </c>
      <c r="S24" s="34">
        <v>2026</v>
      </c>
      <c r="T24" s="34">
        <v>2027</v>
      </c>
      <c r="U24" s="34">
        <v>2028</v>
      </c>
      <c r="V24" s="34">
        <v>2029</v>
      </c>
    </row>
    <row r="25" spans="1:22" ht="12.75">
      <c r="A25" s="19" t="s">
        <v>3</v>
      </c>
      <c r="B25" s="7"/>
      <c r="C25" s="34">
        <v>20211890000</v>
      </c>
      <c r="D25" s="34">
        <v>20211890000</v>
      </c>
      <c r="E25" s="34"/>
      <c r="F25" s="34"/>
      <c r="G25" s="34"/>
      <c r="H25" s="34"/>
      <c r="I25" s="34"/>
      <c r="J25" s="34"/>
      <c r="K25" s="34"/>
      <c r="L25" s="34"/>
      <c r="M25" s="34"/>
      <c r="N25" s="34"/>
      <c r="O25" s="34"/>
      <c r="P25" s="34"/>
      <c r="Q25" s="34"/>
      <c r="R25" s="34"/>
      <c r="S25" s="34"/>
      <c r="T25" s="34"/>
      <c r="U25" s="34"/>
      <c r="V25" s="34"/>
    </row>
    <row r="26" spans="1:22" ht="12.75">
      <c r="A26" t="s">
        <v>138</v>
      </c>
      <c r="C26" s="133">
        <v>0</v>
      </c>
      <c r="D26" s="33">
        <v>0</v>
      </c>
      <c r="E26" s="33">
        <v>4147146000</v>
      </c>
      <c r="F26" s="33">
        <v>4599558000</v>
      </c>
      <c r="G26" s="33">
        <v>5168139000</v>
      </c>
      <c r="H26" s="33">
        <v>9496331250</v>
      </c>
      <c r="I26" s="33">
        <v>6098300000</v>
      </c>
      <c r="J26" s="33">
        <v>6467337000</v>
      </c>
      <c r="K26" s="33">
        <v>6862339000</v>
      </c>
      <c r="L26" s="33">
        <v>7283883000</v>
      </c>
      <c r="M26" s="33">
        <v>7733155000</v>
      </c>
      <c r="N26" s="33">
        <v>15415000000</v>
      </c>
      <c r="O26" s="33">
        <v>1053114000</v>
      </c>
      <c r="P26" s="33">
        <v>1085743000</v>
      </c>
      <c r="Q26" s="33">
        <v>1111581000</v>
      </c>
      <c r="R26" s="33">
        <v>1133414000</v>
      </c>
      <c r="S26" s="33">
        <v>1145748000</v>
      </c>
      <c r="T26" s="33">
        <v>1148790000</v>
      </c>
      <c r="U26" s="33">
        <v>1156260000</v>
      </c>
      <c r="V26" s="33">
        <v>7406000000</v>
      </c>
    </row>
    <row r="27" spans="1:22" ht="12.75">
      <c r="A27" t="s">
        <v>139</v>
      </c>
      <c r="C27" s="33">
        <v>-20211890000</v>
      </c>
      <c r="D27" s="33">
        <v>-20211890000</v>
      </c>
      <c r="E27" s="33">
        <v>4147146000</v>
      </c>
      <c r="F27" s="33">
        <v>4599558000</v>
      </c>
      <c r="G27" s="33">
        <v>5168139000</v>
      </c>
      <c r="H27" s="33">
        <v>9496331250</v>
      </c>
      <c r="I27" s="33">
        <v>6098300000</v>
      </c>
      <c r="J27" s="33">
        <v>6467337000</v>
      </c>
      <c r="K27" s="33">
        <v>6862339000</v>
      </c>
      <c r="L27" s="33">
        <v>7283883000</v>
      </c>
      <c r="M27" s="33">
        <v>7733155000</v>
      </c>
      <c r="N27" s="33">
        <v>15415000000</v>
      </c>
      <c r="O27" s="33">
        <v>1053114000</v>
      </c>
      <c r="P27" s="33">
        <v>1085743000</v>
      </c>
      <c r="Q27" s="33">
        <v>1111581000</v>
      </c>
      <c r="R27" s="33">
        <v>1133414000</v>
      </c>
      <c r="S27" s="33">
        <v>1145748000</v>
      </c>
      <c r="T27" s="33">
        <v>1148790000</v>
      </c>
      <c r="U27" s="33">
        <v>1156260000</v>
      </c>
      <c r="V27" s="33">
        <v>7406000000</v>
      </c>
    </row>
    <row r="28" spans="2:22" ht="12.75">
      <c r="B28" t="s">
        <v>10</v>
      </c>
      <c r="C28" s="34">
        <v>0.10933311656180045</v>
      </c>
      <c r="D28" s="34" t="s">
        <v>143</v>
      </c>
      <c r="E28" s="34"/>
      <c r="F28" s="34"/>
      <c r="G28" s="34"/>
      <c r="H28" s="33"/>
      <c r="I28" s="33"/>
      <c r="J28" s="33"/>
      <c r="K28" s="33"/>
      <c r="L28" s="33"/>
      <c r="M28" s="33"/>
      <c r="N28" s="33"/>
      <c r="O28" s="33"/>
      <c r="P28" s="33"/>
      <c r="Q28" s="33"/>
      <c r="R28" s="33"/>
      <c r="S28" s="33"/>
      <c r="T28" s="33"/>
      <c r="U28" s="33"/>
      <c r="V28" s="33"/>
    </row>
    <row r="29" spans="1:22" ht="12.75">
      <c r="A29" s="19"/>
      <c r="C29" s="1"/>
      <c r="D29" s="1"/>
      <c r="E29" s="1"/>
      <c r="F29" s="1"/>
      <c r="G29" s="1"/>
      <c r="H29" s="1"/>
      <c r="I29" s="1"/>
      <c r="J29" s="1"/>
      <c r="K29" s="1"/>
      <c r="L29" s="1"/>
      <c r="M29" s="1"/>
      <c r="N29" s="1"/>
      <c r="O29" s="1"/>
      <c r="P29" s="1"/>
      <c r="Q29" s="1"/>
      <c r="R29" s="1"/>
      <c r="S29" s="1"/>
      <c r="T29" s="1"/>
      <c r="U29" s="1"/>
      <c r="V29" s="1"/>
    </row>
    <row r="30" spans="1:7" ht="12.75">
      <c r="A30" t="s">
        <v>144</v>
      </c>
      <c r="C30" s="2">
        <v>420333333.3333333</v>
      </c>
      <c r="D30">
        <v>840666666.6666666</v>
      </c>
      <c r="E30">
        <v>840666666.6666666</v>
      </c>
      <c r="F30">
        <v>840666666.6666666</v>
      </c>
      <c r="G30">
        <v>840666666.6666666</v>
      </c>
    </row>
    <row r="31" spans="1:22" ht="12.75">
      <c r="A31" s="19"/>
      <c r="C31">
        <v>-20632223333.333332</v>
      </c>
      <c r="D31">
        <v>-21052556666.666668</v>
      </c>
      <c r="E31">
        <v>3306479333.3333335</v>
      </c>
      <c r="F31">
        <v>3758891333.3333335</v>
      </c>
      <c r="G31">
        <v>4327472333.333333</v>
      </c>
      <c r="H31">
        <v>9496331250</v>
      </c>
      <c r="I31">
        <v>6098300000</v>
      </c>
      <c r="J31">
        <v>6467337000</v>
      </c>
      <c r="K31">
        <v>6862339000</v>
      </c>
      <c r="L31">
        <v>7283883000</v>
      </c>
      <c r="M31">
        <v>7733155000</v>
      </c>
      <c r="N31">
        <v>15415000000</v>
      </c>
      <c r="O31">
        <v>1053114000</v>
      </c>
      <c r="P31">
        <v>1085743000</v>
      </c>
      <c r="Q31">
        <v>1111581000</v>
      </c>
      <c r="R31">
        <v>1133414000</v>
      </c>
      <c r="S31">
        <v>1145748000</v>
      </c>
      <c r="T31">
        <v>1148790000</v>
      </c>
      <c r="U31">
        <v>1156260000</v>
      </c>
      <c r="V31">
        <v>7406000000</v>
      </c>
    </row>
    <row r="32" spans="2:4" ht="12.75">
      <c r="B32" t="s">
        <v>10</v>
      </c>
      <c r="C32">
        <v>0.09676977402888094</v>
      </c>
      <c r="D32" t="s">
        <v>145</v>
      </c>
    </row>
    <row r="33" spans="1:2" ht="12.75">
      <c r="A33" s="132"/>
      <c r="B33" s="1"/>
    </row>
    <row r="34" spans="1:3" ht="12.75">
      <c r="A34" s="132" t="s">
        <v>173</v>
      </c>
      <c r="B34" s="1"/>
      <c r="C34" s="134">
        <f>NPV(0.1,C25:D25)</f>
        <v>35078486776.859505</v>
      </c>
    </row>
    <row r="35" spans="1:3" ht="12.75">
      <c r="A35" s="132" t="s">
        <v>174</v>
      </c>
      <c r="C35" s="17">
        <f>C34/I10</f>
        <v>122481600.27568634</v>
      </c>
    </row>
    <row r="36" spans="1:5" ht="12.75">
      <c r="A36" s="132" t="s">
        <v>175</v>
      </c>
      <c r="C36" s="134">
        <f>NPV(0.1,'RT-Nd'!C58:V58)</f>
        <v>37140875253.07992</v>
      </c>
      <c r="D36" s="1"/>
      <c r="E36" s="1"/>
    </row>
    <row r="37" spans="1:3" ht="12.75">
      <c r="A37" s="132" t="s">
        <v>176</v>
      </c>
      <c r="C37" s="1">
        <f>C36/I10</f>
        <v>129682727.35293096</v>
      </c>
    </row>
    <row r="39" spans="1:2" ht="12.75">
      <c r="A39" s="132" t="s">
        <v>177</v>
      </c>
      <c r="B39" s="1">
        <f>SUM(C27:V27)</f>
        <v>48088058250</v>
      </c>
    </row>
    <row r="40" spans="1:2" ht="12.75">
      <c r="A40" s="132" t="s">
        <v>172</v>
      </c>
      <c r="B40" s="1">
        <f>SUM(C25:D25)</f>
        <v>40423780000</v>
      </c>
    </row>
    <row r="41" spans="1:2" ht="12.75">
      <c r="A41" s="132" t="s">
        <v>178</v>
      </c>
      <c r="B41" s="1">
        <f>(B39-B40)/I10</f>
        <v>26760933.873504434</v>
      </c>
    </row>
    <row r="43" spans="1:2" ht="12.75">
      <c r="A43" t="s">
        <v>179</v>
      </c>
      <c r="B43" s="136">
        <f>BASummary_RN2!D17</f>
        <v>251000</v>
      </c>
    </row>
    <row r="44" spans="2:5" ht="12.75">
      <c r="B44" s="323" t="s">
        <v>61</v>
      </c>
      <c r="C44" s="324"/>
      <c r="D44" s="324"/>
      <c r="E44" s="324"/>
    </row>
    <row r="45" spans="2:5" ht="12.75">
      <c r="B45" s="28" t="s">
        <v>62</v>
      </c>
      <c r="C45" s="28" t="s">
        <v>85</v>
      </c>
      <c r="D45" s="28" t="s">
        <v>64</v>
      </c>
      <c r="E45" s="28" t="s">
        <v>65</v>
      </c>
    </row>
    <row r="46" spans="1:8" ht="12.75">
      <c r="A46" s="24" t="s">
        <v>86</v>
      </c>
      <c r="B46" s="7">
        <f>H49*B43</f>
        <v>8628.125</v>
      </c>
      <c r="C46" s="7">
        <f>I49*B43</f>
        <v>35140</v>
      </c>
      <c r="D46" s="7">
        <f>J49*B43</f>
        <v>106204.375</v>
      </c>
      <c r="E46" s="7">
        <f>K49*B43</f>
        <v>109655.625</v>
      </c>
      <c r="H46" s="132"/>
    </row>
    <row r="47" spans="1:11" ht="12.75">
      <c r="A47" s="24" t="s">
        <v>87</v>
      </c>
      <c r="B47" s="1">
        <f>C37*'New BA'!F19</f>
        <v>4457843.752757003</v>
      </c>
      <c r="C47" s="1">
        <f>C37*'New BA'!G19</f>
        <v>18155581.829410337</v>
      </c>
      <c r="D47" s="1">
        <f>C37*'New BA'!H19</f>
        <v>54872004.01120891</v>
      </c>
      <c r="E47" s="1">
        <f>C37*'New BA'!I19</f>
        <v>56655141.51231172</v>
      </c>
      <c r="H47" s="28" t="s">
        <v>62</v>
      </c>
      <c r="I47" s="28" t="s">
        <v>85</v>
      </c>
      <c r="J47" s="28" t="s">
        <v>64</v>
      </c>
      <c r="K47" s="28" t="s">
        <v>65</v>
      </c>
    </row>
    <row r="48" spans="1:11" ht="12.75">
      <c r="A48" s="24" t="s">
        <v>88</v>
      </c>
      <c r="B48" s="7">
        <f>B47/B46</f>
        <v>516.6642524021155</v>
      </c>
      <c r="C48" s="7">
        <f>C47/C46</f>
        <v>516.6642524021155</v>
      </c>
      <c r="D48" s="7">
        <f>D47/D46</f>
        <v>516.6642524021154</v>
      </c>
      <c r="E48" s="7">
        <f>E47/E46</f>
        <v>516.6642524021154</v>
      </c>
      <c r="G48" s="132" t="s">
        <v>201</v>
      </c>
      <c r="H48" s="10">
        <v>55</v>
      </c>
      <c r="I48" s="152">
        <f>169+H48</f>
        <v>224</v>
      </c>
      <c r="J48" s="10">
        <v>677</v>
      </c>
      <c r="K48" s="10">
        <v>699</v>
      </c>
    </row>
    <row r="49" spans="7:11" ht="12.75">
      <c r="G49" s="132" t="s">
        <v>202</v>
      </c>
      <c r="H49" s="151">
        <f>H48/1600</f>
        <v>0.034375</v>
      </c>
      <c r="I49" s="151">
        <f>I48/1600</f>
        <v>0.14</v>
      </c>
      <c r="J49" s="151">
        <f>J48/1600</f>
        <v>0.423125</v>
      </c>
      <c r="K49" s="151">
        <f>K48/1600</f>
        <v>0.436875</v>
      </c>
    </row>
    <row r="50" spans="1:5" ht="12.75">
      <c r="A50" s="24" t="s">
        <v>89</v>
      </c>
      <c r="B50" s="323" t="s">
        <v>61</v>
      </c>
      <c r="C50" s="324"/>
      <c r="D50" s="324"/>
      <c r="E50" s="324"/>
    </row>
    <row r="51" spans="2:5" ht="12.75">
      <c r="B51" s="29"/>
      <c r="C51" s="29"/>
      <c r="D51" s="30"/>
      <c r="E51" s="29"/>
    </row>
    <row r="52" spans="1:5" ht="12.75">
      <c r="A52" t="s">
        <v>90</v>
      </c>
      <c r="B52" s="29">
        <f>B53/12</f>
        <v>31.5</v>
      </c>
      <c r="C52" s="29">
        <f>C53/12</f>
        <v>47.69115890083632</v>
      </c>
      <c r="D52" s="29">
        <f>D53/12</f>
        <v>56.416666666666664</v>
      </c>
      <c r="E52" s="29">
        <f>E53/12</f>
        <v>58.25</v>
      </c>
    </row>
    <row r="53" spans="1:5" ht="12.75">
      <c r="A53" t="s">
        <v>91</v>
      </c>
      <c r="B53" s="139">
        <v>378</v>
      </c>
      <c r="C53" s="139">
        <f>(B53*H48+620*I48)/(H48+I48)</f>
        <v>572.2939068100359</v>
      </c>
      <c r="D53" s="139">
        <v>677</v>
      </c>
      <c r="E53" s="139">
        <v>699</v>
      </c>
    </row>
    <row r="56" spans="1:22" ht="12.75">
      <c r="A56" s="132" t="s">
        <v>92</v>
      </c>
      <c r="B56" s="140" t="s">
        <v>93</v>
      </c>
      <c r="C56" s="5">
        <v>1</v>
      </c>
      <c r="D56" s="5">
        <v>2</v>
      </c>
      <c r="E56" s="5">
        <v>3</v>
      </c>
      <c r="F56" s="5">
        <v>4</v>
      </c>
      <c r="G56" s="5">
        <v>5</v>
      </c>
      <c r="H56" s="5">
        <v>6</v>
      </c>
      <c r="I56" s="5">
        <v>7</v>
      </c>
      <c r="J56" s="5">
        <v>8</v>
      </c>
      <c r="K56" s="5">
        <v>9</v>
      </c>
      <c r="L56" s="5">
        <v>10</v>
      </c>
      <c r="M56" s="5">
        <v>11</v>
      </c>
      <c r="N56" s="5">
        <v>12</v>
      </c>
      <c r="O56" s="5">
        <v>13</v>
      </c>
      <c r="P56" s="5">
        <v>14</v>
      </c>
      <c r="Q56" s="5">
        <v>15</v>
      </c>
      <c r="R56" s="5">
        <v>16</v>
      </c>
      <c r="S56" s="5">
        <v>17</v>
      </c>
      <c r="T56" s="5">
        <v>18</v>
      </c>
      <c r="U56" s="5">
        <v>19</v>
      </c>
      <c r="V56" s="5">
        <v>20</v>
      </c>
    </row>
    <row r="57" spans="1:22" ht="12.75">
      <c r="A57" s="29" t="s">
        <v>62</v>
      </c>
      <c r="B57" s="32">
        <f>NPV(0.1,C57:V57)</f>
        <v>3218.127086068734</v>
      </c>
      <c r="C57" s="7">
        <f>B53</f>
        <v>378</v>
      </c>
      <c r="D57" s="7">
        <f>C57</f>
        <v>378</v>
      </c>
      <c r="E57" s="7">
        <f aca="true" t="shared" si="0" ref="E57:V57">D57</f>
        <v>378</v>
      </c>
      <c r="F57" s="7">
        <f t="shared" si="0"/>
        <v>378</v>
      </c>
      <c r="G57" s="7">
        <f t="shared" si="0"/>
        <v>378</v>
      </c>
      <c r="H57" s="7">
        <f t="shared" si="0"/>
        <v>378</v>
      </c>
      <c r="I57" s="7">
        <f t="shared" si="0"/>
        <v>378</v>
      </c>
      <c r="J57" s="7">
        <f t="shared" si="0"/>
        <v>378</v>
      </c>
      <c r="K57" s="7">
        <f t="shared" si="0"/>
        <v>378</v>
      </c>
      <c r="L57" s="7">
        <f t="shared" si="0"/>
        <v>378</v>
      </c>
      <c r="M57" s="7">
        <f t="shared" si="0"/>
        <v>378</v>
      </c>
      <c r="N57" s="7">
        <f t="shared" si="0"/>
        <v>378</v>
      </c>
      <c r="O57" s="7">
        <f t="shared" si="0"/>
        <v>378</v>
      </c>
      <c r="P57" s="7">
        <f t="shared" si="0"/>
        <v>378</v>
      </c>
      <c r="Q57" s="7">
        <f t="shared" si="0"/>
        <v>378</v>
      </c>
      <c r="R57" s="7">
        <f t="shared" si="0"/>
        <v>378</v>
      </c>
      <c r="S57" s="7">
        <f t="shared" si="0"/>
        <v>378</v>
      </c>
      <c r="T57" s="7">
        <f t="shared" si="0"/>
        <v>378</v>
      </c>
      <c r="U57" s="7">
        <f t="shared" si="0"/>
        <v>378</v>
      </c>
      <c r="V57" s="7">
        <f t="shared" si="0"/>
        <v>378</v>
      </c>
    </row>
    <row r="58" spans="1:22" ht="12.75">
      <c r="A58" s="29" t="s">
        <v>63</v>
      </c>
      <c r="B58" s="32">
        <f>NPV(0.1,C58:V58)</f>
        <v>4872.260642056806</v>
      </c>
      <c r="C58" s="7">
        <f>C53</f>
        <v>572.2939068100359</v>
      </c>
      <c r="D58" s="7">
        <f>C58</f>
        <v>572.2939068100359</v>
      </c>
      <c r="E58" s="7">
        <f aca="true" t="shared" si="1" ref="E58:V58">D58</f>
        <v>572.2939068100359</v>
      </c>
      <c r="F58" s="7">
        <f t="shared" si="1"/>
        <v>572.2939068100359</v>
      </c>
      <c r="G58" s="7">
        <f t="shared" si="1"/>
        <v>572.2939068100359</v>
      </c>
      <c r="H58" s="7">
        <f t="shared" si="1"/>
        <v>572.2939068100359</v>
      </c>
      <c r="I58" s="7">
        <f t="shared" si="1"/>
        <v>572.2939068100359</v>
      </c>
      <c r="J58" s="7">
        <f t="shared" si="1"/>
        <v>572.2939068100359</v>
      </c>
      <c r="K58" s="7">
        <f t="shared" si="1"/>
        <v>572.2939068100359</v>
      </c>
      <c r="L58" s="7">
        <f t="shared" si="1"/>
        <v>572.2939068100359</v>
      </c>
      <c r="M58" s="7">
        <f t="shared" si="1"/>
        <v>572.2939068100359</v>
      </c>
      <c r="N58" s="7">
        <f t="shared" si="1"/>
        <v>572.2939068100359</v>
      </c>
      <c r="O58" s="7">
        <f t="shared" si="1"/>
        <v>572.2939068100359</v>
      </c>
      <c r="P58" s="7">
        <f t="shared" si="1"/>
        <v>572.2939068100359</v>
      </c>
      <c r="Q58" s="7">
        <f t="shared" si="1"/>
        <v>572.2939068100359</v>
      </c>
      <c r="R58" s="7">
        <f t="shared" si="1"/>
        <v>572.2939068100359</v>
      </c>
      <c r="S58" s="7">
        <f t="shared" si="1"/>
        <v>572.2939068100359</v>
      </c>
      <c r="T58" s="7">
        <f t="shared" si="1"/>
        <v>572.2939068100359</v>
      </c>
      <c r="U58" s="7">
        <f t="shared" si="1"/>
        <v>572.2939068100359</v>
      </c>
      <c r="V58" s="7">
        <f t="shared" si="1"/>
        <v>572.2939068100359</v>
      </c>
    </row>
    <row r="59" spans="1:22" ht="12.75">
      <c r="A59" s="30" t="s">
        <v>64</v>
      </c>
      <c r="B59" s="32">
        <f>NPV(0.1,C59:V59)</f>
        <v>5763.682638276543</v>
      </c>
      <c r="C59" s="7">
        <f>D53</f>
        <v>677</v>
      </c>
      <c r="D59" s="7">
        <f>C59</f>
        <v>677</v>
      </c>
      <c r="E59" s="7">
        <f aca="true" t="shared" si="2" ref="E59:V59">D59</f>
        <v>677</v>
      </c>
      <c r="F59" s="7">
        <f t="shared" si="2"/>
        <v>677</v>
      </c>
      <c r="G59" s="7">
        <f t="shared" si="2"/>
        <v>677</v>
      </c>
      <c r="H59" s="7">
        <f t="shared" si="2"/>
        <v>677</v>
      </c>
      <c r="I59" s="7">
        <f t="shared" si="2"/>
        <v>677</v>
      </c>
      <c r="J59" s="7">
        <f t="shared" si="2"/>
        <v>677</v>
      </c>
      <c r="K59" s="7">
        <f t="shared" si="2"/>
        <v>677</v>
      </c>
      <c r="L59" s="7">
        <f t="shared" si="2"/>
        <v>677</v>
      </c>
      <c r="M59" s="7">
        <f t="shared" si="2"/>
        <v>677</v>
      </c>
      <c r="N59" s="7">
        <f t="shared" si="2"/>
        <v>677</v>
      </c>
      <c r="O59" s="7">
        <f t="shared" si="2"/>
        <v>677</v>
      </c>
      <c r="P59" s="7">
        <f t="shared" si="2"/>
        <v>677</v>
      </c>
      <c r="Q59" s="7">
        <f t="shared" si="2"/>
        <v>677</v>
      </c>
      <c r="R59" s="7">
        <f t="shared" si="2"/>
        <v>677</v>
      </c>
      <c r="S59" s="7">
        <f t="shared" si="2"/>
        <v>677</v>
      </c>
      <c r="T59" s="7">
        <f t="shared" si="2"/>
        <v>677</v>
      </c>
      <c r="U59" s="7">
        <f t="shared" si="2"/>
        <v>677</v>
      </c>
      <c r="V59" s="7">
        <f t="shared" si="2"/>
        <v>677</v>
      </c>
    </row>
    <row r="60" spans="1:22" ht="12.75">
      <c r="A60" s="29" t="s">
        <v>65</v>
      </c>
      <c r="B60" s="32">
        <f>NPV(0.1,C60:V60)</f>
        <v>5950.981040111232</v>
      </c>
      <c r="C60" s="7">
        <f>E53</f>
        <v>699</v>
      </c>
      <c r="D60" s="7">
        <f>C60</f>
        <v>699</v>
      </c>
      <c r="E60" s="7">
        <f aca="true" t="shared" si="3" ref="E60:V60">D60</f>
        <v>699</v>
      </c>
      <c r="F60" s="7">
        <f t="shared" si="3"/>
        <v>699</v>
      </c>
      <c r="G60" s="7">
        <f t="shared" si="3"/>
        <v>699</v>
      </c>
      <c r="H60" s="7">
        <f t="shared" si="3"/>
        <v>699</v>
      </c>
      <c r="I60" s="7">
        <f t="shared" si="3"/>
        <v>699</v>
      </c>
      <c r="J60" s="7">
        <f t="shared" si="3"/>
        <v>699</v>
      </c>
      <c r="K60" s="7">
        <f t="shared" si="3"/>
        <v>699</v>
      </c>
      <c r="L60" s="7">
        <f t="shared" si="3"/>
        <v>699</v>
      </c>
      <c r="M60" s="7">
        <f t="shared" si="3"/>
        <v>699</v>
      </c>
      <c r="N60" s="7">
        <f t="shared" si="3"/>
        <v>699</v>
      </c>
      <c r="O60" s="7">
        <f t="shared" si="3"/>
        <v>699</v>
      </c>
      <c r="P60" s="7">
        <f t="shared" si="3"/>
        <v>699</v>
      </c>
      <c r="Q60" s="7">
        <f t="shared" si="3"/>
        <v>699</v>
      </c>
      <c r="R60" s="7">
        <f t="shared" si="3"/>
        <v>699</v>
      </c>
      <c r="S60" s="7">
        <f t="shared" si="3"/>
        <v>699</v>
      </c>
      <c r="T60" s="7">
        <f t="shared" si="3"/>
        <v>699</v>
      </c>
      <c r="U60" s="7">
        <f t="shared" si="3"/>
        <v>699</v>
      </c>
      <c r="V60" s="7">
        <f t="shared" si="3"/>
        <v>699</v>
      </c>
    </row>
    <row r="63" spans="2:5" ht="12.75">
      <c r="B63" s="331" t="s">
        <v>61</v>
      </c>
      <c r="C63" s="324"/>
      <c r="D63" s="324"/>
      <c r="E63" s="324"/>
    </row>
    <row r="64" spans="2:5" ht="12.75">
      <c r="B64" s="28" t="s">
        <v>62</v>
      </c>
      <c r="C64" s="28" t="s">
        <v>85</v>
      </c>
      <c r="D64" s="28" t="s">
        <v>64</v>
      </c>
      <c r="E64" s="28" t="s">
        <v>65</v>
      </c>
    </row>
    <row r="65" spans="1:5" ht="12.75">
      <c r="A65" s="132" t="s">
        <v>94</v>
      </c>
      <c r="B65" s="1">
        <f>B57*B46</f>
        <v>27766402.764486797</v>
      </c>
      <c r="C65" s="1">
        <f>B58*C46</f>
        <v>171211238.96187618</v>
      </c>
      <c r="D65" s="1">
        <f>B59*D46</f>
        <v>612128312.2965113</v>
      </c>
      <c r="E65" s="1">
        <f>B60*E46</f>
        <v>652558545.3165472</v>
      </c>
    </row>
    <row r="67" spans="1:5" ht="12.75">
      <c r="A67" s="132" t="s">
        <v>95</v>
      </c>
      <c r="B67" s="18">
        <f>B47/B65</f>
        <v>0.16054811963105933</v>
      </c>
      <c r="C67" s="18">
        <f>C47/C65</f>
        <v>0.10604199782382898</v>
      </c>
      <c r="D67" s="18">
        <f>D47/D65</f>
        <v>0.08964134301409217</v>
      </c>
      <c r="E67" s="18">
        <f>E47/E65</f>
        <v>0.08682001319104493</v>
      </c>
    </row>
    <row r="69" spans="2:5" ht="12.75">
      <c r="B69" s="331" t="s">
        <v>61</v>
      </c>
      <c r="C69" s="324"/>
      <c r="D69" s="324"/>
      <c r="E69" s="324"/>
    </row>
    <row r="70" spans="2:5" ht="12.75">
      <c r="B70" s="28" t="s">
        <v>62</v>
      </c>
      <c r="C70" s="28" t="s">
        <v>85</v>
      </c>
      <c r="D70" s="28" t="s">
        <v>64</v>
      </c>
      <c r="E70" s="28" t="s">
        <v>65</v>
      </c>
    </row>
    <row r="71" spans="1:5" ht="12.75">
      <c r="A71" s="24" t="s">
        <v>98</v>
      </c>
      <c r="B71" s="9">
        <f>B47/C35</f>
        <v>0.036396027997047026</v>
      </c>
      <c r="C71" s="9">
        <f>C47/C35</f>
        <v>0.14823109584251878</v>
      </c>
      <c r="D71" s="9">
        <f>D47/C35</f>
        <v>0.4480020173454696</v>
      </c>
      <c r="E71" s="9">
        <f>E47/C35</f>
        <v>0.4625604285442885</v>
      </c>
    </row>
  </sheetData>
  <sheetProtection/>
  <mergeCells count="4">
    <mergeCell ref="B44:E44"/>
    <mergeCell ref="B50:E50"/>
    <mergeCell ref="B63:E63"/>
    <mergeCell ref="B69:E6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J41"/>
  <sheetViews>
    <sheetView zoomScalePageLayoutView="0" workbookViewId="0" topLeftCell="A1">
      <selection activeCell="A1" sqref="A1:IV65536"/>
    </sheetView>
  </sheetViews>
  <sheetFormatPr defaultColWidth="9.140625" defaultRowHeight="12.75"/>
  <cols>
    <col min="1" max="1" width="13.7109375" style="0" customWidth="1"/>
    <col min="3" max="3" width="41.421875" style="0" customWidth="1"/>
    <col min="4" max="4" width="17.28125" style="0" customWidth="1"/>
    <col min="5" max="5" width="8.421875" style="0" customWidth="1"/>
    <col min="8" max="8" width="12.57421875" style="0" customWidth="1"/>
    <col min="9" max="9" width="11.28125" style="0" customWidth="1"/>
    <col min="10" max="10" width="4.140625" style="0" customWidth="1"/>
  </cols>
  <sheetData>
    <row r="1" spans="1:10" ht="15.75">
      <c r="A1" s="38"/>
      <c r="B1" s="35"/>
      <c r="C1" s="36"/>
      <c r="D1" s="35"/>
      <c r="E1" s="39"/>
      <c r="F1" s="36"/>
      <c r="G1" s="36"/>
      <c r="H1" s="36"/>
      <c r="I1" s="36"/>
      <c r="J1" s="35"/>
    </row>
    <row r="2" spans="1:10" ht="12.75">
      <c r="A2" s="38"/>
      <c r="B2" s="37"/>
      <c r="C2" s="37"/>
      <c r="D2" s="35"/>
      <c r="E2" s="35"/>
      <c r="F2" s="35"/>
      <c r="G2" s="35"/>
      <c r="H2" s="35"/>
      <c r="I2" s="35"/>
      <c r="J2" s="35"/>
    </row>
    <row r="3" spans="1:10" ht="20.25">
      <c r="A3" s="38"/>
      <c r="B3" s="37"/>
      <c r="C3" s="37"/>
      <c r="D3" s="326" t="s">
        <v>102</v>
      </c>
      <c r="E3" s="326"/>
      <c r="F3" s="326"/>
      <c r="G3" s="326"/>
      <c r="H3" s="326"/>
      <c r="I3" s="326"/>
      <c r="J3" s="326"/>
    </row>
    <row r="4" spans="1:10" ht="15.75">
      <c r="A4" s="38"/>
      <c r="B4" s="35"/>
      <c r="C4" s="36"/>
      <c r="D4" s="327"/>
      <c r="E4" s="327"/>
      <c r="F4" s="327"/>
      <c r="G4" s="327"/>
      <c r="H4" s="327"/>
      <c r="I4" s="327"/>
      <c r="J4" s="35"/>
    </row>
    <row r="5" spans="1:10" ht="15.75">
      <c r="A5" s="38"/>
      <c r="B5" s="35"/>
      <c r="C5" s="36"/>
      <c r="D5" s="40"/>
      <c r="E5" s="41"/>
      <c r="F5" s="37"/>
      <c r="G5" s="42"/>
      <c r="H5" s="42"/>
      <c r="I5" s="42"/>
      <c r="J5" s="35"/>
    </row>
    <row r="6" spans="1:10" ht="15.75">
      <c r="A6" s="38"/>
      <c r="B6" s="35"/>
      <c r="C6" s="328" t="s">
        <v>0</v>
      </c>
      <c r="D6" s="328"/>
      <c r="E6" s="328"/>
      <c r="F6" s="328"/>
      <c r="G6" s="328"/>
      <c r="H6" s="328"/>
      <c r="I6" s="328"/>
      <c r="J6" s="35"/>
    </row>
    <row r="7" spans="1:10" ht="15.75" thickBot="1">
      <c r="A7" s="38"/>
      <c r="B7" s="35"/>
      <c r="C7" s="329" t="s">
        <v>134</v>
      </c>
      <c r="D7" s="329"/>
      <c r="E7" s="329"/>
      <c r="F7" s="329"/>
      <c r="G7" s="329"/>
      <c r="H7" s="329"/>
      <c r="I7" s="329"/>
      <c r="J7" s="35"/>
    </row>
    <row r="8" spans="1:10" ht="12.75">
      <c r="A8" s="38"/>
      <c r="B8" s="43"/>
      <c r="C8" s="44"/>
      <c r="D8" s="45"/>
      <c r="E8" s="46"/>
      <c r="F8" s="46"/>
      <c r="G8" s="46"/>
      <c r="H8" s="46"/>
      <c r="I8" s="46"/>
      <c r="J8" s="47"/>
    </row>
    <row r="9" spans="1:10" ht="18" customHeight="1">
      <c r="A9" s="38"/>
      <c r="B9" s="48"/>
      <c r="C9" s="49" t="s">
        <v>147</v>
      </c>
      <c r="D9" s="150">
        <f>'BA worksheet'!C35</f>
        <v>122481600.27568634</v>
      </c>
      <c r="E9" s="51"/>
      <c r="F9" s="332" t="s">
        <v>168</v>
      </c>
      <c r="G9" s="332"/>
      <c r="H9" s="332"/>
      <c r="I9" s="150">
        <f>'BA worksheet'!C35</f>
        <v>122481600.27568634</v>
      </c>
      <c r="J9" s="52"/>
    </row>
    <row r="10" spans="1:10" ht="12.75">
      <c r="A10" s="38"/>
      <c r="B10" s="48"/>
      <c r="C10" s="49" t="s">
        <v>104</v>
      </c>
      <c r="D10" s="53">
        <v>0.109</v>
      </c>
      <c r="E10" s="51"/>
      <c r="F10" s="51"/>
      <c r="G10" s="51"/>
      <c r="H10" s="51"/>
      <c r="I10" s="51"/>
      <c r="J10" s="52"/>
    </row>
    <row r="11" spans="1:10" ht="22.5" customHeight="1">
      <c r="A11" s="38"/>
      <c r="B11" s="48"/>
      <c r="C11" s="49" t="s">
        <v>105</v>
      </c>
      <c r="D11" s="150">
        <f>'BA worksheet'!C37</f>
        <v>129682727.35293096</v>
      </c>
      <c r="E11" s="51"/>
      <c r="F11" s="51"/>
      <c r="G11" s="51"/>
      <c r="H11" s="51"/>
      <c r="I11" s="51"/>
      <c r="J11" s="52"/>
    </row>
    <row r="12" spans="1:10" ht="12.75">
      <c r="A12" s="38"/>
      <c r="B12" s="48"/>
      <c r="C12" s="54"/>
      <c r="D12" s="55"/>
      <c r="E12" s="55"/>
      <c r="F12" s="325" t="s">
        <v>106</v>
      </c>
      <c r="G12" s="325"/>
      <c r="H12" s="325"/>
      <c r="I12" s="325"/>
      <c r="J12" s="52"/>
    </row>
    <row r="13" spans="1:10" ht="13.5">
      <c r="A13" s="38"/>
      <c r="B13" s="48"/>
      <c r="C13" s="56" t="s">
        <v>107</v>
      </c>
      <c r="D13" s="57" t="s">
        <v>32</v>
      </c>
      <c r="E13" s="58"/>
      <c r="F13" s="57" t="s">
        <v>108</v>
      </c>
      <c r="G13" s="57" t="s">
        <v>109</v>
      </c>
      <c r="H13" s="57" t="s">
        <v>110</v>
      </c>
      <c r="I13" s="57" t="s">
        <v>111</v>
      </c>
      <c r="J13" s="52"/>
    </row>
    <row r="14" spans="1:10" ht="12.75">
      <c r="A14" s="38"/>
      <c r="B14" s="48"/>
      <c r="C14" s="59"/>
      <c r="D14" s="60"/>
      <c r="E14" s="61"/>
      <c r="F14" s="60"/>
      <c r="G14" s="60"/>
      <c r="H14" s="60"/>
      <c r="I14" s="60"/>
      <c r="J14" s="52"/>
    </row>
    <row r="15" spans="1:10" ht="12.75">
      <c r="A15" s="38"/>
      <c r="B15" s="48"/>
      <c r="C15" s="51" t="s">
        <v>112</v>
      </c>
      <c r="D15" s="62">
        <v>21000</v>
      </c>
      <c r="E15" s="63"/>
      <c r="F15" s="64"/>
      <c r="G15" s="64"/>
      <c r="H15" s="64"/>
      <c r="I15" s="64"/>
      <c r="J15" s="52"/>
    </row>
    <row r="16" spans="1:10" ht="12.75">
      <c r="A16" s="38"/>
      <c r="B16" s="48"/>
      <c r="C16" s="65" t="s">
        <v>113</v>
      </c>
      <c r="D16" s="62">
        <v>251000</v>
      </c>
      <c r="E16" s="63"/>
      <c r="F16" s="66"/>
      <c r="G16" s="66"/>
      <c r="H16" s="66"/>
      <c r="I16" s="66"/>
      <c r="J16" s="52"/>
    </row>
    <row r="17" spans="1:10" ht="21.75" customHeight="1">
      <c r="A17" s="38"/>
      <c r="B17" s="48"/>
      <c r="C17" s="65" t="s">
        <v>115</v>
      </c>
      <c r="D17" s="149">
        <v>23361295</v>
      </c>
      <c r="E17" s="63"/>
      <c r="F17" s="69"/>
      <c r="G17" s="69"/>
      <c r="H17" s="69"/>
      <c r="I17" s="69"/>
      <c r="J17" s="52"/>
    </row>
    <row r="18" spans="1:10" ht="12.75">
      <c r="A18" s="38"/>
      <c r="B18" s="48"/>
      <c r="C18" s="65"/>
      <c r="D18" s="70"/>
      <c r="E18" s="63"/>
      <c r="F18" s="69"/>
      <c r="G18" s="69"/>
      <c r="H18" s="69"/>
      <c r="I18" s="69"/>
      <c r="J18" s="52"/>
    </row>
    <row r="19" spans="1:10" ht="25.5" customHeight="1">
      <c r="A19" s="38"/>
      <c r="B19" s="48"/>
      <c r="C19" s="65" t="s">
        <v>116</v>
      </c>
      <c r="D19" s="63"/>
      <c r="E19" s="63"/>
      <c r="F19" s="135">
        <f>'BA worksheet'!H49</f>
        <v>0.034375</v>
      </c>
      <c r="G19" s="135">
        <f>'BA worksheet'!I49</f>
        <v>0.14</v>
      </c>
      <c r="H19" s="135">
        <f>'BA worksheet'!J49</f>
        <v>0.423125</v>
      </c>
      <c r="I19" s="135">
        <f>'BA worksheet'!K49</f>
        <v>0.436875</v>
      </c>
      <c r="J19" s="72"/>
    </row>
    <row r="20" spans="1:10" ht="30" customHeight="1">
      <c r="A20" s="38"/>
      <c r="B20" s="48"/>
      <c r="C20" s="73" t="s">
        <v>117</v>
      </c>
      <c r="D20" s="74"/>
      <c r="E20" s="74"/>
      <c r="F20" s="148">
        <f>1204/13565</f>
        <v>0.08875783265757464</v>
      </c>
      <c r="G20" s="148">
        <f>(1204+2667)/13565</f>
        <v>0.2853667526723185</v>
      </c>
      <c r="H20" s="148">
        <f>5402/13565</f>
        <v>0.3982307408772576</v>
      </c>
      <c r="I20" s="148">
        <f>4292/13565</f>
        <v>0.3164025064504239</v>
      </c>
      <c r="J20" s="52"/>
    </row>
    <row r="21" spans="1:10" ht="12.75">
      <c r="A21" s="38"/>
      <c r="B21" s="76"/>
      <c r="C21" s="77"/>
      <c r="D21" s="78"/>
      <c r="E21" s="79"/>
      <c r="F21" s="80"/>
      <c r="G21" s="81"/>
      <c r="H21" s="81"/>
      <c r="I21" s="81"/>
      <c r="J21" s="52"/>
    </row>
    <row r="22" spans="1:10" ht="12.75">
      <c r="A22" s="38"/>
      <c r="B22" s="48"/>
      <c r="C22" s="56" t="s">
        <v>118</v>
      </c>
      <c r="D22" s="57"/>
      <c r="E22" s="58"/>
      <c r="F22" s="57"/>
      <c r="G22" s="57"/>
      <c r="H22" s="57"/>
      <c r="I22" s="57"/>
      <c r="J22" s="52"/>
    </row>
    <row r="23" spans="1:10" ht="8.25" customHeight="1">
      <c r="A23" s="38"/>
      <c r="B23" s="48"/>
      <c r="C23" s="59"/>
      <c r="D23" s="60"/>
      <c r="E23" s="61"/>
      <c r="F23" s="60"/>
      <c r="G23" s="60"/>
      <c r="H23" s="60"/>
      <c r="I23" s="60"/>
      <c r="J23" s="52"/>
    </row>
    <row r="24" spans="1:10" ht="13.5" customHeight="1">
      <c r="A24" s="38"/>
      <c r="B24" s="48"/>
      <c r="C24" s="65" t="s">
        <v>119</v>
      </c>
      <c r="D24" s="82"/>
      <c r="E24" s="137">
        <f>SUMPRODUCT(G24:I24,G19:I19)</f>
        <v>516.6642524021154</v>
      </c>
      <c r="F24" s="84">
        <f>'BA worksheet'!B48</f>
        <v>516.6642524021155</v>
      </c>
      <c r="G24" s="84">
        <f>'BA worksheet'!C48</f>
        <v>516.6642524021155</v>
      </c>
      <c r="H24" s="138">
        <f>'BA worksheet'!D48</f>
        <v>516.6642524021154</v>
      </c>
      <c r="I24" s="138">
        <f>'BA worksheet'!E48</f>
        <v>516.6642524021154</v>
      </c>
      <c r="J24" s="85"/>
    </row>
    <row r="25" spans="1:10" ht="12.75">
      <c r="A25" s="38"/>
      <c r="B25" s="48"/>
      <c r="C25" s="87" t="s">
        <v>120</v>
      </c>
      <c r="D25" s="88"/>
      <c r="E25" s="153">
        <f>SUMPRODUCT(G25:I25,G19:I19)</f>
        <v>0.09070486622101157</v>
      </c>
      <c r="F25" s="75">
        <f>'BA worksheet'!B67</f>
        <v>0.16054811963105933</v>
      </c>
      <c r="G25" s="75">
        <f>'BA worksheet'!C67</f>
        <v>0.10604199782382898</v>
      </c>
      <c r="H25" s="75">
        <f>'BA worksheet'!D67</f>
        <v>0.08964134301409217</v>
      </c>
      <c r="I25" s="75">
        <f>'BA worksheet'!E67</f>
        <v>0.08682001319104493</v>
      </c>
      <c r="J25" s="52"/>
    </row>
    <row r="26" spans="1:10" ht="12.75">
      <c r="A26" s="38"/>
      <c r="B26" s="48"/>
      <c r="C26" s="91"/>
      <c r="D26" s="78"/>
      <c r="E26" s="78"/>
      <c r="F26" s="92"/>
      <c r="G26" s="92"/>
      <c r="H26" s="92"/>
      <c r="I26" s="92"/>
      <c r="J26" s="52"/>
    </row>
    <row r="27" spans="1:10" ht="12.75">
      <c r="A27" s="38"/>
      <c r="B27" s="48"/>
      <c r="C27" s="56" t="s">
        <v>121</v>
      </c>
      <c r="D27" s="93"/>
      <c r="E27" s="93"/>
      <c r="F27" s="94"/>
      <c r="G27" s="94"/>
      <c r="H27" s="94"/>
      <c r="I27" s="94"/>
      <c r="J27" s="52"/>
    </row>
    <row r="28" spans="1:10" ht="4.5" customHeight="1">
      <c r="A28" s="38"/>
      <c r="B28" s="48"/>
      <c r="C28" s="54"/>
      <c r="D28" s="95"/>
      <c r="E28" s="95"/>
      <c r="F28" s="96"/>
      <c r="G28" s="96"/>
      <c r="H28" s="96"/>
      <c r="I28" s="96"/>
      <c r="J28" s="52"/>
    </row>
    <row r="29" spans="1:10" ht="15.75" customHeight="1">
      <c r="A29" s="38"/>
      <c r="B29" s="48"/>
      <c r="C29" s="73" t="s">
        <v>122</v>
      </c>
      <c r="D29" s="97"/>
      <c r="E29" s="141">
        <f>D11/D9</f>
        <v>1.058793541732277</v>
      </c>
      <c r="F29" s="99">
        <f>'BA worksheet'!B71</f>
        <v>0.036396027997047026</v>
      </c>
      <c r="G29" s="99">
        <f>'BA worksheet'!C71</f>
        <v>0.14823109584251878</v>
      </c>
      <c r="H29" s="99">
        <f>'BA worksheet'!D71</f>
        <v>0.4480020173454696</v>
      </c>
      <c r="I29" s="99">
        <f>'BA worksheet'!E71</f>
        <v>0.4625604285442885</v>
      </c>
      <c r="J29" s="52"/>
    </row>
    <row r="30" spans="1:10" ht="18" customHeight="1">
      <c r="A30" s="38"/>
      <c r="B30" s="48"/>
      <c r="C30" s="91"/>
      <c r="D30" s="78"/>
      <c r="E30" s="78"/>
      <c r="F30" s="92"/>
      <c r="G30" s="92"/>
      <c r="H30" s="92"/>
      <c r="I30" s="92"/>
      <c r="J30" s="52"/>
    </row>
    <row r="31" spans="1:10" ht="13.5" customHeight="1">
      <c r="A31" s="38"/>
      <c r="B31" s="48"/>
      <c r="C31" s="49" t="s">
        <v>124</v>
      </c>
      <c r="D31" s="101">
        <v>0.51</v>
      </c>
      <c r="E31" s="102"/>
      <c r="F31" s="103"/>
      <c r="G31" s="103"/>
      <c r="H31" s="103"/>
      <c r="I31" s="103"/>
      <c r="J31" s="52"/>
    </row>
    <row r="32" spans="1:10" ht="12.75">
      <c r="A32" s="38"/>
      <c r="B32" s="48"/>
      <c r="C32" s="65"/>
      <c r="D32" s="105"/>
      <c r="E32" s="102"/>
      <c r="F32" s="103"/>
      <c r="G32" s="103"/>
      <c r="H32" s="103"/>
      <c r="I32" s="103"/>
      <c r="J32" s="52"/>
    </row>
    <row r="33" spans="1:10" ht="14.25" customHeight="1">
      <c r="A33" s="38"/>
      <c r="B33" s="48"/>
      <c r="C33" s="65" t="s">
        <v>126</v>
      </c>
      <c r="D33" s="131">
        <v>970</v>
      </c>
      <c r="E33" s="51"/>
      <c r="F33" s="51"/>
      <c r="G33" s="51"/>
      <c r="H33" s="51"/>
      <c r="I33" s="51"/>
      <c r="J33" s="52"/>
    </row>
    <row r="34" spans="1:10" ht="13.5" customHeight="1">
      <c r="A34" s="38"/>
      <c r="B34" s="48"/>
      <c r="C34" s="109" t="s">
        <v>127</v>
      </c>
      <c r="D34" s="130">
        <v>14086103</v>
      </c>
      <c r="E34" s="110"/>
      <c r="F34" s="110"/>
      <c r="G34" s="110"/>
      <c r="H34" s="110"/>
      <c r="I34" s="110"/>
      <c r="J34" s="52"/>
    </row>
    <row r="35" spans="1:10" ht="12.75">
      <c r="A35" s="38"/>
      <c r="B35" s="48"/>
      <c r="C35" s="65"/>
      <c r="D35" s="111"/>
      <c r="E35" s="51"/>
      <c r="F35" s="51"/>
      <c r="G35" s="51"/>
      <c r="H35" s="51"/>
      <c r="I35" s="51"/>
      <c r="J35" s="52"/>
    </row>
    <row r="36" spans="1:10" ht="12.75">
      <c r="A36" s="38"/>
      <c r="B36" s="48"/>
      <c r="C36" s="113" t="s">
        <v>128</v>
      </c>
      <c r="D36" s="114"/>
      <c r="E36" s="51"/>
      <c r="F36" s="115"/>
      <c r="G36" s="115"/>
      <c r="H36" s="115"/>
      <c r="I36" s="115"/>
      <c r="J36" s="52"/>
    </row>
    <row r="37" spans="1:10" ht="12.75">
      <c r="A37" s="38"/>
      <c r="B37" s="48"/>
      <c r="C37" s="116" t="s">
        <v>129</v>
      </c>
      <c r="D37" s="114"/>
      <c r="E37" s="51"/>
      <c r="F37" s="115"/>
      <c r="G37" s="115"/>
      <c r="H37" s="115"/>
      <c r="I37" s="115"/>
      <c r="J37" s="52"/>
    </row>
    <row r="38" spans="1:10" ht="12.75">
      <c r="A38" s="38"/>
      <c r="B38" s="48"/>
      <c r="C38" s="117" t="s">
        <v>130</v>
      </c>
      <c r="D38" s="114"/>
      <c r="E38" s="51"/>
      <c r="F38" s="115"/>
      <c r="G38" s="115"/>
      <c r="H38" s="115"/>
      <c r="I38" s="115"/>
      <c r="J38" s="52"/>
    </row>
    <row r="39" spans="1:10" ht="12.75">
      <c r="A39" s="38"/>
      <c r="B39" s="48"/>
      <c r="C39" s="117" t="s">
        <v>169</v>
      </c>
      <c r="D39" s="36"/>
      <c r="E39" s="36"/>
      <c r="F39" s="36"/>
      <c r="G39" s="36"/>
      <c r="H39" s="36"/>
      <c r="I39" s="36"/>
      <c r="J39" s="52"/>
    </row>
    <row r="40" spans="1:10" ht="12.75">
      <c r="A40" s="119"/>
      <c r="B40" s="48"/>
      <c r="C40" s="118" t="s">
        <v>170</v>
      </c>
      <c r="D40" s="36"/>
      <c r="E40" s="36"/>
      <c r="F40" s="36"/>
      <c r="G40" s="36"/>
      <c r="H40" s="36"/>
      <c r="I40" s="36"/>
      <c r="J40" s="52"/>
    </row>
    <row r="41" spans="1:10" ht="13.5" thickBot="1">
      <c r="A41" s="119"/>
      <c r="B41" s="120"/>
      <c r="C41" s="121" t="s">
        <v>171</v>
      </c>
      <c r="D41" s="122"/>
      <c r="E41" s="122"/>
      <c r="F41" s="122"/>
      <c r="G41" s="122"/>
      <c r="H41" s="122"/>
      <c r="I41" s="122"/>
      <c r="J41" s="123"/>
    </row>
  </sheetData>
  <sheetProtection/>
  <mergeCells count="6">
    <mergeCell ref="F12:I12"/>
    <mergeCell ref="D3:J3"/>
    <mergeCell ref="D4:I4"/>
    <mergeCell ref="C6:I6"/>
    <mergeCell ref="C7:I7"/>
    <mergeCell ref="F9:H9"/>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B4:C36"/>
  <sheetViews>
    <sheetView showGridLines="0" tabSelected="1" zoomScale="80" zoomScaleNormal="80" zoomScalePageLayoutView="0" workbookViewId="0" topLeftCell="A1">
      <selection activeCell="A1" sqref="A1"/>
    </sheetView>
  </sheetViews>
  <sheetFormatPr defaultColWidth="9.140625" defaultRowHeight="12.75"/>
  <cols>
    <col min="2" max="2" width="4.8515625" style="0" customWidth="1"/>
    <col min="3" max="3" width="117.421875" style="0" customWidth="1"/>
  </cols>
  <sheetData>
    <row r="4" spans="2:3" ht="20.25">
      <c r="B4" s="292" t="s">
        <v>180</v>
      </c>
      <c r="C4" s="292"/>
    </row>
    <row r="5" spans="2:3" ht="12.75" customHeight="1">
      <c r="B5" s="300" t="s">
        <v>205</v>
      </c>
      <c r="C5" s="300"/>
    </row>
    <row r="6" spans="2:3" ht="12.75" customHeight="1">
      <c r="B6" s="300"/>
      <c r="C6" s="300"/>
    </row>
    <row r="7" spans="2:3" ht="12.75" customHeight="1">
      <c r="B7" s="300"/>
      <c r="C7" s="300"/>
    </row>
    <row r="8" spans="2:3" ht="12.75" customHeight="1">
      <c r="B8" s="300"/>
      <c r="C8" s="300"/>
    </row>
    <row r="9" spans="2:3" ht="12.75" customHeight="1">
      <c r="B9" s="300"/>
      <c r="C9" s="300"/>
    </row>
    <row r="11" spans="2:3" ht="22.5" customHeight="1">
      <c r="B11" s="293" t="s">
        <v>243</v>
      </c>
      <c r="C11" s="293"/>
    </row>
    <row r="12" spans="2:3" s="207" customFormat="1" ht="18">
      <c r="B12" s="294">
        <f>IF('ERR and Sensitivity Analysis'!J20="Y",IF('ERR and Sensitivity Analysis'!J21="Y","","Note: Current calculations are based on user input and are not the original MCC estimates"),"Note: Current calculations are based on user input and are not the original MCC estimates")</f>
      </c>
      <c r="C12" s="294"/>
    </row>
    <row r="13" spans="2:3" s="207" customFormat="1" ht="18">
      <c r="B13" s="290" t="s">
        <v>222</v>
      </c>
      <c r="C13" s="290"/>
    </row>
    <row r="14" spans="2:3" s="207" customFormat="1" ht="18">
      <c r="B14" s="217"/>
      <c r="C14" s="218"/>
    </row>
    <row r="15" spans="2:3" s="207" customFormat="1" ht="99" customHeight="1">
      <c r="B15" s="291" t="s">
        <v>228</v>
      </c>
      <c r="C15" s="291"/>
    </row>
    <row r="16" spans="2:3" s="207" customFormat="1" ht="18">
      <c r="B16" s="217"/>
      <c r="C16" s="217"/>
    </row>
    <row r="17" spans="2:3" s="207" customFormat="1" ht="18">
      <c r="B17" s="290" t="s">
        <v>223</v>
      </c>
      <c r="C17" s="290"/>
    </row>
    <row r="18" spans="2:3" s="207" customFormat="1" ht="11.25" customHeight="1">
      <c r="B18" s="219"/>
      <c r="C18" s="219"/>
    </row>
    <row r="19" spans="2:3" s="207" customFormat="1" ht="18">
      <c r="B19" s="296" t="s">
        <v>224</v>
      </c>
      <c r="C19" s="296"/>
    </row>
    <row r="20" spans="2:3" s="207" customFormat="1" ht="38.25">
      <c r="B20" s="220" t="s">
        <v>225</v>
      </c>
      <c r="C20" s="221" t="s">
        <v>229</v>
      </c>
    </row>
    <row r="21" spans="2:3" s="207" customFormat="1" ht="38.25">
      <c r="B21" s="220" t="s">
        <v>226</v>
      </c>
      <c r="C21" s="221" t="s">
        <v>230</v>
      </c>
    </row>
    <row r="22" spans="2:3" s="207" customFormat="1" ht="11.25" customHeight="1">
      <c r="B22" s="220"/>
      <c r="C22" s="218"/>
    </row>
    <row r="23" spans="2:3" s="207" customFormat="1" ht="18">
      <c r="B23" s="297" t="s">
        <v>227</v>
      </c>
      <c r="C23" s="297"/>
    </row>
    <row r="24" spans="2:3" s="207" customFormat="1" ht="123" customHeight="1">
      <c r="B24" s="298" t="s">
        <v>239</v>
      </c>
      <c r="C24" s="298"/>
    </row>
    <row r="25" spans="2:3" s="207" customFormat="1" ht="48" customHeight="1">
      <c r="B25" s="298" t="s">
        <v>240</v>
      </c>
      <c r="C25" s="298"/>
    </row>
    <row r="26" spans="2:3" s="132" customFormat="1" ht="2.25" customHeight="1">
      <c r="B26" s="219"/>
      <c r="C26" s="219"/>
    </row>
    <row r="27" spans="2:3" s="207" customFormat="1" ht="106.5" customHeight="1">
      <c r="B27" s="298" t="s">
        <v>241</v>
      </c>
      <c r="C27" s="298"/>
    </row>
    <row r="28" spans="2:3" s="207" customFormat="1" ht="11.25" customHeight="1">
      <c r="B28" s="218"/>
      <c r="C28" s="218"/>
    </row>
    <row r="29" spans="2:3" s="207" customFormat="1" ht="59.25" customHeight="1">
      <c r="B29" s="299" t="s">
        <v>242</v>
      </c>
      <c r="C29" s="299"/>
    </row>
    <row r="30" spans="2:3" s="207" customFormat="1" ht="6" customHeight="1">
      <c r="B30" s="295"/>
      <c r="C30" s="295"/>
    </row>
    <row r="31" spans="2:3" s="207" customFormat="1" ht="37.5" customHeight="1">
      <c r="B31" s="286" t="s">
        <v>245</v>
      </c>
      <c r="C31" s="286"/>
    </row>
    <row r="32" spans="2:3" s="207" customFormat="1" ht="18">
      <c r="B32" s="208"/>
      <c r="C32" s="208"/>
    </row>
    <row r="33" spans="2:3" ht="12.75" customHeight="1">
      <c r="B33" s="208"/>
      <c r="C33" s="208"/>
    </row>
    <row r="34" spans="2:3" ht="12.75" customHeight="1">
      <c r="B34" s="208"/>
      <c r="C34" s="208"/>
    </row>
    <row r="35" spans="2:3" ht="12.75" customHeight="1">
      <c r="B35" s="208"/>
      <c r="C35" s="208"/>
    </row>
    <row r="36" spans="2:3" ht="39" customHeight="1">
      <c r="B36" s="208"/>
      <c r="C36" s="208"/>
    </row>
    <row r="37" ht="25.5" customHeight="1"/>
  </sheetData>
  <sheetProtection/>
  <mergeCells count="15">
    <mergeCell ref="B31:C31"/>
    <mergeCell ref="B13:C13"/>
    <mergeCell ref="B15:C15"/>
    <mergeCell ref="B4:C4"/>
    <mergeCell ref="B11:C11"/>
    <mergeCell ref="B12:C12"/>
    <mergeCell ref="B30:C30"/>
    <mergeCell ref="B19:C19"/>
    <mergeCell ref="B23:C23"/>
    <mergeCell ref="B24:C24"/>
    <mergeCell ref="B25:C25"/>
    <mergeCell ref="B27:C27"/>
    <mergeCell ref="B29:C29"/>
    <mergeCell ref="B17:C17"/>
    <mergeCell ref="B5:C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B2:J30"/>
  <sheetViews>
    <sheetView showGridLines="0" zoomScale="70" zoomScaleNormal="70" zoomScalePageLayoutView="0" workbookViewId="0" topLeftCell="A1">
      <selection activeCell="A1" sqref="A1"/>
    </sheetView>
  </sheetViews>
  <sheetFormatPr defaultColWidth="9.140625" defaultRowHeight="12.75"/>
  <cols>
    <col min="1" max="1" width="5.7109375" style="0" customWidth="1"/>
    <col min="2" max="2" width="25.00390625" style="0" customWidth="1"/>
    <col min="3" max="3" width="57.28125" style="0" customWidth="1"/>
    <col min="4" max="4" width="21.421875" style="0" customWidth="1"/>
    <col min="5" max="5" width="17.140625" style="0" customWidth="1"/>
    <col min="6" max="6" width="21.57421875" style="0" customWidth="1"/>
    <col min="7" max="7" width="18.28125" style="0" customWidth="1"/>
    <col min="8" max="8" width="5.7109375" style="0" customWidth="1"/>
    <col min="9" max="9" width="5.8515625" style="0" customWidth="1"/>
    <col min="10" max="10" width="21.140625" style="0" customWidth="1"/>
    <col min="11" max="11" width="5.7109375" style="0" customWidth="1"/>
  </cols>
  <sheetData>
    <row r="1" ht="11.25" customHeight="1"/>
    <row r="2" spans="2:6" ht="11.25" customHeight="1">
      <c r="B2" s="302"/>
      <c r="C2" s="303"/>
      <c r="D2" s="303"/>
      <c r="E2" s="303"/>
      <c r="F2" s="303"/>
    </row>
    <row r="3" spans="2:7" ht="12.75" customHeight="1">
      <c r="B3" s="311" t="s">
        <v>205</v>
      </c>
      <c r="C3" s="311"/>
      <c r="D3" s="312"/>
      <c r="E3" s="312"/>
      <c r="F3" s="312"/>
      <c r="G3" s="312"/>
    </row>
    <row r="4" spans="2:7" s="200" customFormat="1" ht="12.75" customHeight="1">
      <c r="B4" s="311"/>
      <c r="C4" s="311"/>
      <c r="D4" s="312"/>
      <c r="E4" s="312"/>
      <c r="F4" s="312"/>
      <c r="G4" s="312"/>
    </row>
    <row r="5" spans="2:7" ht="12.75" customHeight="1">
      <c r="B5" s="311"/>
      <c r="C5" s="311"/>
      <c r="D5" s="312"/>
      <c r="E5" s="312"/>
      <c r="F5" s="312"/>
      <c r="G5" s="312"/>
    </row>
    <row r="6" spans="2:7" ht="12.75" customHeight="1">
      <c r="B6" s="311"/>
      <c r="C6" s="311"/>
      <c r="D6" s="312"/>
      <c r="E6" s="312"/>
      <c r="F6" s="312"/>
      <c r="G6" s="312"/>
    </row>
    <row r="7" spans="2:7" ht="12.75" customHeight="1">
      <c r="B7" s="311"/>
      <c r="C7" s="311"/>
      <c r="D7" s="312"/>
      <c r="E7" s="312"/>
      <c r="F7" s="312"/>
      <c r="G7" s="312"/>
    </row>
    <row r="8" spans="2:7" ht="11.25" customHeight="1">
      <c r="B8" s="286" t="s">
        <v>245</v>
      </c>
      <c r="C8" s="286"/>
      <c r="D8" s="286"/>
      <c r="E8" s="286"/>
      <c r="F8" s="286"/>
      <c r="G8" s="286"/>
    </row>
    <row r="9" ht="11.25" customHeight="1"/>
    <row r="10" spans="2:7" ht="21.75" customHeight="1">
      <c r="B10" s="313" t="s">
        <v>231</v>
      </c>
      <c r="C10" s="313"/>
      <c r="D10" s="313"/>
      <c r="E10" s="313"/>
      <c r="F10" s="313"/>
      <c r="G10" s="313" t="s">
        <v>232</v>
      </c>
    </row>
    <row r="11" ht="13.5" thickBot="1"/>
    <row r="12" spans="2:7" ht="13.5" thickTop="1">
      <c r="B12" s="209" t="s">
        <v>233</v>
      </c>
      <c r="C12" s="212"/>
      <c r="D12" s="212"/>
      <c r="E12" s="212"/>
      <c r="F12" s="212"/>
      <c r="G12" s="213"/>
    </row>
    <row r="13" spans="2:7" ht="12.75">
      <c r="B13" s="314" t="s">
        <v>234</v>
      </c>
      <c r="C13" s="315"/>
      <c r="D13" s="315"/>
      <c r="E13" s="315"/>
      <c r="F13" s="315"/>
      <c r="G13" s="316"/>
    </row>
    <row r="14" spans="2:7" ht="12.75">
      <c r="B14" s="314"/>
      <c r="C14" s="315"/>
      <c r="D14" s="315"/>
      <c r="E14" s="315"/>
      <c r="F14" s="315"/>
      <c r="G14" s="316"/>
    </row>
    <row r="15" spans="2:7" ht="13.5" thickBot="1">
      <c r="B15" s="317"/>
      <c r="C15" s="318"/>
      <c r="D15" s="318"/>
      <c r="E15" s="318"/>
      <c r="F15" s="318"/>
      <c r="G15" s="319"/>
    </row>
    <row r="16" ht="12.75" customHeight="1" thickTop="1"/>
    <row r="17" ht="19.5" customHeight="1">
      <c r="B17" s="282">
        <f>IF('ERR and Sensitivity Analysis'!J20="Y",IF('ERR and Sensitivity Analysis'!J21="Y","","Note: Current calculations are based on user input and are not the original MCC estimates"),"Note: Current calculations are based on user input and are not the original MCC estimates")</f>
      </c>
    </row>
    <row r="18" spans="2:7" ht="20.25" customHeight="1">
      <c r="B18" s="304" t="s">
        <v>167</v>
      </c>
      <c r="C18" s="306" t="s">
        <v>157</v>
      </c>
      <c r="D18" s="308" t="s">
        <v>158</v>
      </c>
      <c r="E18" s="309"/>
      <c r="F18" s="309"/>
      <c r="G18" s="310"/>
    </row>
    <row r="19" spans="2:10" ht="54" customHeight="1" thickBot="1">
      <c r="B19" s="305"/>
      <c r="C19" s="307"/>
      <c r="D19" s="243" t="s">
        <v>159</v>
      </c>
      <c r="E19" s="244" t="s">
        <v>160</v>
      </c>
      <c r="F19" s="244" t="s">
        <v>161</v>
      </c>
      <c r="G19" s="245" t="s">
        <v>162</v>
      </c>
      <c r="J19" s="210" t="s">
        <v>235</v>
      </c>
    </row>
    <row r="20" spans="2:10" ht="35.25" customHeight="1">
      <c r="B20" s="246" t="s">
        <v>156</v>
      </c>
      <c r="C20" s="247" t="s">
        <v>163</v>
      </c>
      <c r="D20" s="248">
        <v>1</v>
      </c>
      <c r="E20" s="249">
        <v>1</v>
      </c>
      <c r="F20" s="250" t="s">
        <v>164</v>
      </c>
      <c r="G20" s="251">
        <f>D20</f>
        <v>1</v>
      </c>
      <c r="J20" s="211" t="str">
        <f>IF(D20=E20,IF(D21=E21,"Y","N"),"N")</f>
        <v>Y</v>
      </c>
    </row>
    <row r="21" spans="2:10" ht="35.25" customHeight="1">
      <c r="B21" s="252" t="s">
        <v>156</v>
      </c>
      <c r="C21" s="253" t="s">
        <v>165</v>
      </c>
      <c r="D21" s="254">
        <v>1</v>
      </c>
      <c r="E21" s="255">
        <v>1</v>
      </c>
      <c r="F21" s="256" t="s">
        <v>164</v>
      </c>
      <c r="G21" s="257">
        <f>D21</f>
        <v>1</v>
      </c>
      <c r="J21" s="275" t="str">
        <f>IF(D23=E23,IF(D24=E24,IF(D25=E25,"Y","N"),"N"),"N")</f>
        <v>Y</v>
      </c>
    </row>
    <row r="22" spans="2:7" ht="12.75">
      <c r="B22" s="258"/>
      <c r="C22" s="259"/>
      <c r="D22" s="260"/>
      <c r="E22" s="261"/>
      <c r="F22" s="262"/>
      <c r="G22" s="263"/>
    </row>
    <row r="23" spans="2:10" ht="35.25" customHeight="1">
      <c r="B23" s="264" t="s">
        <v>166</v>
      </c>
      <c r="C23" s="265" t="s">
        <v>197</v>
      </c>
      <c r="D23" s="266">
        <v>1</v>
      </c>
      <c r="E23" s="267">
        <v>1</v>
      </c>
      <c r="F23" s="268" t="s">
        <v>164</v>
      </c>
      <c r="G23" s="269">
        <f>D23</f>
        <v>1</v>
      </c>
      <c r="J23" s="214" t="s">
        <v>236</v>
      </c>
    </row>
    <row r="24" spans="2:10" ht="35.25" customHeight="1">
      <c r="B24" s="270" t="s">
        <v>166</v>
      </c>
      <c r="C24" s="271" t="s">
        <v>190</v>
      </c>
      <c r="D24" s="272">
        <v>485</v>
      </c>
      <c r="E24" s="273">
        <v>485</v>
      </c>
      <c r="F24" s="250" t="s">
        <v>196</v>
      </c>
      <c r="G24" s="274">
        <f>D24</f>
        <v>485</v>
      </c>
      <c r="J24" s="215" t="s">
        <v>216</v>
      </c>
    </row>
    <row r="25" spans="2:10" ht="35.25" customHeight="1">
      <c r="B25" s="252" t="s">
        <v>166</v>
      </c>
      <c r="C25" s="252" t="s">
        <v>198</v>
      </c>
      <c r="D25" s="254">
        <v>1</v>
      </c>
      <c r="E25" s="255">
        <v>1</v>
      </c>
      <c r="F25" s="256" t="s">
        <v>164</v>
      </c>
      <c r="G25" s="257">
        <f>D25</f>
        <v>1</v>
      </c>
      <c r="J25" s="216" t="s">
        <v>237</v>
      </c>
    </row>
    <row r="27" spans="2:4" ht="16.5" customHeight="1">
      <c r="B27" s="129"/>
      <c r="C27" s="276" t="s">
        <v>206</v>
      </c>
      <c r="D27" s="277">
        <f>'ERR Calculation'!C34</f>
        <v>0.10933311656180056</v>
      </c>
    </row>
    <row r="28" spans="2:4" ht="12.75">
      <c r="B28" s="129"/>
      <c r="C28" s="276"/>
      <c r="D28" s="278"/>
    </row>
    <row r="29" spans="3:4" ht="12.75">
      <c r="C29" s="279" t="s">
        <v>207</v>
      </c>
      <c r="D29" s="280">
        <v>0.109</v>
      </c>
    </row>
    <row r="30" spans="3:8" ht="12.75">
      <c r="C30" s="301">
        <f>IF(J20="N",IF(J21="N","Reminder: Please reset all summary parameters to original values before changing specific parameters.  Specific parameters will only be used in ERR computation when all summary parameters are set to initial values",0),0)</f>
        <v>0</v>
      </c>
      <c r="D30" s="301"/>
      <c r="E30" s="301"/>
      <c r="F30" s="301"/>
      <c r="G30" s="301"/>
      <c r="H30" s="301"/>
    </row>
  </sheetData>
  <sheetProtection/>
  <mergeCells count="9">
    <mergeCell ref="C30:H30"/>
    <mergeCell ref="B2:F2"/>
    <mergeCell ref="B18:B19"/>
    <mergeCell ref="C18:C19"/>
    <mergeCell ref="D18:G18"/>
    <mergeCell ref="B3:G7"/>
    <mergeCell ref="B10:G10"/>
    <mergeCell ref="B13:G15"/>
    <mergeCell ref="B8:G8"/>
  </mergeCells>
  <conditionalFormatting sqref="C30">
    <cfRule type="cellIs" priority="1" dxfId="1" operator="equal" stopIfTrue="1">
      <formula>0</formula>
    </cfRule>
    <cfRule type="cellIs" priority="2" dxfId="0" operator="notEqual" stopIfTrue="1">
      <formula>0</formula>
    </cfRule>
  </conditionalFormatting>
  <hyperlinks>
    <hyperlink ref="J24" location="'Activity Description'!A1" display="Activity Description"/>
    <hyperlink ref="J25" location="'User Guide'!A1" display="User's Guide"/>
  </hyperlinks>
  <printOptions/>
  <pageMargins left="0.7" right="0.7" top="0.75" bottom="0.75" header="0.3" footer="0.3"/>
  <pageSetup horizontalDpi="200" verticalDpi="2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1:X60"/>
  <sheetViews>
    <sheetView showGridLines="0" zoomScale="85" zoomScaleNormal="85" zoomScalePageLayoutView="0" workbookViewId="0" topLeftCell="A1">
      <selection activeCell="C7" sqref="C7"/>
    </sheetView>
  </sheetViews>
  <sheetFormatPr defaultColWidth="9.140625" defaultRowHeight="12.75"/>
  <cols>
    <col min="1" max="1" width="1.8515625" style="0" customWidth="1"/>
    <col min="2" max="2" width="28.8515625" style="142" customWidth="1"/>
    <col min="3" max="3" width="9.7109375" style="0" customWidth="1"/>
    <col min="4" max="6" width="7.8515625" style="0" customWidth="1"/>
    <col min="7" max="7" width="8.00390625" style="0" customWidth="1"/>
    <col min="8" max="8" width="7.8515625" style="0" customWidth="1"/>
    <col min="9" max="9" width="7.7109375" style="0" customWidth="1"/>
    <col min="10" max="11" width="7.57421875" style="0" customWidth="1"/>
    <col min="12" max="12" width="7.421875" style="0" customWidth="1"/>
    <col min="13" max="13" width="8.00390625" style="0" customWidth="1"/>
    <col min="14" max="14" width="7.8515625" style="0" customWidth="1"/>
    <col min="15" max="15" width="7.421875" style="0" customWidth="1"/>
    <col min="16" max="18" width="7.7109375" style="0" customWidth="1"/>
    <col min="19" max="19" width="7.8515625" style="0" customWidth="1"/>
    <col min="20" max="20" width="7.421875" style="0" customWidth="1"/>
    <col min="21" max="21" width="7.57421875" style="0" customWidth="1"/>
    <col min="22" max="22" width="7.7109375" style="0" customWidth="1"/>
    <col min="23" max="23" width="7.57421875" style="0" customWidth="1"/>
  </cols>
  <sheetData>
    <row r="1" spans="3:24" ht="12.75">
      <c r="C1" s="142"/>
      <c r="D1" s="142"/>
      <c r="E1" s="142"/>
      <c r="F1" s="142"/>
      <c r="G1" s="142"/>
      <c r="H1" s="142"/>
      <c r="I1" s="142"/>
      <c r="J1" s="142"/>
      <c r="K1" s="142"/>
      <c r="L1" s="142"/>
      <c r="M1" s="142"/>
      <c r="N1" s="142"/>
      <c r="O1" s="142"/>
      <c r="P1" s="142"/>
      <c r="Q1" s="142"/>
      <c r="R1" s="142"/>
      <c r="S1" s="142"/>
      <c r="T1" s="142"/>
      <c r="U1" s="142"/>
      <c r="V1" s="142"/>
      <c r="W1" s="142"/>
      <c r="X1" s="142"/>
    </row>
    <row r="2" spans="3:24" ht="15">
      <c r="C2" s="320" t="s">
        <v>180</v>
      </c>
      <c r="D2" s="320"/>
      <c r="E2" s="320"/>
      <c r="F2" s="320"/>
      <c r="G2" s="320"/>
      <c r="H2" s="320"/>
      <c r="I2" s="320"/>
      <c r="J2" s="142"/>
      <c r="K2" s="142"/>
      <c r="L2" s="142"/>
      <c r="M2" s="142"/>
      <c r="N2" s="142"/>
      <c r="O2" s="142"/>
      <c r="P2" s="142"/>
      <c r="Q2" s="142"/>
      <c r="R2" s="142"/>
      <c r="S2" s="142"/>
      <c r="T2" s="142"/>
      <c r="U2" s="142"/>
      <c r="V2" s="142"/>
      <c r="W2" s="142"/>
      <c r="X2" s="142"/>
    </row>
    <row r="3" spans="3:24" ht="15.75">
      <c r="C3" s="321" t="s">
        <v>205</v>
      </c>
      <c r="D3" s="321"/>
      <c r="E3" s="321"/>
      <c r="F3" s="321"/>
      <c r="G3" s="321"/>
      <c r="H3" s="321"/>
      <c r="I3" s="321"/>
      <c r="J3" s="142"/>
      <c r="K3" s="142"/>
      <c r="L3" s="142"/>
      <c r="M3" s="142"/>
      <c r="N3" s="142"/>
      <c r="O3" s="142"/>
      <c r="P3" s="142"/>
      <c r="Q3" s="142"/>
      <c r="R3" s="142"/>
      <c r="S3" s="142"/>
      <c r="T3" s="142"/>
      <c r="U3" s="142"/>
      <c r="V3" s="142"/>
      <c r="W3" s="142"/>
      <c r="X3" s="142"/>
    </row>
    <row r="4" spans="4:24" ht="11.25" customHeight="1">
      <c r="D4" s="281"/>
      <c r="E4" s="281"/>
      <c r="F4" s="281"/>
      <c r="G4" s="322" t="s">
        <v>245</v>
      </c>
      <c r="H4" s="322"/>
      <c r="I4" s="322"/>
      <c r="O4" s="142"/>
      <c r="P4" s="142"/>
      <c r="Q4" s="142"/>
      <c r="R4" s="142"/>
      <c r="S4" s="142"/>
      <c r="T4" s="142"/>
      <c r="U4" s="142"/>
      <c r="V4" s="142"/>
      <c r="W4" s="142"/>
      <c r="X4" s="142"/>
    </row>
    <row r="5" spans="2:24" ht="22.5">
      <c r="B5" s="154" t="s">
        <v>185</v>
      </c>
      <c r="C5" s="283">
        <f>IF('ERR and Sensitivity Analysis'!J20="Y",IF('ERR and Sensitivity Analysis'!J21="Y","","Note: Current calculations are based on user input and are not the original MCC estimates"),"Note: Current calculations are based on user input and are not the original MCC estimates")</f>
      </c>
      <c r="D5" s="142"/>
      <c r="E5" s="142"/>
      <c r="F5" s="142"/>
      <c r="G5" s="142"/>
      <c r="H5" s="142"/>
      <c r="I5" s="142"/>
      <c r="J5" s="142"/>
      <c r="K5" s="142"/>
      <c r="L5" s="142"/>
      <c r="M5" s="142"/>
      <c r="N5" s="142"/>
      <c r="O5" s="142"/>
      <c r="P5" s="142"/>
      <c r="Q5" s="142"/>
      <c r="R5" s="142"/>
      <c r="S5" s="142"/>
      <c r="T5" s="142"/>
      <c r="U5" s="142"/>
      <c r="V5" s="142"/>
      <c r="W5" s="142"/>
      <c r="X5" s="142"/>
    </row>
    <row r="6" spans="2:24" ht="23.25" customHeight="1">
      <c r="B6" s="155" t="s">
        <v>181</v>
      </c>
      <c r="C6" s="156" t="s">
        <v>56</v>
      </c>
      <c r="D6" s="169">
        <v>1</v>
      </c>
      <c r="E6" s="170">
        <v>2</v>
      </c>
      <c r="F6" s="170">
        <v>3</v>
      </c>
      <c r="G6" s="170">
        <v>4</v>
      </c>
      <c r="H6" s="170">
        <v>5</v>
      </c>
      <c r="I6" s="170">
        <v>6</v>
      </c>
      <c r="J6" s="170">
        <v>7</v>
      </c>
      <c r="K6" s="170">
        <v>8</v>
      </c>
      <c r="L6" s="170">
        <v>9</v>
      </c>
      <c r="M6" s="170">
        <v>10</v>
      </c>
      <c r="N6" s="170">
        <v>11</v>
      </c>
      <c r="O6" s="170">
        <v>12</v>
      </c>
      <c r="P6" s="170">
        <v>13</v>
      </c>
      <c r="Q6" s="170">
        <v>14</v>
      </c>
      <c r="R6" s="170">
        <v>15</v>
      </c>
      <c r="S6" s="170">
        <v>16</v>
      </c>
      <c r="T6" s="170">
        <v>17</v>
      </c>
      <c r="U6" s="170">
        <v>18</v>
      </c>
      <c r="V6" s="170">
        <v>19</v>
      </c>
      <c r="W6" s="171">
        <v>20</v>
      </c>
      <c r="X6" s="142"/>
    </row>
    <row r="7" spans="2:24" ht="12.75">
      <c r="B7" s="157" t="s">
        <v>182</v>
      </c>
      <c r="C7" s="197" t="s">
        <v>199</v>
      </c>
      <c r="D7" s="172"/>
      <c r="E7" s="173"/>
      <c r="F7" s="173"/>
      <c r="G7" s="173"/>
      <c r="H7" s="173"/>
      <c r="I7" s="173"/>
      <c r="J7" s="173"/>
      <c r="K7" s="173"/>
      <c r="L7" s="173"/>
      <c r="M7" s="173"/>
      <c r="N7" s="173"/>
      <c r="O7" s="173"/>
      <c r="P7" s="173"/>
      <c r="Q7" s="173"/>
      <c r="R7" s="173"/>
      <c r="S7" s="173"/>
      <c r="T7" s="173"/>
      <c r="U7" s="173"/>
      <c r="V7" s="173"/>
      <c r="W7" s="174"/>
      <c r="X7" s="142"/>
    </row>
    <row r="8" spans="2:24" ht="12.75">
      <c r="B8" s="195" t="s">
        <v>186</v>
      </c>
      <c r="C8" s="158" t="s">
        <v>1</v>
      </c>
      <c r="D8" s="172"/>
      <c r="E8" s="173"/>
      <c r="F8" s="173"/>
      <c r="G8" s="173"/>
      <c r="H8" s="173"/>
      <c r="I8" s="173"/>
      <c r="J8" s="173"/>
      <c r="K8" s="173"/>
      <c r="L8" s="173"/>
      <c r="M8" s="173"/>
      <c r="N8" s="173"/>
      <c r="O8" s="173"/>
      <c r="P8" s="173"/>
      <c r="Q8" s="173"/>
      <c r="R8" s="173"/>
      <c r="S8" s="173"/>
      <c r="T8" s="173"/>
      <c r="U8" s="173"/>
      <c r="V8" s="173"/>
      <c r="W8" s="174"/>
      <c r="X8" s="142"/>
    </row>
    <row r="9" spans="2:24" s="33" customFormat="1" ht="12.75">
      <c r="B9" s="159" t="s">
        <v>5</v>
      </c>
      <c r="C9" s="160"/>
      <c r="D9" s="175"/>
      <c r="E9" s="175"/>
      <c r="F9" s="175"/>
      <c r="G9" s="175"/>
      <c r="H9" s="175"/>
      <c r="I9" s="175"/>
      <c r="J9" s="175"/>
      <c r="K9" s="175"/>
      <c r="L9" s="175"/>
      <c r="M9" s="175"/>
      <c r="N9" s="175"/>
      <c r="O9" s="175"/>
      <c r="P9" s="175"/>
      <c r="Q9" s="175"/>
      <c r="R9" s="175"/>
      <c r="S9" s="175"/>
      <c r="T9" s="175"/>
      <c r="U9" s="175"/>
      <c r="V9" s="175"/>
      <c r="W9" s="176"/>
      <c r="X9" s="161"/>
    </row>
    <row r="10" spans="2:24" ht="12.75">
      <c r="B10" s="162" t="s">
        <v>3</v>
      </c>
      <c r="C10" s="163"/>
      <c r="D10" s="172"/>
      <c r="E10" s="173"/>
      <c r="F10" s="173"/>
      <c r="G10" s="173"/>
      <c r="H10" s="173"/>
      <c r="I10" s="177">
        <f>2880000000+5065000</f>
        <v>2885065000</v>
      </c>
      <c r="J10" s="177"/>
      <c r="K10" s="177"/>
      <c r="L10" s="177"/>
      <c r="M10" s="177"/>
      <c r="N10" s="177"/>
      <c r="O10" s="177">
        <v>5760000000</v>
      </c>
      <c r="P10" s="177"/>
      <c r="Q10" s="177"/>
      <c r="R10" s="177"/>
      <c r="S10" s="177"/>
      <c r="T10" s="177"/>
      <c r="U10" s="177"/>
      <c r="V10" s="177"/>
      <c r="W10" s="178"/>
      <c r="X10" s="142"/>
    </row>
    <row r="11" spans="2:24" ht="12.75">
      <c r="B11" s="162" t="s">
        <v>8</v>
      </c>
      <c r="C11" s="163"/>
      <c r="D11" s="179">
        <v>840000</v>
      </c>
      <c r="E11" s="177">
        <v>840000</v>
      </c>
      <c r="F11" s="177">
        <v>840000</v>
      </c>
      <c r="G11" s="177">
        <v>840000</v>
      </c>
      <c r="H11" s="177">
        <v>840000</v>
      </c>
      <c r="I11" s="177">
        <v>5065000</v>
      </c>
      <c r="J11" s="177"/>
      <c r="K11" s="177"/>
      <c r="L11" s="177"/>
      <c r="M11" s="177"/>
      <c r="N11" s="177"/>
      <c r="O11" s="177"/>
      <c r="P11" s="177"/>
      <c r="Q11" s="177"/>
      <c r="R11" s="177"/>
      <c r="S11" s="177"/>
      <c r="T11" s="177"/>
      <c r="U11" s="177"/>
      <c r="V11" s="177"/>
      <c r="W11" s="178"/>
      <c r="X11" s="142"/>
    </row>
    <row r="12" spans="2:24" ht="12.75">
      <c r="B12" s="162" t="s">
        <v>6</v>
      </c>
      <c r="C12" s="187"/>
      <c r="D12" s="179">
        <v>13202405000</v>
      </c>
      <c r="E12" s="177">
        <v>13883484000</v>
      </c>
      <c r="F12" s="177">
        <v>14623232000</v>
      </c>
      <c r="G12" s="177">
        <v>15423418000</v>
      </c>
      <c r="H12" s="177">
        <v>16337253000</v>
      </c>
      <c r="I12" s="177">
        <v>17403509000</v>
      </c>
      <c r="J12" s="177">
        <v>18018550000</v>
      </c>
      <c r="K12" s="177">
        <v>18794330000</v>
      </c>
      <c r="L12" s="177">
        <v>19609868000</v>
      </c>
      <c r="M12" s="177">
        <v>20466563000</v>
      </c>
      <c r="N12" s="177">
        <v>21366569000</v>
      </c>
      <c r="O12" s="177">
        <v>22315966000</v>
      </c>
      <c r="P12" s="177">
        <v>16263018000</v>
      </c>
      <c r="Q12" s="177">
        <v>16848480000</v>
      </c>
      <c r="R12" s="177">
        <v>17454275000</v>
      </c>
      <c r="S12" s="177">
        <v>18086945000</v>
      </c>
      <c r="T12" s="177">
        <v>18748056000</v>
      </c>
      <c r="U12" s="177">
        <v>19439927000</v>
      </c>
      <c r="V12" s="177">
        <v>20164266000</v>
      </c>
      <c r="W12" s="178">
        <v>20917211000</v>
      </c>
      <c r="X12" s="142"/>
    </row>
    <row r="13" spans="2:24" ht="12.75">
      <c r="B13" s="162" t="s">
        <v>7</v>
      </c>
      <c r="C13" s="187"/>
      <c r="D13" s="179">
        <v>329145000</v>
      </c>
      <c r="E13" s="177">
        <v>342940000</v>
      </c>
      <c r="F13" s="177">
        <v>358422000</v>
      </c>
      <c r="G13" s="177">
        <v>376053000</v>
      </c>
      <c r="H13" s="177">
        <v>397505000</v>
      </c>
      <c r="I13" s="177">
        <v>424812000</v>
      </c>
      <c r="J13" s="177">
        <v>439599000</v>
      </c>
      <c r="K13" s="177">
        <v>459424000</v>
      </c>
      <c r="L13" s="177">
        <v>480446000</v>
      </c>
      <c r="M13" s="177">
        <v>502746000</v>
      </c>
      <c r="N13" s="177">
        <v>526407000</v>
      </c>
      <c r="O13" s="177">
        <v>551642000</v>
      </c>
      <c r="P13" s="177">
        <v>489972000</v>
      </c>
      <c r="Q13" s="177">
        <v>507119000</v>
      </c>
      <c r="R13" s="177">
        <v>524869000</v>
      </c>
      <c r="S13" s="177">
        <v>543241000</v>
      </c>
      <c r="T13" s="177">
        <v>562256000</v>
      </c>
      <c r="U13" s="177">
        <v>581936000</v>
      </c>
      <c r="V13" s="177">
        <v>602306000</v>
      </c>
      <c r="W13" s="178">
        <v>623388000</v>
      </c>
      <c r="X13" s="142"/>
    </row>
    <row r="14" spans="2:24" ht="12.75">
      <c r="B14" s="164" t="s">
        <v>187</v>
      </c>
      <c r="C14" s="187"/>
      <c r="D14" s="177">
        <f>SUM(D10:D13)</f>
        <v>13532390000</v>
      </c>
      <c r="E14" s="177">
        <f aca="true" t="shared" si="0" ref="E14:W14">SUM(E10:E13)</f>
        <v>14227264000</v>
      </c>
      <c r="F14" s="177">
        <f t="shared" si="0"/>
        <v>14982494000</v>
      </c>
      <c r="G14" s="177">
        <f t="shared" si="0"/>
        <v>15800311000</v>
      </c>
      <c r="H14" s="177">
        <f t="shared" si="0"/>
        <v>16735598000</v>
      </c>
      <c r="I14" s="177">
        <f t="shared" si="0"/>
        <v>20718451000</v>
      </c>
      <c r="J14" s="177">
        <f t="shared" si="0"/>
        <v>18458149000</v>
      </c>
      <c r="K14" s="177">
        <f t="shared" si="0"/>
        <v>19253754000</v>
      </c>
      <c r="L14" s="177">
        <f t="shared" si="0"/>
        <v>20090314000</v>
      </c>
      <c r="M14" s="177">
        <f t="shared" si="0"/>
        <v>20969309000</v>
      </c>
      <c r="N14" s="177">
        <f t="shared" si="0"/>
        <v>21892976000</v>
      </c>
      <c r="O14" s="177">
        <f t="shared" si="0"/>
        <v>28627608000</v>
      </c>
      <c r="P14" s="177">
        <f t="shared" si="0"/>
        <v>16752990000</v>
      </c>
      <c r="Q14" s="177">
        <f t="shared" si="0"/>
        <v>17355599000</v>
      </c>
      <c r="R14" s="177">
        <f t="shared" si="0"/>
        <v>17979144000</v>
      </c>
      <c r="S14" s="177">
        <f t="shared" si="0"/>
        <v>18630186000</v>
      </c>
      <c r="T14" s="177">
        <f t="shared" si="0"/>
        <v>19310312000</v>
      </c>
      <c r="U14" s="177">
        <f t="shared" si="0"/>
        <v>20021863000</v>
      </c>
      <c r="V14" s="177">
        <f t="shared" si="0"/>
        <v>20766572000</v>
      </c>
      <c r="W14" s="178">
        <f t="shared" si="0"/>
        <v>21540599000</v>
      </c>
      <c r="X14" s="142"/>
    </row>
    <row r="15" spans="2:24" s="33" customFormat="1" ht="12.75">
      <c r="B15" s="159" t="s">
        <v>4</v>
      </c>
      <c r="C15" s="188"/>
      <c r="D15" s="175"/>
      <c r="E15" s="175"/>
      <c r="F15" s="175"/>
      <c r="G15" s="175"/>
      <c r="H15" s="175"/>
      <c r="I15" s="175"/>
      <c r="J15" s="175"/>
      <c r="K15" s="175"/>
      <c r="L15" s="175"/>
      <c r="M15" s="175"/>
      <c r="N15" s="175"/>
      <c r="O15" s="175"/>
      <c r="P15" s="175"/>
      <c r="Q15" s="175"/>
      <c r="R15" s="175"/>
      <c r="S15" s="175"/>
      <c r="T15" s="175"/>
      <c r="U15" s="175"/>
      <c r="V15" s="175"/>
      <c r="W15" s="176"/>
      <c r="X15" s="161"/>
    </row>
    <row r="16" spans="2:24" ht="12.75">
      <c r="B16" s="162" t="s">
        <v>3</v>
      </c>
      <c r="C16" s="187"/>
      <c r="D16" s="179">
        <f>'RT-Nd'!C15</f>
        <v>9846000000</v>
      </c>
      <c r="E16" s="177">
        <f>'RT-Nd'!D15</f>
        <v>9846000000</v>
      </c>
      <c r="F16" s="177">
        <f>'RT-Nd'!E15</f>
        <v>0</v>
      </c>
      <c r="G16" s="177">
        <f>'RT-Nd'!F15</f>
        <v>0</v>
      </c>
      <c r="H16" s="177">
        <f>'RT-Nd'!G15</f>
        <v>0</v>
      </c>
      <c r="I16" s="177">
        <f>'RT-Nd'!H15</f>
        <v>0</v>
      </c>
      <c r="J16" s="177">
        <f>'RT-Nd'!I15</f>
        <v>0</v>
      </c>
      <c r="K16" s="177">
        <f>'RT-Nd'!J15</f>
        <v>0</v>
      </c>
      <c r="L16" s="177">
        <f>'RT-Nd'!K15</f>
        <v>0</v>
      </c>
      <c r="M16" s="177">
        <f>'RT-Nd'!L15</f>
        <v>0</v>
      </c>
      <c r="N16" s="177">
        <f>'RT-Nd'!M15</f>
        <v>0</v>
      </c>
      <c r="O16" s="177">
        <f>'RT-Nd'!N15</f>
        <v>0</v>
      </c>
      <c r="P16" s="177">
        <f>'RT-Nd'!O15</f>
        <v>0</v>
      </c>
      <c r="Q16" s="177">
        <f>'RT-Nd'!P15</f>
        <v>0</v>
      </c>
      <c r="R16" s="177">
        <f>'RT-Nd'!Q15</f>
        <v>0</v>
      </c>
      <c r="S16" s="177">
        <f>'RT-Nd'!R15</f>
        <v>0</v>
      </c>
      <c r="T16" s="177">
        <f>'RT-Nd'!S15</f>
        <v>0</v>
      </c>
      <c r="U16" s="177">
        <f>'RT-Nd'!T15</f>
        <v>0</v>
      </c>
      <c r="V16" s="177">
        <f>'RT-Nd'!U15</f>
        <v>0</v>
      </c>
      <c r="W16" s="178">
        <f>'RT-Nd'!V15</f>
        <v>0</v>
      </c>
      <c r="X16" s="142"/>
    </row>
    <row r="17" spans="2:24" ht="12.75">
      <c r="B17" s="162" t="s">
        <v>6</v>
      </c>
      <c r="C17" s="187"/>
      <c r="D17" s="179">
        <f>'RT-Nd'!C16</f>
        <v>13202405000</v>
      </c>
      <c r="E17" s="177">
        <f>'RT-Nd'!D16</f>
        <v>15714162000</v>
      </c>
      <c r="F17" s="177">
        <f>'RT-Nd'!E16</f>
        <v>12568235000</v>
      </c>
      <c r="G17" s="177">
        <f>'RT-Nd'!F16</f>
        <v>13016823000</v>
      </c>
      <c r="H17" s="177">
        <f>'RT-Nd'!G16</f>
        <v>13475977000</v>
      </c>
      <c r="I17" s="177">
        <f>'RT-Nd'!H16</f>
        <v>13951694000</v>
      </c>
      <c r="J17" s="177">
        <f>'RT-Nd'!I16</f>
        <v>14444696000</v>
      </c>
      <c r="K17" s="177">
        <f>'RT-Nd'!J16</f>
        <v>14955785000</v>
      </c>
      <c r="L17" s="177">
        <f>'RT-Nd'!K16</f>
        <v>15485876000</v>
      </c>
      <c r="M17" s="177">
        <f>'RT-Nd'!L16</f>
        <v>16036041000</v>
      </c>
      <c r="N17" s="177">
        <f>'RT-Nd'!M16</f>
        <v>16607569000</v>
      </c>
      <c r="O17" s="177">
        <f>'RT-Nd'!N16</f>
        <v>17202039000</v>
      </c>
      <c r="P17" s="177">
        <f>'RT-Nd'!O16</f>
        <v>17821446000</v>
      </c>
      <c r="Q17" s="177">
        <f>'RT-Nd'!P16</f>
        <v>18468363000</v>
      </c>
      <c r="R17" s="177">
        <f>'RT-Nd'!Q16</f>
        <v>19146201000</v>
      </c>
      <c r="S17" s="177">
        <f>'RT-Nd'!R16</f>
        <v>19859536000</v>
      </c>
      <c r="T17" s="177">
        <f>'RT-Nd'!S16</f>
        <v>20616042000</v>
      </c>
      <c r="U17" s="177">
        <f>'RT-Nd'!T16</f>
        <v>21418179000</v>
      </c>
      <c r="V17" s="177">
        <f>'RT-Nd'!U16</f>
        <v>22253238000</v>
      </c>
      <c r="W17" s="178">
        <f>'RT-Nd'!V16</f>
        <v>23125750000</v>
      </c>
      <c r="X17" s="142"/>
    </row>
    <row r="18" spans="2:24" ht="12.75">
      <c r="B18" s="162" t="s">
        <v>7</v>
      </c>
      <c r="C18" s="187"/>
      <c r="D18" s="179">
        <f>'RT-Nd'!C17</f>
        <v>329145000</v>
      </c>
      <c r="E18" s="177">
        <f>'RT-Nd'!D17</f>
        <v>391765000</v>
      </c>
      <c r="F18" s="177">
        <f>'RT-Nd'!E17</f>
        <v>225083000</v>
      </c>
      <c r="G18" s="177">
        <f>'RT-Nd'!F17</f>
        <v>233011000</v>
      </c>
      <c r="H18" s="177">
        <f>'RT-Nd'!G17</f>
        <v>241186000</v>
      </c>
      <c r="I18" s="177">
        <f>'RT-Nd'!H17</f>
        <v>249650000</v>
      </c>
      <c r="J18" s="177">
        <f>'RT-Nd'!I17</f>
        <v>258412714.99999997</v>
      </c>
      <c r="K18" s="177">
        <f>'RT-Nd'!J17</f>
        <v>267483001.29649994</v>
      </c>
      <c r="L18" s="177">
        <f>'RT-Nd'!K17</f>
        <v>276871654.64200705</v>
      </c>
      <c r="M18" s="177">
        <f>'RT-Nd'!L17</f>
        <v>286589849.7199415</v>
      </c>
      <c r="N18" s="177">
        <f>'RT-Nd'!M17</f>
        <v>296649153.4451114</v>
      </c>
      <c r="O18" s="177">
        <f>'RT-Nd'!N17</f>
        <v>307061538.73103476</v>
      </c>
      <c r="P18" s="177">
        <f>'RT-Nd'!O17</f>
        <v>317839398.7404941</v>
      </c>
      <c r="Q18" s="177">
        <f>'RT-Nd'!P17</f>
        <v>328995561.63628536</v>
      </c>
      <c r="R18" s="177">
        <f>'RT-Nd'!Q17</f>
        <v>340543305.8497189</v>
      </c>
      <c r="S18" s="177">
        <f>'RT-Nd'!R17</f>
        <v>352496375.88504404</v>
      </c>
      <c r="T18" s="177">
        <f>'RT-Nd'!S17</f>
        <v>364868998.6786091</v>
      </c>
      <c r="U18" s="177">
        <f>'RT-Nd'!T17</f>
        <v>377675900.53222823</v>
      </c>
      <c r="V18" s="177">
        <f>'RT-Nd'!U17</f>
        <v>390932324.64090943</v>
      </c>
      <c r="W18" s="178">
        <f>'RT-Nd'!V17</f>
        <v>404654049.23580533</v>
      </c>
      <c r="X18" s="142"/>
    </row>
    <row r="19" spans="2:24" ht="12.75">
      <c r="B19" s="165" t="s">
        <v>187</v>
      </c>
      <c r="C19" s="187"/>
      <c r="D19" s="179">
        <f aca="true" t="shared" si="1" ref="D19:V19">SUM(D16:D18)</f>
        <v>23377550000</v>
      </c>
      <c r="E19" s="177">
        <f t="shared" si="1"/>
        <v>25951927000</v>
      </c>
      <c r="F19" s="177">
        <f t="shared" si="1"/>
        <v>12793318000</v>
      </c>
      <c r="G19" s="177">
        <f t="shared" si="1"/>
        <v>13249834000</v>
      </c>
      <c r="H19" s="177">
        <f t="shared" si="1"/>
        <v>13717163000</v>
      </c>
      <c r="I19" s="177">
        <f t="shared" si="1"/>
        <v>14201344000</v>
      </c>
      <c r="J19" s="177">
        <f t="shared" si="1"/>
        <v>14703108715</v>
      </c>
      <c r="K19" s="177">
        <f t="shared" si="1"/>
        <v>15223268001.2965</v>
      </c>
      <c r="L19" s="177">
        <f t="shared" si="1"/>
        <v>15762747654.642008</v>
      </c>
      <c r="M19" s="177">
        <f t="shared" si="1"/>
        <v>16322630849.719942</v>
      </c>
      <c r="N19" s="177">
        <f t="shared" si="1"/>
        <v>16904218153.445112</v>
      </c>
      <c r="O19" s="177">
        <f t="shared" si="1"/>
        <v>17509100538.731033</v>
      </c>
      <c r="P19" s="177">
        <f t="shared" si="1"/>
        <v>18139285398.740494</v>
      </c>
      <c r="Q19" s="177">
        <f t="shared" si="1"/>
        <v>18797358561.636284</v>
      </c>
      <c r="R19" s="177">
        <f t="shared" si="1"/>
        <v>19486744305.84972</v>
      </c>
      <c r="S19" s="177">
        <f t="shared" si="1"/>
        <v>20212032375.885044</v>
      </c>
      <c r="T19" s="177">
        <f t="shared" si="1"/>
        <v>20980910998.678608</v>
      </c>
      <c r="U19" s="177">
        <f t="shared" si="1"/>
        <v>21795854900.532227</v>
      </c>
      <c r="V19" s="177">
        <f t="shared" si="1"/>
        <v>22644170324.64091</v>
      </c>
      <c r="W19" s="178">
        <f>'RT-Nd'!V18</f>
        <v>18516515049.235806</v>
      </c>
      <c r="X19" s="142"/>
    </row>
    <row r="20" spans="2:24" ht="12.75">
      <c r="B20" s="166" t="s">
        <v>192</v>
      </c>
      <c r="C20" s="187"/>
      <c r="D20" s="179">
        <f aca="true" t="shared" si="2" ref="D20:W20">D14-D19</f>
        <v>-9845160000</v>
      </c>
      <c r="E20" s="177">
        <f t="shared" si="2"/>
        <v>-11724663000</v>
      </c>
      <c r="F20" s="177">
        <f t="shared" si="2"/>
        <v>2189176000</v>
      </c>
      <c r="G20" s="177">
        <f t="shared" si="2"/>
        <v>2550477000</v>
      </c>
      <c r="H20" s="177">
        <f t="shared" si="2"/>
        <v>3018435000</v>
      </c>
      <c r="I20" s="177">
        <f t="shared" si="2"/>
        <v>6517107000</v>
      </c>
      <c r="J20" s="177">
        <f t="shared" si="2"/>
        <v>3755040285</v>
      </c>
      <c r="K20" s="177">
        <f t="shared" si="2"/>
        <v>4030485998.7035007</v>
      </c>
      <c r="L20" s="177">
        <f t="shared" si="2"/>
        <v>4327566345.357992</v>
      </c>
      <c r="M20" s="177">
        <f t="shared" si="2"/>
        <v>4646678150.280058</v>
      </c>
      <c r="N20" s="177">
        <f t="shared" si="2"/>
        <v>4988757846.554888</v>
      </c>
      <c r="O20" s="177">
        <f t="shared" si="2"/>
        <v>11118507461.268967</v>
      </c>
      <c r="P20" s="177">
        <f t="shared" si="2"/>
        <v>-1386295398.7404938</v>
      </c>
      <c r="Q20" s="177">
        <f t="shared" si="2"/>
        <v>-1441759561.6362839</v>
      </c>
      <c r="R20" s="177">
        <f t="shared" si="2"/>
        <v>-1507600305.84972</v>
      </c>
      <c r="S20" s="177">
        <f t="shared" si="2"/>
        <v>-1581846375.885044</v>
      </c>
      <c r="T20" s="177">
        <f t="shared" si="2"/>
        <v>-1670598998.678608</v>
      </c>
      <c r="U20" s="177">
        <f t="shared" si="2"/>
        <v>-1773991900.5322266</v>
      </c>
      <c r="V20" s="177">
        <f t="shared" si="2"/>
        <v>-1877598324.640911</v>
      </c>
      <c r="W20" s="178">
        <f t="shared" si="2"/>
        <v>3024083950.7641945</v>
      </c>
      <c r="X20" s="142"/>
    </row>
    <row r="21" spans="2:24" ht="12.75">
      <c r="B21" s="166" t="s">
        <v>10</v>
      </c>
      <c r="C21" s="189">
        <f>IRR(D20:W20,0.1)</f>
        <v>0.11082835325810825</v>
      </c>
      <c r="D21" s="180"/>
      <c r="E21" s="177"/>
      <c r="F21" s="177"/>
      <c r="G21" s="177"/>
      <c r="H21" s="177"/>
      <c r="I21" s="177"/>
      <c r="J21" s="177"/>
      <c r="K21" s="177"/>
      <c r="L21" s="177"/>
      <c r="M21" s="177"/>
      <c r="N21" s="177"/>
      <c r="O21" s="177"/>
      <c r="P21" s="177"/>
      <c r="Q21" s="177"/>
      <c r="R21" s="177"/>
      <c r="S21" s="177"/>
      <c r="T21" s="177"/>
      <c r="U21" s="177"/>
      <c r="V21" s="177"/>
      <c r="W21" s="178"/>
      <c r="X21" s="142"/>
    </row>
    <row r="22" spans="2:24" s="33" customFormat="1" ht="12.75">
      <c r="B22" s="159" t="s">
        <v>193</v>
      </c>
      <c r="C22" s="188"/>
      <c r="D22" s="181"/>
      <c r="E22" s="181"/>
      <c r="F22" s="181"/>
      <c r="G22" s="181"/>
      <c r="H22" s="181"/>
      <c r="I22" s="181"/>
      <c r="J22" s="181"/>
      <c r="K22" s="181"/>
      <c r="L22" s="181"/>
      <c r="M22" s="181"/>
      <c r="N22" s="181"/>
      <c r="O22" s="181"/>
      <c r="P22" s="181"/>
      <c r="Q22" s="181"/>
      <c r="R22" s="181"/>
      <c r="S22" s="181"/>
      <c r="T22" s="181"/>
      <c r="U22" s="181"/>
      <c r="V22" s="181"/>
      <c r="W22" s="182"/>
      <c r="X22" s="161"/>
    </row>
    <row r="23" spans="2:24" ht="12.75">
      <c r="B23" s="162" t="s">
        <v>189</v>
      </c>
      <c r="C23" s="190">
        <f>47570000*'ERR and Sensitivity Analysis'!$D$23</f>
        <v>47570000</v>
      </c>
      <c r="D23" s="172"/>
      <c r="E23" s="173"/>
      <c r="F23" s="173"/>
      <c r="G23" s="173"/>
      <c r="H23" s="173"/>
      <c r="I23" s="173"/>
      <c r="J23" s="173"/>
      <c r="K23" s="173"/>
      <c r="L23" s="173"/>
      <c r="M23" s="173"/>
      <c r="N23" s="173"/>
      <c r="O23" s="173"/>
      <c r="P23" s="173"/>
      <c r="Q23" s="173"/>
      <c r="R23" s="173"/>
      <c r="S23" s="173"/>
      <c r="T23" s="173"/>
      <c r="U23" s="173"/>
      <c r="V23" s="173"/>
      <c r="W23" s="174"/>
      <c r="X23" s="142"/>
    </row>
    <row r="24" spans="2:24" ht="12.75">
      <c r="B24" s="162" t="s">
        <v>28</v>
      </c>
      <c r="C24" s="191">
        <v>3799000</v>
      </c>
      <c r="D24" s="183"/>
      <c r="E24" s="173"/>
      <c r="F24" s="173"/>
      <c r="G24" s="173"/>
      <c r="H24" s="173"/>
      <c r="I24" s="173"/>
      <c r="J24" s="173"/>
      <c r="K24" s="173"/>
      <c r="L24" s="173"/>
      <c r="M24" s="173"/>
      <c r="N24" s="173"/>
      <c r="O24" s="173"/>
      <c r="P24" s="173"/>
      <c r="Q24" s="173"/>
      <c r="R24" s="173"/>
      <c r="S24" s="173"/>
      <c r="T24" s="173"/>
      <c r="U24" s="173"/>
      <c r="V24" s="173"/>
      <c r="W24" s="174"/>
      <c r="X24" s="142"/>
    </row>
    <row r="25" spans="2:24" ht="12.75">
      <c r="B25" s="162" t="s">
        <v>29</v>
      </c>
      <c r="C25" s="191">
        <f>C24</f>
        <v>3799000</v>
      </c>
      <c r="D25" s="172"/>
      <c r="E25" s="173"/>
      <c r="F25" s="173"/>
      <c r="G25" s="173"/>
      <c r="H25" s="173"/>
      <c r="I25" s="173"/>
      <c r="J25" s="173"/>
      <c r="K25" s="173"/>
      <c r="L25" s="173"/>
      <c r="M25" s="173"/>
      <c r="N25" s="173"/>
      <c r="O25" s="173"/>
      <c r="P25" s="173"/>
      <c r="Q25" s="173"/>
      <c r="R25" s="173"/>
      <c r="S25" s="173"/>
      <c r="T25" s="173"/>
      <c r="U25" s="173"/>
      <c r="V25" s="173"/>
      <c r="W25" s="174"/>
      <c r="X25" s="142"/>
    </row>
    <row r="26" spans="2:24" ht="12.75">
      <c r="B26" s="162" t="s">
        <v>30</v>
      </c>
      <c r="C26" s="177">
        <v>0</v>
      </c>
      <c r="D26" s="172"/>
      <c r="E26" s="173"/>
      <c r="F26" s="173"/>
      <c r="G26" s="173"/>
      <c r="H26" s="173"/>
      <c r="I26" s="173"/>
      <c r="J26" s="173"/>
      <c r="K26" s="173"/>
      <c r="L26" s="173"/>
      <c r="M26" s="173"/>
      <c r="N26" s="173"/>
      <c r="O26" s="173"/>
      <c r="P26" s="173"/>
      <c r="Q26" s="173"/>
      <c r="R26" s="173"/>
      <c r="S26" s="173"/>
      <c r="T26" s="173"/>
      <c r="U26" s="173"/>
      <c r="V26" s="173"/>
      <c r="W26" s="174"/>
      <c r="X26" s="142"/>
    </row>
    <row r="27" spans="2:24" ht="12.75">
      <c r="B27" s="162" t="s">
        <v>31</v>
      </c>
      <c r="C27" s="177">
        <f>28180000*'ERR and Sensitivity Analysis'!D25</f>
        <v>28180000</v>
      </c>
      <c r="D27" s="172"/>
      <c r="E27" s="173"/>
      <c r="F27" s="173"/>
      <c r="G27" s="173"/>
      <c r="H27" s="173"/>
      <c r="I27" s="173"/>
      <c r="J27" s="173"/>
      <c r="K27" s="173"/>
      <c r="L27" s="173"/>
      <c r="M27" s="173"/>
      <c r="N27" s="173"/>
      <c r="O27" s="173"/>
      <c r="P27" s="173"/>
      <c r="Q27" s="173"/>
      <c r="R27" s="173"/>
      <c r="S27" s="173"/>
      <c r="T27" s="173"/>
      <c r="U27" s="173"/>
      <c r="V27" s="173"/>
      <c r="W27" s="174"/>
      <c r="X27" s="142"/>
    </row>
    <row r="28" spans="2:24" ht="12.75">
      <c r="B28" s="167" t="s">
        <v>191</v>
      </c>
      <c r="C28" s="177">
        <f>SUM(C23:C27)*'ERR and Sensitivity Analysis'!D23</f>
        <v>83348000</v>
      </c>
      <c r="D28" s="172"/>
      <c r="E28" s="173"/>
      <c r="F28" s="173"/>
      <c r="G28" s="173"/>
      <c r="H28" s="173"/>
      <c r="I28" s="173"/>
      <c r="J28" s="173"/>
      <c r="K28" s="173"/>
      <c r="L28" s="173"/>
      <c r="M28" s="173"/>
      <c r="N28" s="173"/>
      <c r="O28" s="173"/>
      <c r="P28" s="173"/>
      <c r="Q28" s="173"/>
      <c r="R28" s="173"/>
      <c r="S28" s="173"/>
      <c r="T28" s="173"/>
      <c r="U28" s="173"/>
      <c r="V28" s="173"/>
      <c r="W28" s="174"/>
      <c r="X28" s="142"/>
    </row>
    <row r="29" spans="2:24" s="33" customFormat="1" ht="54.75" customHeight="1">
      <c r="B29" s="196" t="s">
        <v>51</v>
      </c>
      <c r="C29" s="188"/>
      <c r="D29" s="175"/>
      <c r="E29" s="175"/>
      <c r="F29" s="175"/>
      <c r="G29" s="175"/>
      <c r="H29" s="175"/>
      <c r="I29" s="175"/>
      <c r="J29" s="175"/>
      <c r="K29" s="175"/>
      <c r="L29" s="175"/>
      <c r="M29" s="175"/>
      <c r="N29" s="175"/>
      <c r="O29" s="175"/>
      <c r="P29" s="175"/>
      <c r="Q29" s="175"/>
      <c r="R29" s="175"/>
      <c r="S29" s="175"/>
      <c r="T29" s="175"/>
      <c r="U29" s="175"/>
      <c r="V29" s="175"/>
      <c r="W29" s="176"/>
      <c r="X29" s="161"/>
    </row>
    <row r="30" spans="2:24" ht="12.75">
      <c r="B30" s="162" t="s">
        <v>3</v>
      </c>
      <c r="C30" s="187"/>
      <c r="D30" s="179">
        <f>(0.5*(C28)*'RT-Nd'!G45)*'ERR and Sensitivity Analysis'!D20</f>
        <v>20211890000</v>
      </c>
      <c r="E30" s="177">
        <f>(0.5*C28*'RT-Nd'!G45)*'ERR and Sensitivity Analysis'!D20</f>
        <v>20211890000</v>
      </c>
      <c r="F30" s="173"/>
      <c r="G30" s="173"/>
      <c r="H30" s="173"/>
      <c r="I30" s="173"/>
      <c r="J30" s="173"/>
      <c r="K30" s="173"/>
      <c r="L30" s="173"/>
      <c r="M30" s="173"/>
      <c r="N30" s="173"/>
      <c r="O30" s="173"/>
      <c r="P30" s="173"/>
      <c r="Q30" s="173"/>
      <c r="R30" s="173"/>
      <c r="S30" s="173"/>
      <c r="T30" s="173"/>
      <c r="U30" s="173"/>
      <c r="V30" s="173"/>
      <c r="W30" s="174"/>
      <c r="X30" s="142"/>
    </row>
    <row r="31" spans="2:24" ht="12.75">
      <c r="B31" s="162" t="s">
        <v>138</v>
      </c>
      <c r="C31" s="187"/>
      <c r="D31" s="179">
        <f>0*'ERR and Sensitivity Analysis'!D21</f>
        <v>0</v>
      </c>
      <c r="E31" s="179">
        <f>0*'ERR and Sensitivity Analysis'!E21</f>
        <v>0</v>
      </c>
      <c r="F31" s="177">
        <f>4147146000*'ERR and Sensitivity Analysis'!D21</f>
        <v>4147146000</v>
      </c>
      <c r="G31" s="177">
        <f>4599558000*'ERR and Sensitivity Analysis'!D21</f>
        <v>4599558000</v>
      </c>
      <c r="H31" s="177">
        <f>5168139000*'ERR and Sensitivity Analysis'!D21</f>
        <v>5168139000</v>
      </c>
      <c r="I31" s="177">
        <f>9496331250*'ERR and Sensitivity Analysis'!D21</f>
        <v>9496331250</v>
      </c>
      <c r="J31" s="177">
        <f>6098300000*'ERR and Sensitivity Analysis'!D21</f>
        <v>6098300000</v>
      </c>
      <c r="K31" s="177">
        <f>6467337000*'ERR and Sensitivity Analysis'!D21</f>
        <v>6467337000</v>
      </c>
      <c r="L31" s="177">
        <f>6862339000*'ERR and Sensitivity Analysis'!D21</f>
        <v>6862339000</v>
      </c>
      <c r="M31" s="177">
        <f>7283883000*'ERR and Sensitivity Analysis'!D21</f>
        <v>7283883000</v>
      </c>
      <c r="N31" s="177">
        <f>7733155000*'ERR and Sensitivity Analysis'!D21</f>
        <v>7733155000</v>
      </c>
      <c r="O31" s="177">
        <f>15415000000*'ERR and Sensitivity Analysis'!D21</f>
        <v>15415000000</v>
      </c>
      <c r="P31" s="177">
        <f>1053114000*'ERR and Sensitivity Analysis'!D21</f>
        <v>1053114000</v>
      </c>
      <c r="Q31" s="177">
        <f>1085743000*'ERR and Sensitivity Analysis'!D21</f>
        <v>1085743000</v>
      </c>
      <c r="R31" s="177">
        <f>1111581000*'ERR and Sensitivity Analysis'!D21</f>
        <v>1111581000</v>
      </c>
      <c r="S31" s="177">
        <f>1133414000*'ERR and Sensitivity Analysis'!D21</f>
        <v>1133414000</v>
      </c>
      <c r="T31" s="177">
        <f>1145748000*'ERR and Sensitivity Analysis'!D21</f>
        <v>1145748000</v>
      </c>
      <c r="U31" s="177">
        <f>1148790000*'ERR and Sensitivity Analysis'!D21</f>
        <v>1148790000</v>
      </c>
      <c r="V31" s="177">
        <f>1156260000*'ERR and Sensitivity Analysis'!D21</f>
        <v>1156260000</v>
      </c>
      <c r="W31" s="178">
        <f>7406000000*'ERR and Sensitivity Analysis'!D21</f>
        <v>7406000000</v>
      </c>
      <c r="X31" s="142"/>
    </row>
    <row r="32" spans="2:24" ht="12.75">
      <c r="B32" s="168" t="s">
        <v>139</v>
      </c>
      <c r="C32" s="192"/>
      <c r="D32" s="179">
        <f>D31-D30</f>
        <v>-20211890000</v>
      </c>
      <c r="E32" s="177">
        <f aca="true" t="shared" si="3" ref="E32:W32">E31-E30</f>
        <v>-20211890000</v>
      </c>
      <c r="F32" s="177">
        <f t="shared" si="3"/>
        <v>4147146000</v>
      </c>
      <c r="G32" s="177">
        <f t="shared" si="3"/>
        <v>4599558000</v>
      </c>
      <c r="H32" s="177">
        <f t="shared" si="3"/>
        <v>5168139000</v>
      </c>
      <c r="I32" s="177">
        <f t="shared" si="3"/>
        <v>9496331250</v>
      </c>
      <c r="J32" s="177">
        <f t="shared" si="3"/>
        <v>6098300000</v>
      </c>
      <c r="K32" s="177">
        <f t="shared" si="3"/>
        <v>6467337000</v>
      </c>
      <c r="L32" s="177">
        <f t="shared" si="3"/>
        <v>6862339000</v>
      </c>
      <c r="M32" s="177">
        <f t="shared" si="3"/>
        <v>7283883000</v>
      </c>
      <c r="N32" s="177">
        <f t="shared" si="3"/>
        <v>7733155000</v>
      </c>
      <c r="O32" s="177">
        <f t="shared" si="3"/>
        <v>15415000000</v>
      </c>
      <c r="P32" s="177">
        <f t="shared" si="3"/>
        <v>1053114000</v>
      </c>
      <c r="Q32" s="177">
        <f t="shared" si="3"/>
        <v>1085743000</v>
      </c>
      <c r="R32" s="177">
        <f t="shared" si="3"/>
        <v>1111581000</v>
      </c>
      <c r="S32" s="177">
        <f t="shared" si="3"/>
        <v>1133414000</v>
      </c>
      <c r="T32" s="177">
        <f t="shared" si="3"/>
        <v>1145748000</v>
      </c>
      <c r="U32" s="177">
        <f t="shared" si="3"/>
        <v>1148790000</v>
      </c>
      <c r="V32" s="177">
        <f t="shared" si="3"/>
        <v>1156260000</v>
      </c>
      <c r="W32" s="178">
        <f t="shared" si="3"/>
        <v>7406000000</v>
      </c>
      <c r="X32" s="142"/>
    </row>
    <row r="33" spans="2:24" ht="12.75">
      <c r="B33" s="157"/>
      <c r="C33" s="187"/>
      <c r="D33" s="172"/>
      <c r="E33" s="173"/>
      <c r="F33" s="173"/>
      <c r="G33" s="173"/>
      <c r="H33" s="173"/>
      <c r="I33" s="173"/>
      <c r="J33" s="173"/>
      <c r="K33" s="173"/>
      <c r="L33" s="173"/>
      <c r="M33" s="173"/>
      <c r="N33" s="173"/>
      <c r="O33" s="173"/>
      <c r="P33" s="173"/>
      <c r="Q33" s="173"/>
      <c r="R33" s="173"/>
      <c r="S33" s="173"/>
      <c r="T33" s="173"/>
      <c r="U33" s="173"/>
      <c r="V33" s="173"/>
      <c r="W33" s="174"/>
      <c r="X33" s="142"/>
    </row>
    <row r="34" spans="2:24" ht="12.75">
      <c r="B34" s="198" t="s">
        <v>10</v>
      </c>
      <c r="C34" s="193">
        <f>IRR(D32:W32,0.1)</f>
        <v>0.10933311656180056</v>
      </c>
      <c r="D34" s="180"/>
      <c r="E34" s="173"/>
      <c r="F34" s="173"/>
      <c r="G34" s="173"/>
      <c r="H34" s="173"/>
      <c r="I34" s="173"/>
      <c r="J34" s="173"/>
      <c r="K34" s="173"/>
      <c r="L34" s="173"/>
      <c r="M34" s="173"/>
      <c r="N34" s="173"/>
      <c r="O34" s="173"/>
      <c r="P34" s="173"/>
      <c r="Q34" s="173"/>
      <c r="R34" s="173"/>
      <c r="S34" s="173"/>
      <c r="T34" s="173"/>
      <c r="U34" s="173"/>
      <c r="V34" s="173"/>
      <c r="W34" s="174"/>
      <c r="X34" s="142"/>
    </row>
    <row r="35" spans="2:24" ht="12.75">
      <c r="B35" s="199" t="s">
        <v>183</v>
      </c>
      <c r="C35" s="194">
        <f>NPV(0.1,D32:W32)</f>
        <v>2062388476.220422</v>
      </c>
      <c r="D35" s="184"/>
      <c r="E35" s="185"/>
      <c r="F35" s="185"/>
      <c r="G35" s="185"/>
      <c r="H35" s="185"/>
      <c r="I35" s="185"/>
      <c r="J35" s="185"/>
      <c r="K35" s="185"/>
      <c r="L35" s="185"/>
      <c r="M35" s="185"/>
      <c r="N35" s="185"/>
      <c r="O35" s="185"/>
      <c r="P35" s="185"/>
      <c r="Q35" s="185"/>
      <c r="R35" s="185"/>
      <c r="S35" s="185"/>
      <c r="T35" s="185"/>
      <c r="U35" s="185"/>
      <c r="V35" s="185"/>
      <c r="W35" s="186"/>
      <c r="X35" s="142"/>
    </row>
    <row r="36" ht="12.75">
      <c r="C36" s="144"/>
    </row>
    <row r="37" ht="12.75">
      <c r="C37" s="142"/>
    </row>
    <row r="38" ht="12.75">
      <c r="C38" s="142"/>
    </row>
    <row r="39" ht="12.75">
      <c r="C39" s="142"/>
    </row>
    <row r="40" ht="12.75">
      <c r="C40" s="142"/>
    </row>
    <row r="41" ht="12.75">
      <c r="C41" s="142"/>
    </row>
    <row r="42" ht="12.75">
      <c r="C42" s="142"/>
    </row>
    <row r="43" ht="12.75">
      <c r="C43" s="142"/>
    </row>
    <row r="44" ht="12.75">
      <c r="C44" s="142"/>
    </row>
    <row r="45" ht="12.75">
      <c r="C45" s="142"/>
    </row>
    <row r="46" ht="12.75">
      <c r="C46" s="142"/>
    </row>
    <row r="47" ht="12.75">
      <c r="C47" s="142"/>
    </row>
    <row r="48" ht="12.75">
      <c r="C48" s="142"/>
    </row>
    <row r="49" ht="12.75">
      <c r="C49" s="142"/>
    </row>
    <row r="50" ht="12.75">
      <c r="C50" s="142"/>
    </row>
    <row r="51" ht="12.75">
      <c r="C51" s="142"/>
    </row>
    <row r="52" ht="12.75">
      <c r="C52" s="142"/>
    </row>
    <row r="53" ht="12.75">
      <c r="C53" s="142"/>
    </row>
    <row r="54" ht="12.75">
      <c r="C54" s="146"/>
    </row>
    <row r="55" ht="12.75">
      <c r="C55" s="143"/>
    </row>
    <row r="56" ht="12.75">
      <c r="C56" s="143"/>
    </row>
    <row r="57" ht="12.75">
      <c r="C57" s="142"/>
    </row>
    <row r="58" ht="12.75">
      <c r="C58" s="142"/>
    </row>
    <row r="59" ht="12.75">
      <c r="C59" s="142"/>
    </row>
    <row r="60" ht="12.75">
      <c r="C60" s="142"/>
    </row>
  </sheetData>
  <sheetProtection/>
  <mergeCells count="3">
    <mergeCell ref="C2:I2"/>
    <mergeCell ref="C3:I3"/>
    <mergeCell ref="G4:I4"/>
  </mergeCells>
  <printOptions/>
  <pageMargins left="0.4" right="0.4" top="0.75" bottom="0.75" header="0.3" footer="0.3"/>
  <pageSetup horizontalDpi="200" verticalDpi="200" orientation="landscape" paperSize="8" r:id="rId1"/>
</worksheet>
</file>

<file path=xl/worksheets/sheet5.xml><?xml version="1.0" encoding="utf-8"?>
<worksheet xmlns="http://schemas.openxmlformats.org/spreadsheetml/2006/main" xmlns:r="http://schemas.openxmlformats.org/officeDocument/2006/relationships">
  <sheetPr codeName="Sheet5"/>
  <dimension ref="A1:AU152"/>
  <sheetViews>
    <sheetView zoomScalePageLayoutView="0" workbookViewId="0" topLeftCell="A47">
      <selection activeCell="A108" sqref="A108:A109"/>
    </sheetView>
  </sheetViews>
  <sheetFormatPr defaultColWidth="9.140625" defaultRowHeight="12.75"/>
  <cols>
    <col min="1" max="1" width="63.421875" style="0" customWidth="1"/>
    <col min="2" max="2" width="9.7109375" style="0" customWidth="1"/>
    <col min="3" max="3" width="8.7109375" style="0" customWidth="1"/>
    <col min="4" max="4" width="10.28125" style="0" customWidth="1"/>
    <col min="5" max="5" width="9.8515625" style="0" customWidth="1"/>
    <col min="6" max="6" width="14.140625" style="0" customWidth="1"/>
    <col min="7" max="7" width="10.28125" style="0" customWidth="1"/>
    <col min="8" max="8" width="18.7109375" style="0" bestFit="1" customWidth="1"/>
    <col min="9" max="9" width="6.00390625" style="0" bestFit="1" customWidth="1"/>
    <col min="10" max="10" width="7.00390625" style="0" bestFit="1" customWidth="1"/>
    <col min="11" max="11" width="6.00390625" style="0" bestFit="1" customWidth="1"/>
    <col min="13" max="21" width="6.00390625" style="0" bestFit="1" customWidth="1"/>
  </cols>
  <sheetData>
    <row r="1" ht="15">
      <c r="A1" s="23" t="s">
        <v>99</v>
      </c>
    </row>
    <row r="2" ht="15">
      <c r="A2" s="23" t="s">
        <v>0</v>
      </c>
    </row>
    <row r="3" ht="15">
      <c r="A3" s="23" t="s">
        <v>100</v>
      </c>
    </row>
    <row r="4" ht="15">
      <c r="A4" s="23" t="s">
        <v>1</v>
      </c>
    </row>
    <row r="5" ht="15">
      <c r="A5" s="23" t="s">
        <v>101</v>
      </c>
    </row>
    <row r="6" spans="2:8" ht="63.75">
      <c r="B6" t="s">
        <v>19</v>
      </c>
      <c r="D6" s="11" t="s">
        <v>23</v>
      </c>
      <c r="E6" s="22" t="s">
        <v>55</v>
      </c>
      <c r="F6" s="22" t="s">
        <v>53</v>
      </c>
      <c r="G6" s="22" t="s">
        <v>54</v>
      </c>
      <c r="H6" s="21" t="s">
        <v>52</v>
      </c>
    </row>
    <row r="7" spans="1:9" ht="12.75">
      <c r="A7" t="s">
        <v>21</v>
      </c>
      <c r="B7" s="6">
        <v>139.5</v>
      </c>
      <c r="D7" s="1">
        <v>22888000000</v>
      </c>
      <c r="E7" s="1">
        <f>D7/485</f>
        <v>47191752.577319585</v>
      </c>
      <c r="F7" s="1">
        <f>D7/485/0.8</f>
        <v>58989690.721649475</v>
      </c>
      <c r="G7" s="1">
        <f>D7/0.8</f>
        <v>28610000000</v>
      </c>
      <c r="H7" s="1">
        <f>B7*B$52</f>
        <v>96892050</v>
      </c>
      <c r="I7" s="18">
        <f>H7/F7</f>
        <v>1.642525139811255</v>
      </c>
    </row>
    <row r="8" spans="1:14" ht="12.75">
      <c r="A8" t="s">
        <v>20</v>
      </c>
      <c r="B8" s="15">
        <v>120</v>
      </c>
      <c r="D8" s="4">
        <f>C15+D15</f>
        <v>19692000000</v>
      </c>
      <c r="E8" s="4">
        <f>D8/485</f>
        <v>40602061.8556701</v>
      </c>
      <c r="F8" s="4">
        <f>D8/485/0.8</f>
        <v>50752577.319587626</v>
      </c>
      <c r="G8" s="4">
        <f>D8/0.8</f>
        <v>24615000000</v>
      </c>
      <c r="H8" s="1">
        <f>B8*B$52</f>
        <v>83348000</v>
      </c>
      <c r="I8" s="18">
        <f>H8/F8</f>
        <v>1.6422417225269146</v>
      </c>
      <c r="J8" s="1">
        <f>NPV(0.12,C18:V18)</f>
        <v>132458433130.51079</v>
      </c>
      <c r="L8" t="s">
        <v>146</v>
      </c>
      <c r="N8" s="18">
        <f>(0.123*209+0.109*73)/(209+73)</f>
        <v>0.1193758865248227</v>
      </c>
    </row>
    <row r="9" spans="2:10" ht="12.75">
      <c r="B9" s="6">
        <f>SUM(B7:B8)</f>
        <v>259.5</v>
      </c>
      <c r="D9" s="1">
        <f>SUM(D7:D8)</f>
        <v>42580000000</v>
      </c>
      <c r="E9" s="1">
        <f>SUM(E7:E8)</f>
        <v>87793814.43298969</v>
      </c>
      <c r="F9" s="1">
        <f>SUM(F7:F8)</f>
        <v>109742268.0412371</v>
      </c>
      <c r="G9" s="1">
        <f>SUM(G7:G8)</f>
        <v>53225000000</v>
      </c>
      <c r="H9" s="1">
        <f>SUM(H7:H8)</f>
        <v>180240050</v>
      </c>
      <c r="J9" s="1">
        <f>NPV(0.12,C25:V25)</f>
        <v>131661287162.08162</v>
      </c>
    </row>
    <row r="10" ht="12.75">
      <c r="A10" t="s">
        <v>22</v>
      </c>
    </row>
    <row r="11" spans="1:3" ht="12.75">
      <c r="A11" t="s">
        <v>153</v>
      </c>
      <c r="C11" t="s">
        <v>35</v>
      </c>
    </row>
    <row r="12" spans="1:22" ht="12.75">
      <c r="A12" t="s">
        <v>1</v>
      </c>
      <c r="C12">
        <v>1</v>
      </c>
      <c r="D12">
        <v>2</v>
      </c>
      <c r="E12">
        <v>3</v>
      </c>
      <c r="F12">
        <v>4</v>
      </c>
      <c r="G12">
        <v>5</v>
      </c>
      <c r="H12">
        <v>6</v>
      </c>
      <c r="I12">
        <v>7</v>
      </c>
      <c r="J12">
        <v>8</v>
      </c>
      <c r="K12">
        <v>9</v>
      </c>
      <c r="L12">
        <v>10</v>
      </c>
      <c r="M12">
        <v>11</v>
      </c>
      <c r="N12">
        <v>12</v>
      </c>
      <c r="O12">
        <v>13</v>
      </c>
      <c r="P12">
        <v>14</v>
      </c>
      <c r="Q12">
        <v>15</v>
      </c>
      <c r="R12">
        <v>16</v>
      </c>
      <c r="S12">
        <v>17</v>
      </c>
      <c r="T12">
        <v>18</v>
      </c>
      <c r="U12">
        <v>19</v>
      </c>
      <c r="V12">
        <v>20</v>
      </c>
    </row>
    <row r="13" spans="1:22" ht="12.75">
      <c r="A13" t="s">
        <v>2</v>
      </c>
      <c r="C13">
        <v>2010</v>
      </c>
      <c r="D13">
        <v>2011</v>
      </c>
      <c r="E13">
        <v>2012</v>
      </c>
      <c r="F13">
        <v>2013</v>
      </c>
      <c r="G13">
        <v>2014</v>
      </c>
      <c r="H13">
        <v>2015</v>
      </c>
      <c r="I13">
        <v>2016</v>
      </c>
      <c r="J13">
        <v>2017</v>
      </c>
      <c r="K13">
        <v>2018</v>
      </c>
      <c r="L13">
        <v>2019</v>
      </c>
      <c r="M13">
        <v>2020</v>
      </c>
      <c r="N13">
        <v>2021</v>
      </c>
      <c r="O13">
        <v>2022</v>
      </c>
      <c r="P13">
        <v>2023</v>
      </c>
      <c r="Q13">
        <v>2024</v>
      </c>
      <c r="R13">
        <v>2025</v>
      </c>
      <c r="S13">
        <v>2026</v>
      </c>
      <c r="T13">
        <v>2027</v>
      </c>
      <c r="U13">
        <v>2028</v>
      </c>
      <c r="V13">
        <v>2029</v>
      </c>
    </row>
    <row r="14" ht="12.75">
      <c r="A14" t="s">
        <v>4</v>
      </c>
    </row>
    <row r="15" spans="1:29" ht="12.75">
      <c r="A15" t="s">
        <v>3</v>
      </c>
      <c r="C15" s="1">
        <v>9846000000</v>
      </c>
      <c r="D15" s="1">
        <v>9846000000</v>
      </c>
      <c r="F15" s="1"/>
      <c r="G15" s="1"/>
      <c r="H15" s="1"/>
      <c r="I15" s="1"/>
      <c r="J15" s="1"/>
      <c r="K15" s="1"/>
      <c r="L15" s="1"/>
      <c r="M15" s="1"/>
      <c r="N15" s="1"/>
      <c r="O15" s="1"/>
      <c r="P15" s="1"/>
      <c r="Q15" s="1"/>
      <c r="R15" s="1"/>
      <c r="S15" s="1"/>
      <c r="T15" s="1"/>
      <c r="U15" s="1"/>
      <c r="V15" s="1"/>
      <c r="W15" s="1"/>
      <c r="X15" s="1"/>
      <c r="Y15" s="1"/>
      <c r="Z15" s="1"/>
      <c r="AA15" s="1"/>
      <c r="AB15" s="1"/>
      <c r="AC15" s="1"/>
    </row>
    <row r="16" spans="1:31" ht="12.75">
      <c r="A16" t="s">
        <v>6</v>
      </c>
      <c r="C16" s="1">
        <v>13202405000</v>
      </c>
      <c r="D16" s="1">
        <v>15714162000</v>
      </c>
      <c r="E16" s="1">
        <v>12568235000</v>
      </c>
      <c r="F16" s="1">
        <v>13016823000</v>
      </c>
      <c r="G16" s="1">
        <v>13475977000</v>
      </c>
      <c r="H16" s="1">
        <v>13951694000</v>
      </c>
      <c r="I16" s="1">
        <v>14444696000</v>
      </c>
      <c r="J16" s="1">
        <v>14955785000</v>
      </c>
      <c r="K16" s="1">
        <v>15485876000</v>
      </c>
      <c r="L16" s="1">
        <v>16036041000</v>
      </c>
      <c r="M16" s="1">
        <v>16607569000</v>
      </c>
      <c r="N16" s="1">
        <v>17202039000</v>
      </c>
      <c r="O16" s="1">
        <v>17821446000</v>
      </c>
      <c r="P16" s="1">
        <v>18468363000</v>
      </c>
      <c r="Q16" s="1">
        <v>19146201000</v>
      </c>
      <c r="R16" s="1">
        <v>19859536000</v>
      </c>
      <c r="S16" s="1">
        <v>20616042000</v>
      </c>
      <c r="T16" s="1">
        <v>21418179000</v>
      </c>
      <c r="U16" s="1">
        <v>22253238000</v>
      </c>
      <c r="V16" s="1">
        <v>23125750000</v>
      </c>
      <c r="W16" s="1"/>
      <c r="X16" s="1"/>
      <c r="Y16" s="1"/>
      <c r="Z16" s="1"/>
      <c r="AA16" s="1"/>
      <c r="AB16" s="1"/>
      <c r="AC16" s="1"/>
      <c r="AD16" s="1"/>
      <c r="AE16" s="1"/>
    </row>
    <row r="17" spans="1:31" ht="12.75">
      <c r="A17" t="s">
        <v>7</v>
      </c>
      <c r="C17" s="4">
        <v>329145000</v>
      </c>
      <c r="D17" s="4">
        <v>391765000</v>
      </c>
      <c r="E17" s="4">
        <v>225083000</v>
      </c>
      <c r="F17" s="4">
        <v>233011000</v>
      </c>
      <c r="G17" s="4">
        <v>241186000</v>
      </c>
      <c r="H17" s="4">
        <v>249650000</v>
      </c>
      <c r="I17" s="4">
        <f>H17*1.0351</f>
        <v>258412714.99999997</v>
      </c>
      <c r="J17" s="4">
        <f aca="true" t="shared" si="0" ref="J17:V17">I17*1.0351</f>
        <v>267483001.29649994</v>
      </c>
      <c r="K17" s="4">
        <f t="shared" si="0"/>
        <v>276871654.64200705</v>
      </c>
      <c r="L17" s="4">
        <f t="shared" si="0"/>
        <v>286589849.7199415</v>
      </c>
      <c r="M17" s="4">
        <f t="shared" si="0"/>
        <v>296649153.4451114</v>
      </c>
      <c r="N17" s="4">
        <f t="shared" si="0"/>
        <v>307061538.73103476</v>
      </c>
      <c r="O17" s="4">
        <f t="shared" si="0"/>
        <v>317839398.7404941</v>
      </c>
      <c r="P17" s="4">
        <f t="shared" si="0"/>
        <v>328995561.63628536</v>
      </c>
      <c r="Q17" s="4">
        <f t="shared" si="0"/>
        <v>340543305.8497189</v>
      </c>
      <c r="R17" s="4">
        <f t="shared" si="0"/>
        <v>352496375.88504404</v>
      </c>
      <c r="S17" s="4">
        <f t="shared" si="0"/>
        <v>364868998.6786091</v>
      </c>
      <c r="T17" s="4">
        <f t="shared" si="0"/>
        <v>377675900.53222823</v>
      </c>
      <c r="U17" s="4">
        <f t="shared" si="0"/>
        <v>390932324.64090943</v>
      </c>
      <c r="V17" s="4">
        <f t="shared" si="0"/>
        <v>404654049.23580533</v>
      </c>
      <c r="W17" s="1"/>
      <c r="X17" s="1"/>
      <c r="Y17" s="1"/>
      <c r="Z17" s="1"/>
      <c r="AA17" s="1"/>
      <c r="AB17" s="1"/>
      <c r="AC17" s="1"/>
      <c r="AD17" s="1"/>
      <c r="AE17" s="1"/>
    </row>
    <row r="18" spans="3:31" ht="12.75">
      <c r="C18" s="1">
        <f>SUM(C15:C17)</f>
        <v>23377550000</v>
      </c>
      <c r="D18" s="1">
        <f aca="true" t="shared" si="1" ref="D18:U18">SUM(D15:D17)</f>
        <v>25951927000</v>
      </c>
      <c r="E18" s="1">
        <f t="shared" si="1"/>
        <v>12793318000</v>
      </c>
      <c r="F18" s="1">
        <f t="shared" si="1"/>
        <v>13249834000</v>
      </c>
      <c r="G18" s="1">
        <f t="shared" si="1"/>
        <v>13717163000</v>
      </c>
      <c r="H18" s="1">
        <f t="shared" si="1"/>
        <v>14201344000</v>
      </c>
      <c r="I18" s="1">
        <f t="shared" si="1"/>
        <v>14703108715</v>
      </c>
      <c r="J18" s="1">
        <f t="shared" si="1"/>
        <v>15223268001.2965</v>
      </c>
      <c r="K18" s="1">
        <f t="shared" si="1"/>
        <v>15762747654.642008</v>
      </c>
      <c r="L18" s="1">
        <f t="shared" si="1"/>
        <v>16322630849.719942</v>
      </c>
      <c r="M18" s="1">
        <f t="shared" si="1"/>
        <v>16904218153.445112</v>
      </c>
      <c r="N18" s="1">
        <f t="shared" si="1"/>
        <v>17509100538.731033</v>
      </c>
      <c r="O18" s="1">
        <f t="shared" si="1"/>
        <v>18139285398.740494</v>
      </c>
      <c r="P18" s="1">
        <f t="shared" si="1"/>
        <v>18797358561.636284</v>
      </c>
      <c r="Q18" s="1">
        <f t="shared" si="1"/>
        <v>19486744305.84972</v>
      </c>
      <c r="R18" s="1">
        <f t="shared" si="1"/>
        <v>20212032375.885044</v>
      </c>
      <c r="S18" s="1">
        <f t="shared" si="1"/>
        <v>20980910998.678608</v>
      </c>
      <c r="T18" s="1">
        <f t="shared" si="1"/>
        <v>21795854900.532227</v>
      </c>
      <c r="U18" s="1">
        <f t="shared" si="1"/>
        <v>22644170324.64091</v>
      </c>
      <c r="V18" s="1">
        <f>SUM(V15:V17)-5013889000</f>
        <v>18516515049.235806</v>
      </c>
      <c r="W18" s="1">
        <f>SUM(C18:V18)</f>
        <v>360289081828.0337</v>
      </c>
      <c r="X18" s="1"/>
      <c r="Y18" s="1"/>
      <c r="Z18" s="1"/>
      <c r="AA18" s="1"/>
      <c r="AB18" s="1"/>
      <c r="AC18" s="1"/>
      <c r="AD18" s="1"/>
      <c r="AE18" s="1"/>
    </row>
    <row r="19" spans="1:31" ht="12.75">
      <c r="A19" t="s">
        <v>34</v>
      </c>
      <c r="C19" s="1"/>
      <c r="D19" s="1"/>
      <c r="E19" s="1"/>
      <c r="F19" s="3"/>
      <c r="G19" s="3"/>
      <c r="H19" s="3"/>
      <c r="I19" s="3"/>
      <c r="J19" s="1"/>
      <c r="K19" s="1"/>
      <c r="L19" s="1"/>
      <c r="M19" s="1"/>
      <c r="N19" s="1"/>
      <c r="O19" s="1"/>
      <c r="P19" s="1"/>
      <c r="Q19" s="1"/>
      <c r="R19" s="1"/>
      <c r="S19" s="1"/>
      <c r="T19" s="1"/>
      <c r="U19" s="1"/>
      <c r="V19" s="1"/>
      <c r="W19" s="1"/>
      <c r="X19" s="1"/>
      <c r="Y19" s="1"/>
      <c r="Z19" s="1"/>
      <c r="AA19" s="1"/>
      <c r="AB19" s="1"/>
      <c r="AC19" s="1"/>
      <c r="AD19" s="1"/>
      <c r="AE19" s="1"/>
    </row>
    <row r="20" ht="12.75">
      <c r="A20" t="s">
        <v>5</v>
      </c>
    </row>
    <row r="21" spans="1:46" ht="12.75">
      <c r="A21" t="s">
        <v>3</v>
      </c>
      <c r="H21" s="1">
        <f>2880000000+5065000</f>
        <v>2885065000</v>
      </c>
      <c r="I21" s="1"/>
      <c r="J21" s="1"/>
      <c r="K21" s="1"/>
      <c r="L21" s="1"/>
      <c r="M21" s="1"/>
      <c r="N21" s="1">
        <v>5760000000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t="s">
        <v>8</v>
      </c>
      <c r="C22" s="1">
        <v>840000</v>
      </c>
      <c r="D22" s="1">
        <v>840000</v>
      </c>
      <c r="E22" s="1">
        <v>840000</v>
      </c>
      <c r="F22" s="1">
        <v>840000</v>
      </c>
      <c r="G22" s="1">
        <v>840000</v>
      </c>
      <c r="H22" s="1">
        <v>5065000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7" ht="12.75">
      <c r="A23" t="s">
        <v>6</v>
      </c>
      <c r="C23" s="1">
        <v>13202405000</v>
      </c>
      <c r="D23" s="1">
        <v>13883484000</v>
      </c>
      <c r="E23" s="1">
        <v>14623232000</v>
      </c>
      <c r="F23" s="1">
        <v>15423418000</v>
      </c>
      <c r="G23" s="1">
        <v>16337253000</v>
      </c>
      <c r="H23" s="1">
        <v>17403509000</v>
      </c>
      <c r="I23" s="1">
        <v>18018550000</v>
      </c>
      <c r="J23" s="1">
        <v>18794330000</v>
      </c>
      <c r="K23" s="1">
        <v>19609868000</v>
      </c>
      <c r="L23" s="1">
        <v>20466563000</v>
      </c>
      <c r="M23" s="1">
        <v>21366569000</v>
      </c>
      <c r="N23" s="1">
        <v>22315966000</v>
      </c>
      <c r="O23" s="1">
        <v>16263018000</v>
      </c>
      <c r="P23" s="1">
        <v>16848480000</v>
      </c>
      <c r="Q23" s="1">
        <v>17454275000</v>
      </c>
      <c r="R23" s="1">
        <v>18086945000</v>
      </c>
      <c r="S23" s="1">
        <v>18748056000</v>
      </c>
      <c r="T23" s="1">
        <v>19439927000</v>
      </c>
      <c r="U23" s="1">
        <v>20164266000</v>
      </c>
      <c r="V23" s="1">
        <v>20917211000</v>
      </c>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2.75">
      <c r="A24" t="s">
        <v>7</v>
      </c>
      <c r="C24" s="4">
        <v>329145000</v>
      </c>
      <c r="D24" s="4">
        <v>342940000</v>
      </c>
      <c r="E24" s="4">
        <v>358422000</v>
      </c>
      <c r="F24" s="4">
        <v>376053000</v>
      </c>
      <c r="G24" s="4">
        <v>397505000</v>
      </c>
      <c r="H24" s="4">
        <v>424812000</v>
      </c>
      <c r="I24" s="4">
        <v>439599000</v>
      </c>
      <c r="J24" s="4">
        <v>459424000</v>
      </c>
      <c r="K24" s="4">
        <v>480446000</v>
      </c>
      <c r="L24" s="4">
        <v>502746000</v>
      </c>
      <c r="M24" s="4">
        <v>526407000</v>
      </c>
      <c r="N24" s="4">
        <v>551642000</v>
      </c>
      <c r="O24" s="4">
        <v>489972000</v>
      </c>
      <c r="P24" s="4">
        <v>507119000</v>
      </c>
      <c r="Q24" s="4">
        <v>524869000</v>
      </c>
      <c r="R24" s="4">
        <v>543241000</v>
      </c>
      <c r="S24" s="4">
        <v>562256000</v>
      </c>
      <c r="T24" s="4">
        <v>581936000</v>
      </c>
      <c r="U24" s="4">
        <v>602306000</v>
      </c>
      <c r="V24" s="4">
        <v>623388000</v>
      </c>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3:47" ht="12.75">
      <c r="C25" s="1">
        <f>SUM(C21:C24)</f>
        <v>13532390000</v>
      </c>
      <c r="D25" s="1">
        <f aca="true" t="shared" si="2" ref="D25:V25">SUM(D21:D24)</f>
        <v>14227264000</v>
      </c>
      <c r="E25" s="1">
        <f t="shared" si="2"/>
        <v>14982494000</v>
      </c>
      <c r="F25" s="1">
        <f t="shared" si="2"/>
        <v>15800311000</v>
      </c>
      <c r="G25" s="1">
        <f t="shared" si="2"/>
        <v>16735598000</v>
      </c>
      <c r="H25" s="1">
        <f t="shared" si="2"/>
        <v>20718451000</v>
      </c>
      <c r="I25" s="1">
        <f t="shared" si="2"/>
        <v>18458149000</v>
      </c>
      <c r="J25" s="1">
        <f t="shared" si="2"/>
        <v>19253754000</v>
      </c>
      <c r="K25" s="1">
        <f t="shared" si="2"/>
        <v>20090314000</v>
      </c>
      <c r="L25" s="1">
        <f t="shared" si="2"/>
        <v>20969309000</v>
      </c>
      <c r="M25" s="1">
        <f t="shared" si="2"/>
        <v>21892976000</v>
      </c>
      <c r="N25" s="1">
        <f t="shared" si="2"/>
        <v>28627608000</v>
      </c>
      <c r="O25" s="1">
        <f t="shared" si="2"/>
        <v>16752990000</v>
      </c>
      <c r="P25" s="1">
        <f t="shared" si="2"/>
        <v>17355599000</v>
      </c>
      <c r="Q25" s="1">
        <f t="shared" si="2"/>
        <v>17979144000</v>
      </c>
      <c r="R25" s="1">
        <f t="shared" si="2"/>
        <v>18630186000</v>
      </c>
      <c r="S25" s="1">
        <f t="shared" si="2"/>
        <v>19310312000</v>
      </c>
      <c r="T25" s="1">
        <f t="shared" si="2"/>
        <v>20021863000</v>
      </c>
      <c r="U25" s="1">
        <f t="shared" si="2"/>
        <v>20766572000</v>
      </c>
      <c r="V25" s="1">
        <f t="shared" si="2"/>
        <v>21540599000</v>
      </c>
      <c r="W25" s="1">
        <f>SUM(C25:V25)</f>
        <v>377645883000</v>
      </c>
      <c r="X25" s="1"/>
      <c r="Y25" s="1"/>
      <c r="Z25" s="1"/>
      <c r="AA25" s="1"/>
      <c r="AB25" s="1"/>
      <c r="AC25" s="1"/>
      <c r="AD25" s="1"/>
      <c r="AE25" s="1"/>
      <c r="AF25" s="1"/>
      <c r="AG25" s="1"/>
      <c r="AH25" s="1"/>
      <c r="AI25" s="1"/>
      <c r="AJ25" s="1"/>
      <c r="AK25" s="1"/>
      <c r="AL25" s="1"/>
      <c r="AM25" s="1"/>
      <c r="AN25" s="1"/>
      <c r="AO25" s="1"/>
      <c r="AP25" s="1"/>
      <c r="AQ25" s="1"/>
      <c r="AR25" s="1"/>
      <c r="AS25" s="1"/>
      <c r="AT25" s="1"/>
      <c r="AU25" s="1"/>
    </row>
    <row r="26" spans="3:47" ht="12.7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2.75">
      <c r="A27" t="s">
        <v>9</v>
      </c>
      <c r="C27" s="1">
        <f>C25-C18</f>
        <v>-9845160000</v>
      </c>
      <c r="D27" s="1">
        <f aca="true" t="shared" si="3" ref="D27:V27">D25-D18</f>
        <v>-11724663000</v>
      </c>
      <c r="E27" s="1">
        <f t="shared" si="3"/>
        <v>2189176000</v>
      </c>
      <c r="F27" s="1">
        <f t="shared" si="3"/>
        <v>2550477000</v>
      </c>
      <c r="G27" s="1">
        <f>G25-G18</f>
        <v>3018435000</v>
      </c>
      <c r="H27" s="1">
        <f t="shared" si="3"/>
        <v>6517107000</v>
      </c>
      <c r="I27" s="1">
        <f t="shared" si="3"/>
        <v>3755040285</v>
      </c>
      <c r="J27" s="1">
        <f t="shared" si="3"/>
        <v>4030485998.7035007</v>
      </c>
      <c r="K27" s="1">
        <f t="shared" si="3"/>
        <v>4327566345.357992</v>
      </c>
      <c r="L27" s="1">
        <f t="shared" si="3"/>
        <v>4646678150.280058</v>
      </c>
      <c r="M27" s="1">
        <f t="shared" si="3"/>
        <v>4988757846.554888</v>
      </c>
      <c r="N27" s="1">
        <f t="shared" si="3"/>
        <v>11118507461.268967</v>
      </c>
      <c r="O27" s="1">
        <f t="shared" si="3"/>
        <v>-1386295398.7404938</v>
      </c>
      <c r="P27" s="1">
        <f t="shared" si="3"/>
        <v>-1441759561.6362839</v>
      </c>
      <c r="Q27" s="1">
        <f t="shared" si="3"/>
        <v>-1507600305.84972</v>
      </c>
      <c r="R27" s="1">
        <f t="shared" si="3"/>
        <v>-1581846375.885044</v>
      </c>
      <c r="S27" s="1">
        <f t="shared" si="3"/>
        <v>-1670598998.678608</v>
      </c>
      <c r="T27" s="1">
        <f t="shared" si="3"/>
        <v>-1773991900.5322266</v>
      </c>
      <c r="U27" s="1">
        <f t="shared" si="3"/>
        <v>-1877598324.640911</v>
      </c>
      <c r="V27" s="1">
        <f t="shared" si="3"/>
        <v>3024083950.7641945</v>
      </c>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ht="12.75">
      <c r="B28" t="s">
        <v>10</v>
      </c>
      <c r="C28" s="2">
        <f>IRR(C27:V27,0.1)</f>
        <v>0.11082835325810825</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3:47" ht="12.75">
      <c r="C29" s="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2.75">
      <c r="A30" s="24" t="s">
        <v>49</v>
      </c>
      <c r="C30" s="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3:47" ht="12.75">
      <c r="C31" t="s">
        <v>35</v>
      </c>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75">
      <c r="A32" s="19"/>
      <c r="C32">
        <v>1</v>
      </c>
      <c r="D32">
        <v>2</v>
      </c>
      <c r="E32">
        <v>3</v>
      </c>
      <c r="F32">
        <v>4</v>
      </c>
      <c r="G32">
        <v>5</v>
      </c>
      <c r="H32">
        <v>6</v>
      </c>
      <c r="I32">
        <v>7</v>
      </c>
      <c r="J32">
        <v>8</v>
      </c>
      <c r="K32">
        <v>9</v>
      </c>
      <c r="L32">
        <v>10</v>
      </c>
      <c r="M32">
        <v>11</v>
      </c>
      <c r="N32">
        <v>12</v>
      </c>
      <c r="O32">
        <v>13</v>
      </c>
      <c r="P32">
        <v>14</v>
      </c>
      <c r="Q32">
        <v>15</v>
      </c>
      <c r="R32">
        <v>16</v>
      </c>
      <c r="S32">
        <v>17</v>
      </c>
      <c r="T32">
        <v>18</v>
      </c>
      <c r="U32">
        <v>19</v>
      </c>
      <c r="V32">
        <v>20</v>
      </c>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3:47" ht="12.75">
      <c r="C33" s="5">
        <v>2010</v>
      </c>
      <c r="D33" s="5">
        <v>2011</v>
      </c>
      <c r="E33" s="5">
        <v>2012</v>
      </c>
      <c r="F33" s="5">
        <v>2013</v>
      </c>
      <c r="G33" s="5">
        <v>2014</v>
      </c>
      <c r="H33" s="5">
        <v>2015</v>
      </c>
      <c r="I33" s="5">
        <v>2016</v>
      </c>
      <c r="J33" s="5">
        <v>2017</v>
      </c>
      <c r="K33" s="5">
        <v>2018</v>
      </c>
      <c r="L33" s="5">
        <v>2019</v>
      </c>
      <c r="M33" s="5">
        <v>2020</v>
      </c>
      <c r="N33" s="5">
        <v>2021</v>
      </c>
      <c r="O33" s="5">
        <v>2022</v>
      </c>
      <c r="P33" s="5">
        <v>2023</v>
      </c>
      <c r="Q33" s="5">
        <v>2024</v>
      </c>
      <c r="R33" s="5">
        <v>2025</v>
      </c>
      <c r="S33" s="5">
        <v>2026</v>
      </c>
      <c r="T33" s="5">
        <v>2027</v>
      </c>
      <c r="U33" s="5">
        <v>2028</v>
      </c>
      <c r="V33" s="5">
        <v>2029</v>
      </c>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75">
      <c r="A34" t="s">
        <v>42</v>
      </c>
      <c r="C34" s="1">
        <f>-9845760000</f>
        <v>-9845760000</v>
      </c>
      <c r="D34" s="1">
        <f>-9607893000</f>
        <v>-9607893000</v>
      </c>
      <c r="E34" s="1">
        <v>4147146000</v>
      </c>
      <c r="F34" s="1">
        <v>4599558000</v>
      </c>
      <c r="G34" s="1">
        <v>5168139000</v>
      </c>
      <c r="H34" s="1">
        <v>8775341000</v>
      </c>
      <c r="I34" s="1">
        <v>6098300000</v>
      </c>
      <c r="J34" s="1">
        <v>6467337000</v>
      </c>
      <c r="K34" s="1">
        <v>6862339000</v>
      </c>
      <c r="L34" s="1">
        <v>7283883000</v>
      </c>
      <c r="M34" s="1">
        <v>7733155000</v>
      </c>
      <c r="N34" s="1">
        <v>13975435000</v>
      </c>
      <c r="O34" s="1">
        <v>1053114000</v>
      </c>
      <c r="P34" s="1">
        <v>1085743000</v>
      </c>
      <c r="Q34" s="1">
        <v>1111581000</v>
      </c>
      <c r="R34" s="1">
        <v>1133414000</v>
      </c>
      <c r="S34" s="1">
        <v>1145748000</v>
      </c>
      <c r="T34" s="1">
        <v>1148790000</v>
      </c>
      <c r="U34" s="1">
        <v>1156260000</v>
      </c>
      <c r="V34" s="1">
        <v>6173661000</v>
      </c>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ht="12.75">
      <c r="B35" t="s">
        <v>10</v>
      </c>
      <c r="C35" s="2">
        <f>IRR(C34:V34,0.01)</f>
        <v>0.24963234062288775</v>
      </c>
      <c r="N35" s="1">
        <f>N34-N21</f>
        <v>8215435000</v>
      </c>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75">
      <c r="A36" s="19" t="s">
        <v>50</v>
      </c>
      <c r="C36" s="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75">
      <c r="A37" s="19"/>
      <c r="C37" t="s">
        <v>35</v>
      </c>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75">
      <c r="A38" s="19"/>
      <c r="C38">
        <v>1</v>
      </c>
      <c r="D38">
        <v>2</v>
      </c>
      <c r="E38">
        <v>3</v>
      </c>
      <c r="F38">
        <v>4</v>
      </c>
      <c r="G38">
        <v>5</v>
      </c>
      <c r="H38">
        <v>6</v>
      </c>
      <c r="I38">
        <v>7</v>
      </c>
      <c r="J38">
        <v>8</v>
      </c>
      <c r="K38">
        <v>9</v>
      </c>
      <c r="L38">
        <v>10</v>
      </c>
      <c r="M38">
        <v>11</v>
      </c>
      <c r="N38">
        <v>12</v>
      </c>
      <c r="O38">
        <v>13</v>
      </c>
      <c r="P38">
        <v>14</v>
      </c>
      <c r="Q38">
        <v>15</v>
      </c>
      <c r="R38">
        <v>16</v>
      </c>
      <c r="S38">
        <v>17</v>
      </c>
      <c r="T38">
        <v>18</v>
      </c>
      <c r="U38">
        <v>19</v>
      </c>
      <c r="V38">
        <v>20</v>
      </c>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75">
      <c r="A39" s="19"/>
      <c r="C39" s="5">
        <v>2010</v>
      </c>
      <c r="D39" s="5">
        <v>2011</v>
      </c>
      <c r="E39" s="5">
        <v>2012</v>
      </c>
      <c r="F39" s="5">
        <v>2013</v>
      </c>
      <c r="G39" s="5">
        <v>2014</v>
      </c>
      <c r="H39" s="5">
        <v>2015</v>
      </c>
      <c r="I39" s="5">
        <v>2016</v>
      </c>
      <c r="J39" s="5">
        <v>2017</v>
      </c>
      <c r="K39" s="5">
        <v>2018</v>
      </c>
      <c r="L39" s="5">
        <v>2019</v>
      </c>
      <c r="M39" s="5">
        <v>2020</v>
      </c>
      <c r="N39" s="5">
        <v>2021</v>
      </c>
      <c r="O39" s="5">
        <v>2022</v>
      </c>
      <c r="P39" s="5">
        <v>2023</v>
      </c>
      <c r="Q39" s="5">
        <v>2024</v>
      </c>
      <c r="R39" s="5">
        <v>2025</v>
      </c>
      <c r="S39" s="5">
        <v>2026</v>
      </c>
      <c r="T39" s="5">
        <v>2027</v>
      </c>
      <c r="U39" s="5">
        <v>2028</v>
      </c>
      <c r="V39" s="5">
        <v>2029</v>
      </c>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2.75">
      <c r="A40" t="s">
        <v>42</v>
      </c>
      <c r="C40" s="1">
        <f>C34/0.8</f>
        <v>-12307200000</v>
      </c>
      <c r="D40" s="1">
        <f>D34/0.8</f>
        <v>-12009866250</v>
      </c>
      <c r="E40" s="1">
        <f>E34</f>
        <v>4147146000</v>
      </c>
      <c r="F40" s="1">
        <f aca="true" t="shared" si="4" ref="F40:M40">F34</f>
        <v>4599558000</v>
      </c>
      <c r="G40" s="1">
        <f t="shared" si="4"/>
        <v>5168139000</v>
      </c>
      <c r="H40" s="1">
        <f>5890000000+H21/0.8</f>
        <v>9496331250</v>
      </c>
      <c r="I40" s="1">
        <f t="shared" si="4"/>
        <v>6098300000</v>
      </c>
      <c r="J40" s="1">
        <f t="shared" si="4"/>
        <v>6467337000</v>
      </c>
      <c r="K40" s="1">
        <f t="shared" si="4"/>
        <v>6862339000</v>
      </c>
      <c r="L40" s="1">
        <f t="shared" si="4"/>
        <v>7283883000</v>
      </c>
      <c r="M40" s="1">
        <f t="shared" si="4"/>
        <v>7733155000</v>
      </c>
      <c r="N40" s="1">
        <f>8215000000+N21/0.8</f>
        <v>15415000000</v>
      </c>
      <c r="O40" s="1">
        <f>O34</f>
        <v>1053114000</v>
      </c>
      <c r="P40" s="1">
        <f aca="true" t="shared" si="5" ref="P40:U40">P34</f>
        <v>1085743000</v>
      </c>
      <c r="Q40" s="1">
        <f t="shared" si="5"/>
        <v>1111581000</v>
      </c>
      <c r="R40" s="1">
        <f t="shared" si="5"/>
        <v>1133414000</v>
      </c>
      <c r="S40" s="1">
        <f t="shared" si="5"/>
        <v>1145748000</v>
      </c>
      <c r="T40" s="1">
        <f t="shared" si="5"/>
        <v>1148790000</v>
      </c>
      <c r="U40" s="1">
        <f t="shared" si="5"/>
        <v>1156260000</v>
      </c>
      <c r="V40" s="1">
        <f>1156000000+5000000000/0.8</f>
        <v>7406000000</v>
      </c>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75">
      <c r="A41" s="19"/>
      <c r="B41" t="s">
        <v>10</v>
      </c>
      <c r="C41" s="2">
        <f>IRR(C40:V40,0.01)</f>
        <v>0.20451146284280552</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2.75">
      <c r="A42" s="24" t="s">
        <v>137</v>
      </c>
      <c r="C42" s="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2.75">
      <c r="A43" t="s">
        <v>26</v>
      </c>
      <c r="C43" s="2"/>
      <c r="D43" s="1"/>
      <c r="E43" s="10"/>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2.75">
      <c r="A44" t="s">
        <v>41</v>
      </c>
      <c r="C44" s="1"/>
      <c r="E44" s="10"/>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2.75">
      <c r="A45" t="s">
        <v>27</v>
      </c>
      <c r="B45" s="17">
        <v>47570000</v>
      </c>
      <c r="C45" s="10">
        <v>1</v>
      </c>
      <c r="D45" s="17">
        <f>B45*C45</f>
        <v>47570000</v>
      </c>
      <c r="E45" s="10"/>
      <c r="F45" s="147" t="s">
        <v>188</v>
      </c>
      <c r="G45" s="145">
        <f>1*'ERR and Sensitivity Analysis'!D24</f>
        <v>485</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75">
      <c r="A46" t="s">
        <v>28</v>
      </c>
      <c r="B46" s="17">
        <v>3799000</v>
      </c>
      <c r="C46" s="10">
        <v>1</v>
      </c>
      <c r="D46" s="17">
        <f>B46*C46</f>
        <v>3799000</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2.75">
      <c r="A47" t="s">
        <v>29</v>
      </c>
      <c r="B47" s="17">
        <f>B46</f>
        <v>3799000</v>
      </c>
      <c r="C47" s="10">
        <v>1</v>
      </c>
      <c r="D47" s="17">
        <f>B47*C47</f>
        <v>3799000</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2.75">
      <c r="A48" t="s">
        <v>30</v>
      </c>
      <c r="B48" s="1">
        <v>0</v>
      </c>
      <c r="C48" s="10">
        <v>1</v>
      </c>
      <c r="D48" s="1">
        <f>B48*C48</f>
        <v>0</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ht="12.75">
      <c r="A49" t="s">
        <v>31</v>
      </c>
      <c r="B49" s="4">
        <v>28180000</v>
      </c>
      <c r="C49" s="10">
        <v>1</v>
      </c>
      <c r="D49" s="4">
        <f>B49*C49</f>
        <v>28180000</v>
      </c>
      <c r="E49" s="3"/>
      <c r="F49" s="3"/>
      <c r="G49" s="9"/>
      <c r="H49" s="3"/>
      <c r="I49" s="3"/>
      <c r="J49" s="3"/>
      <c r="K49" s="3"/>
      <c r="L49" s="3"/>
      <c r="M49" s="3"/>
      <c r="N49" s="3"/>
      <c r="O49" s="3"/>
      <c r="P49" s="3"/>
      <c r="Q49" s="3"/>
      <c r="R49" s="3"/>
      <c r="S49" s="3"/>
      <c r="T49" s="3"/>
      <c r="U49" s="3"/>
      <c r="V49" s="3"/>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1:47" ht="12.75">
      <c r="A50" t="s">
        <v>32</v>
      </c>
      <c r="B50" s="1">
        <f>SUM(B45:B49)</f>
        <v>83348000</v>
      </c>
      <c r="D50" s="1">
        <f>SUM(D45:D49)</f>
        <v>83348000</v>
      </c>
      <c r="E50" s="3"/>
      <c r="F50" s="9"/>
      <c r="G50" s="9"/>
      <c r="H50" s="3"/>
      <c r="I50" s="3"/>
      <c r="J50" s="3"/>
      <c r="K50" s="3"/>
      <c r="L50" s="3"/>
      <c r="M50" s="3"/>
      <c r="N50" s="3"/>
      <c r="O50" s="3"/>
      <c r="P50" s="3"/>
      <c r="Q50" s="3"/>
      <c r="R50" s="3"/>
      <c r="S50" s="3"/>
      <c r="T50" s="3"/>
      <c r="U50" s="3"/>
      <c r="V50" s="3"/>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4:47" ht="12.75">
      <c r="D51" s="3"/>
      <c r="E51" s="3"/>
      <c r="F51" s="3"/>
      <c r="G51" s="9"/>
      <c r="H51" s="3"/>
      <c r="I51" s="3"/>
      <c r="J51" s="3"/>
      <c r="K51" s="3"/>
      <c r="L51" s="3"/>
      <c r="M51" s="3"/>
      <c r="N51" s="3"/>
      <c r="O51" s="3"/>
      <c r="P51" s="3"/>
      <c r="Q51" s="3"/>
      <c r="R51" s="3"/>
      <c r="S51" s="3"/>
      <c r="T51" s="3"/>
      <c r="U51" s="3"/>
      <c r="V51" s="3"/>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12.75">
      <c r="A52" t="s">
        <v>33</v>
      </c>
      <c r="B52" s="7">
        <f>B50/B8</f>
        <v>694566.6666666666</v>
      </c>
      <c r="D52" s="3"/>
      <c r="E52" s="3"/>
      <c r="F52" s="3"/>
      <c r="G52" s="9"/>
      <c r="H52" s="3"/>
      <c r="I52" s="3"/>
      <c r="J52" s="3"/>
      <c r="K52" s="3"/>
      <c r="L52" s="3"/>
      <c r="M52" s="3"/>
      <c r="N52" s="3"/>
      <c r="O52" s="3"/>
      <c r="P52" s="3"/>
      <c r="Q52" s="3"/>
      <c r="R52" s="3"/>
      <c r="S52" s="3"/>
      <c r="T52" s="3"/>
      <c r="U52" s="3"/>
      <c r="V52" s="3"/>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2:47" ht="12.75">
      <c r="B53" s="7"/>
      <c r="D53" s="3"/>
      <c r="E53" s="3"/>
      <c r="F53" s="3"/>
      <c r="G53" s="9"/>
      <c r="H53" s="3"/>
      <c r="I53" s="3"/>
      <c r="J53" s="3"/>
      <c r="K53" s="3"/>
      <c r="L53" s="3"/>
      <c r="M53" s="3"/>
      <c r="N53" s="3"/>
      <c r="O53" s="3"/>
      <c r="P53" s="3"/>
      <c r="Q53" s="3"/>
      <c r="R53" s="3"/>
      <c r="S53" s="3"/>
      <c r="T53" s="3"/>
      <c r="U53" s="3"/>
      <c r="V53" s="3"/>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1:47" ht="12.75">
      <c r="A54" s="132" t="s">
        <v>51</v>
      </c>
      <c r="B54" s="7"/>
      <c r="D54" s="3"/>
      <c r="E54" s="3"/>
      <c r="F54" s="3"/>
      <c r="G54" s="9"/>
      <c r="H54" s="3"/>
      <c r="I54" s="3"/>
      <c r="J54" s="3"/>
      <c r="K54" s="3"/>
      <c r="L54" s="3"/>
      <c r="M54" s="3"/>
      <c r="N54" s="3"/>
      <c r="O54" s="3"/>
      <c r="P54" s="3"/>
      <c r="Q54" s="3"/>
      <c r="R54" s="3"/>
      <c r="S54" s="3"/>
      <c r="T54" s="3"/>
      <c r="U54" s="3"/>
      <c r="V54" s="3"/>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12.75">
      <c r="A55" s="19" t="s">
        <v>2</v>
      </c>
      <c r="B55" s="7"/>
      <c r="C55">
        <v>1</v>
      </c>
      <c r="D55">
        <v>2</v>
      </c>
      <c r="E55">
        <v>3</v>
      </c>
      <c r="F55">
        <v>4</v>
      </c>
      <c r="G55">
        <v>5</v>
      </c>
      <c r="H55">
        <v>6</v>
      </c>
      <c r="I55">
        <v>7</v>
      </c>
      <c r="J55">
        <v>8</v>
      </c>
      <c r="K55">
        <v>9</v>
      </c>
      <c r="L55">
        <v>10</v>
      </c>
      <c r="M55">
        <v>11</v>
      </c>
      <c r="N55">
        <v>12</v>
      </c>
      <c r="O55">
        <v>13</v>
      </c>
      <c r="P55">
        <v>14</v>
      </c>
      <c r="Q55">
        <v>15</v>
      </c>
      <c r="R55">
        <v>16</v>
      </c>
      <c r="S55">
        <v>17</v>
      </c>
      <c r="T55">
        <v>18</v>
      </c>
      <c r="U55">
        <v>19</v>
      </c>
      <c r="V55">
        <v>20</v>
      </c>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2:47" ht="12.75">
      <c r="B56" s="7"/>
      <c r="C56" s="5">
        <v>2010</v>
      </c>
      <c r="D56" s="5">
        <v>2011</v>
      </c>
      <c r="E56" s="5">
        <v>2012</v>
      </c>
      <c r="F56" s="5">
        <v>2013</v>
      </c>
      <c r="G56" s="5">
        <v>2014</v>
      </c>
      <c r="H56" s="5">
        <v>2015</v>
      </c>
      <c r="I56" s="5">
        <v>2016</v>
      </c>
      <c r="J56" s="5">
        <v>2017</v>
      </c>
      <c r="K56" s="5">
        <v>2018</v>
      </c>
      <c r="L56" s="5">
        <v>2019</v>
      </c>
      <c r="M56" s="5">
        <v>2020</v>
      </c>
      <c r="N56" s="5">
        <v>2021</v>
      </c>
      <c r="O56" s="5">
        <v>2022</v>
      </c>
      <c r="P56" s="5">
        <v>2023</v>
      </c>
      <c r="Q56" s="5">
        <v>2024</v>
      </c>
      <c r="R56" s="5">
        <v>2025</v>
      </c>
      <c r="S56" s="5">
        <v>2026</v>
      </c>
      <c r="T56" s="5">
        <v>2027</v>
      </c>
      <c r="U56" s="5">
        <v>2028</v>
      </c>
      <c r="V56" s="5">
        <v>2029</v>
      </c>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12.75">
      <c r="A57" s="19" t="s">
        <v>3</v>
      </c>
      <c r="B57" s="7"/>
      <c r="C57" s="1">
        <f>0.5*$D50*485</f>
        <v>20211890000</v>
      </c>
      <c r="D57" s="1">
        <f>0.5*$D50*485</f>
        <v>20211890000</v>
      </c>
      <c r="E57" s="33"/>
      <c r="F57" s="33"/>
      <c r="G57" s="33"/>
      <c r="H57" s="33"/>
      <c r="I57" s="33"/>
      <c r="J57" s="33"/>
      <c r="K57" s="33"/>
      <c r="L57" s="33"/>
      <c r="M57" s="33"/>
      <c r="N57" s="33"/>
      <c r="O57" s="33"/>
      <c r="P57" s="33"/>
      <c r="Q57" s="33"/>
      <c r="R57" s="33"/>
      <c r="S57" s="33"/>
      <c r="T57" s="33"/>
      <c r="U57" s="33"/>
      <c r="V57" s="33"/>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ht="12.75">
      <c r="A58" s="19" t="s">
        <v>138</v>
      </c>
      <c r="B58" s="7"/>
      <c r="C58" s="1">
        <v>0</v>
      </c>
      <c r="D58" s="1">
        <v>0</v>
      </c>
      <c r="E58" s="34">
        <f>E40</f>
        <v>4147146000</v>
      </c>
      <c r="F58" s="34">
        <f aca="true" t="shared" si="6" ref="F58:V58">F40</f>
        <v>4599558000</v>
      </c>
      <c r="G58" s="34">
        <f t="shared" si="6"/>
        <v>5168139000</v>
      </c>
      <c r="H58" s="34">
        <f t="shared" si="6"/>
        <v>9496331250</v>
      </c>
      <c r="I58" s="34">
        <f t="shared" si="6"/>
        <v>6098300000</v>
      </c>
      <c r="J58" s="34">
        <f t="shared" si="6"/>
        <v>6467337000</v>
      </c>
      <c r="K58" s="34">
        <f t="shared" si="6"/>
        <v>6862339000</v>
      </c>
      <c r="L58" s="34">
        <f t="shared" si="6"/>
        <v>7283883000</v>
      </c>
      <c r="M58" s="34">
        <f t="shared" si="6"/>
        <v>7733155000</v>
      </c>
      <c r="N58" s="34">
        <f t="shared" si="6"/>
        <v>15415000000</v>
      </c>
      <c r="O58" s="34">
        <f t="shared" si="6"/>
        <v>1053114000</v>
      </c>
      <c r="P58" s="34">
        <f t="shared" si="6"/>
        <v>1085743000</v>
      </c>
      <c r="Q58" s="34">
        <f t="shared" si="6"/>
        <v>1111581000</v>
      </c>
      <c r="R58" s="34">
        <f t="shared" si="6"/>
        <v>1133414000</v>
      </c>
      <c r="S58" s="34">
        <f t="shared" si="6"/>
        <v>1145748000</v>
      </c>
      <c r="T58" s="34">
        <f t="shared" si="6"/>
        <v>1148790000</v>
      </c>
      <c r="U58" s="34">
        <f t="shared" si="6"/>
        <v>1156260000</v>
      </c>
      <c r="V58" s="34">
        <f t="shared" si="6"/>
        <v>7406000000</v>
      </c>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ht="12.75">
      <c r="A59" s="19" t="s">
        <v>139</v>
      </c>
      <c r="B59" s="7"/>
      <c r="C59" s="1">
        <f>-C57+C58</f>
        <v>-20211890000</v>
      </c>
      <c r="D59" s="1">
        <f aca="true" t="shared" si="7" ref="D59:V59">-D57+D58</f>
        <v>-20211890000</v>
      </c>
      <c r="E59" s="1">
        <f t="shared" si="7"/>
        <v>4147146000</v>
      </c>
      <c r="F59" s="1">
        <f t="shared" si="7"/>
        <v>4599558000</v>
      </c>
      <c r="G59" s="1">
        <f t="shared" si="7"/>
        <v>5168139000</v>
      </c>
      <c r="H59" s="1">
        <f t="shared" si="7"/>
        <v>9496331250</v>
      </c>
      <c r="I59" s="1">
        <f t="shared" si="7"/>
        <v>6098300000</v>
      </c>
      <c r="J59" s="1">
        <f t="shared" si="7"/>
        <v>6467337000</v>
      </c>
      <c r="K59" s="1">
        <f t="shared" si="7"/>
        <v>6862339000</v>
      </c>
      <c r="L59" s="1">
        <f t="shared" si="7"/>
        <v>7283883000</v>
      </c>
      <c r="M59" s="1">
        <f t="shared" si="7"/>
        <v>7733155000</v>
      </c>
      <c r="N59" s="1">
        <f t="shared" si="7"/>
        <v>15415000000</v>
      </c>
      <c r="O59" s="1">
        <f t="shared" si="7"/>
        <v>1053114000</v>
      </c>
      <c r="P59" s="1">
        <f t="shared" si="7"/>
        <v>1085743000</v>
      </c>
      <c r="Q59" s="1">
        <f t="shared" si="7"/>
        <v>1111581000</v>
      </c>
      <c r="R59" s="1">
        <f t="shared" si="7"/>
        <v>1133414000</v>
      </c>
      <c r="S59" s="1">
        <f t="shared" si="7"/>
        <v>1145748000</v>
      </c>
      <c r="T59" s="1">
        <f t="shared" si="7"/>
        <v>1148790000</v>
      </c>
      <c r="U59" s="1">
        <f t="shared" si="7"/>
        <v>1156260000</v>
      </c>
      <c r="V59" s="1">
        <f t="shared" si="7"/>
        <v>7406000000</v>
      </c>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2:47" ht="12.75">
      <c r="B60" t="s">
        <v>10</v>
      </c>
      <c r="C60" s="2">
        <f>IRR(C59:V59,0.01)</f>
        <v>0.10933311656180056</v>
      </c>
      <c r="D60" s="3"/>
      <c r="E60" s="3"/>
      <c r="F60" s="3"/>
      <c r="G60" s="9"/>
      <c r="H60" s="1"/>
      <c r="I60" s="3"/>
      <c r="J60" s="3"/>
      <c r="K60" s="3"/>
      <c r="L60" s="3"/>
      <c r="M60" s="3"/>
      <c r="N60" s="1"/>
      <c r="O60" s="3"/>
      <c r="P60" s="3"/>
      <c r="Q60" s="3"/>
      <c r="R60" s="3"/>
      <c r="S60" s="3"/>
      <c r="T60" s="3"/>
      <c r="U60" s="3"/>
      <c r="V60" s="3"/>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4:47" ht="12.75">
      <c r="D61" s="3"/>
      <c r="E61" s="3"/>
      <c r="F61" s="3"/>
      <c r="G61" s="9"/>
      <c r="H61" s="3"/>
      <c r="I61" s="3"/>
      <c r="J61" s="3"/>
      <c r="K61" s="3"/>
      <c r="L61" s="3"/>
      <c r="M61" s="3"/>
      <c r="N61" s="3"/>
      <c r="O61" s="3"/>
      <c r="P61" s="3"/>
      <c r="Q61" s="3"/>
      <c r="R61" s="3"/>
      <c r="S61" s="3"/>
      <c r="T61" s="3"/>
      <c r="U61" s="3"/>
      <c r="V61" s="3"/>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t="s">
        <v>5</v>
      </c>
      <c r="D62" s="3"/>
      <c r="E62" s="3"/>
      <c r="F62" s="3"/>
      <c r="G62" s="9"/>
      <c r="H62" s="3"/>
      <c r="I62" s="3"/>
      <c r="J62" s="3"/>
      <c r="K62" s="3"/>
      <c r="L62" s="3"/>
      <c r="M62" s="3"/>
      <c r="N62" s="3"/>
      <c r="O62" s="3"/>
      <c r="P62" s="3"/>
      <c r="Q62" s="3"/>
      <c r="R62" s="3"/>
      <c r="S62" s="3"/>
      <c r="T62" s="3"/>
      <c r="U62" s="3"/>
      <c r="V62" s="3"/>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t="s">
        <v>3</v>
      </c>
      <c r="C63" s="1">
        <f aca="true" t="shared" si="8" ref="C63:U63">C21/0.8</f>
        <v>0</v>
      </c>
      <c r="D63" s="1">
        <f t="shared" si="8"/>
        <v>0</v>
      </c>
      <c r="E63" s="1">
        <f t="shared" si="8"/>
        <v>0</v>
      </c>
      <c r="F63" s="1">
        <f t="shared" si="8"/>
        <v>0</v>
      </c>
      <c r="G63" s="1">
        <f t="shared" si="8"/>
        <v>0</v>
      </c>
      <c r="H63" s="1">
        <f t="shared" si="8"/>
        <v>3606331250</v>
      </c>
      <c r="I63" s="1">
        <f t="shared" si="8"/>
        <v>0</v>
      </c>
      <c r="J63" s="1">
        <f t="shared" si="8"/>
        <v>0</v>
      </c>
      <c r="K63" s="1">
        <f t="shared" si="8"/>
        <v>0</v>
      </c>
      <c r="L63" s="1">
        <f t="shared" si="8"/>
        <v>0</v>
      </c>
      <c r="M63" s="1">
        <f t="shared" si="8"/>
        <v>0</v>
      </c>
      <c r="N63" s="1">
        <f t="shared" si="8"/>
        <v>7200000000</v>
      </c>
      <c r="O63" s="1">
        <f t="shared" si="8"/>
        <v>0</v>
      </c>
      <c r="P63" s="1">
        <f t="shared" si="8"/>
        <v>0</v>
      </c>
      <c r="Q63" s="1">
        <f t="shared" si="8"/>
        <v>0</v>
      </c>
      <c r="R63" s="1">
        <f t="shared" si="8"/>
        <v>0</v>
      </c>
      <c r="S63" s="1">
        <f t="shared" si="8"/>
        <v>0</v>
      </c>
      <c r="T63" s="1">
        <f t="shared" si="8"/>
        <v>0</v>
      </c>
      <c r="U63" s="1">
        <f t="shared" si="8"/>
        <v>0</v>
      </c>
      <c r="V63" s="20">
        <f>5000000000/0.8</f>
        <v>6250000000</v>
      </c>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t="s">
        <v>8</v>
      </c>
      <c r="C64" s="1">
        <f>C22</f>
        <v>840000</v>
      </c>
      <c r="D64" s="1">
        <f aca="true" t="shared" si="9" ref="D64:V64">D22</f>
        <v>840000</v>
      </c>
      <c r="E64" s="1">
        <f t="shared" si="9"/>
        <v>840000</v>
      </c>
      <c r="F64" s="1">
        <f t="shared" si="9"/>
        <v>840000</v>
      </c>
      <c r="G64" s="1">
        <f t="shared" si="9"/>
        <v>840000</v>
      </c>
      <c r="H64" s="1">
        <f t="shared" si="9"/>
        <v>5065000</v>
      </c>
      <c r="I64" s="1">
        <f t="shared" si="9"/>
        <v>0</v>
      </c>
      <c r="J64" s="1">
        <f t="shared" si="9"/>
        <v>0</v>
      </c>
      <c r="K64" s="1">
        <f t="shared" si="9"/>
        <v>0</v>
      </c>
      <c r="L64" s="1">
        <f t="shared" si="9"/>
        <v>0</v>
      </c>
      <c r="M64" s="1">
        <f t="shared" si="9"/>
        <v>0</v>
      </c>
      <c r="N64" s="1">
        <f t="shared" si="9"/>
        <v>0</v>
      </c>
      <c r="O64" s="1">
        <f t="shared" si="9"/>
        <v>0</v>
      </c>
      <c r="P64" s="1">
        <f t="shared" si="9"/>
        <v>0</v>
      </c>
      <c r="Q64" s="1">
        <f t="shared" si="9"/>
        <v>0</v>
      </c>
      <c r="R64" s="1">
        <f t="shared" si="9"/>
        <v>0</v>
      </c>
      <c r="S64" s="1">
        <f t="shared" si="9"/>
        <v>0</v>
      </c>
      <c r="T64" s="1">
        <f t="shared" si="9"/>
        <v>0</v>
      </c>
      <c r="U64" s="1">
        <f t="shared" si="9"/>
        <v>0</v>
      </c>
      <c r="V64" s="1">
        <f t="shared" si="9"/>
        <v>0</v>
      </c>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t="s">
        <v>6</v>
      </c>
      <c r="C65" s="1">
        <f>C23</f>
        <v>13202405000</v>
      </c>
      <c r="D65" s="1">
        <f aca="true" t="shared" si="10" ref="D65:V65">D23</f>
        <v>13883484000</v>
      </c>
      <c r="E65" s="1">
        <f t="shared" si="10"/>
        <v>14623232000</v>
      </c>
      <c r="F65" s="1">
        <f t="shared" si="10"/>
        <v>15423418000</v>
      </c>
      <c r="G65" s="1">
        <f t="shared" si="10"/>
        <v>16337253000</v>
      </c>
      <c r="H65" s="1">
        <f t="shared" si="10"/>
        <v>17403509000</v>
      </c>
      <c r="I65" s="1">
        <f t="shared" si="10"/>
        <v>18018550000</v>
      </c>
      <c r="J65" s="1">
        <f t="shared" si="10"/>
        <v>18794330000</v>
      </c>
      <c r="K65" s="1">
        <f t="shared" si="10"/>
        <v>19609868000</v>
      </c>
      <c r="L65" s="1">
        <f t="shared" si="10"/>
        <v>20466563000</v>
      </c>
      <c r="M65" s="1">
        <f t="shared" si="10"/>
        <v>21366569000</v>
      </c>
      <c r="N65" s="1">
        <f t="shared" si="10"/>
        <v>22315966000</v>
      </c>
      <c r="O65" s="1">
        <f t="shared" si="10"/>
        <v>16263018000</v>
      </c>
      <c r="P65" s="1">
        <f t="shared" si="10"/>
        <v>16848480000</v>
      </c>
      <c r="Q65" s="1">
        <f t="shared" si="10"/>
        <v>17454275000</v>
      </c>
      <c r="R65" s="1">
        <f t="shared" si="10"/>
        <v>18086945000</v>
      </c>
      <c r="S65" s="1">
        <f t="shared" si="10"/>
        <v>18748056000</v>
      </c>
      <c r="T65" s="1">
        <f t="shared" si="10"/>
        <v>19439927000</v>
      </c>
      <c r="U65" s="1">
        <f t="shared" si="10"/>
        <v>20164266000</v>
      </c>
      <c r="V65" s="1">
        <f t="shared" si="10"/>
        <v>20917211000</v>
      </c>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t="s">
        <v>7</v>
      </c>
      <c r="C66" s="4">
        <f>C24</f>
        <v>329145000</v>
      </c>
      <c r="D66" s="4">
        <f aca="true" t="shared" si="11" ref="D66:V66">D24</f>
        <v>342940000</v>
      </c>
      <c r="E66" s="4">
        <f t="shared" si="11"/>
        <v>358422000</v>
      </c>
      <c r="F66" s="4">
        <f t="shared" si="11"/>
        <v>376053000</v>
      </c>
      <c r="G66" s="4">
        <f t="shared" si="11"/>
        <v>397505000</v>
      </c>
      <c r="H66" s="4">
        <f t="shared" si="11"/>
        <v>424812000</v>
      </c>
      <c r="I66" s="4">
        <f t="shared" si="11"/>
        <v>439599000</v>
      </c>
      <c r="J66" s="4">
        <f t="shared" si="11"/>
        <v>459424000</v>
      </c>
      <c r="K66" s="4">
        <f t="shared" si="11"/>
        <v>480446000</v>
      </c>
      <c r="L66" s="4">
        <f t="shared" si="11"/>
        <v>502746000</v>
      </c>
      <c r="M66" s="4">
        <f t="shared" si="11"/>
        <v>526407000</v>
      </c>
      <c r="N66" s="4">
        <f t="shared" si="11"/>
        <v>551642000</v>
      </c>
      <c r="O66" s="4">
        <f t="shared" si="11"/>
        <v>489972000</v>
      </c>
      <c r="P66" s="4">
        <f t="shared" si="11"/>
        <v>507119000</v>
      </c>
      <c r="Q66" s="4">
        <f t="shared" si="11"/>
        <v>524869000</v>
      </c>
      <c r="R66" s="4">
        <f t="shared" si="11"/>
        <v>543241000</v>
      </c>
      <c r="S66" s="4">
        <f t="shared" si="11"/>
        <v>562256000</v>
      </c>
      <c r="T66" s="4">
        <f t="shared" si="11"/>
        <v>581936000</v>
      </c>
      <c r="U66" s="4">
        <f t="shared" si="11"/>
        <v>602306000</v>
      </c>
      <c r="V66" s="4">
        <f t="shared" si="11"/>
        <v>623388000</v>
      </c>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3:47" ht="12.75">
      <c r="C67" s="1">
        <f>SUM(C63:C66)</f>
        <v>13532390000</v>
      </c>
      <c r="D67" s="1">
        <f aca="true" t="shared" si="12" ref="D67:V67">SUM(D63:D66)</f>
        <v>14227264000</v>
      </c>
      <c r="E67" s="1">
        <f t="shared" si="12"/>
        <v>14982494000</v>
      </c>
      <c r="F67" s="1">
        <f t="shared" si="12"/>
        <v>15800311000</v>
      </c>
      <c r="G67" s="1">
        <f t="shared" si="12"/>
        <v>16735598000</v>
      </c>
      <c r="H67" s="1">
        <f t="shared" si="12"/>
        <v>21439717250</v>
      </c>
      <c r="I67" s="1">
        <f t="shared" si="12"/>
        <v>18458149000</v>
      </c>
      <c r="J67" s="1">
        <f t="shared" si="12"/>
        <v>19253754000</v>
      </c>
      <c r="K67" s="1">
        <f t="shared" si="12"/>
        <v>20090314000</v>
      </c>
      <c r="L67" s="1">
        <f t="shared" si="12"/>
        <v>20969309000</v>
      </c>
      <c r="M67" s="1">
        <f t="shared" si="12"/>
        <v>21892976000</v>
      </c>
      <c r="N67" s="1">
        <f t="shared" si="12"/>
        <v>30067608000</v>
      </c>
      <c r="O67" s="1">
        <f t="shared" si="12"/>
        <v>16752990000</v>
      </c>
      <c r="P67" s="1">
        <f t="shared" si="12"/>
        <v>17355599000</v>
      </c>
      <c r="Q67" s="1">
        <f t="shared" si="12"/>
        <v>17979144000</v>
      </c>
      <c r="R67" s="1">
        <f t="shared" si="12"/>
        <v>18630186000</v>
      </c>
      <c r="S67" s="1">
        <f t="shared" si="12"/>
        <v>19310312000</v>
      </c>
      <c r="T67" s="1">
        <f t="shared" si="12"/>
        <v>20021863000</v>
      </c>
      <c r="U67" s="1">
        <f t="shared" si="12"/>
        <v>20766572000</v>
      </c>
      <c r="V67" s="1">
        <f t="shared" si="12"/>
        <v>27790599000</v>
      </c>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4:47" ht="12.75">
      <c r="D68" s="3"/>
      <c r="E68" s="3"/>
      <c r="F68" s="3"/>
      <c r="G68" s="9"/>
      <c r="H68" s="3"/>
      <c r="I68" s="3"/>
      <c r="J68" s="3"/>
      <c r="K68" s="3"/>
      <c r="L68" s="3"/>
      <c r="M68" s="3"/>
      <c r="N68" s="3"/>
      <c r="O68" s="3"/>
      <c r="P68" s="3"/>
      <c r="Q68" s="3"/>
      <c r="R68" s="3"/>
      <c r="S68" s="3"/>
      <c r="T68" s="3"/>
      <c r="U68" s="3"/>
      <c r="V68" s="3"/>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t="s">
        <v>43</v>
      </c>
      <c r="D69" s="3"/>
      <c r="E69" s="3"/>
      <c r="F69" s="3"/>
      <c r="G69" s="9"/>
      <c r="H69" s="3"/>
      <c r="I69" s="3"/>
      <c r="J69" s="3"/>
      <c r="K69" s="3"/>
      <c r="L69" s="3"/>
      <c r="M69" s="3"/>
      <c r="N69" s="3"/>
      <c r="O69" s="3"/>
      <c r="P69" s="3"/>
      <c r="Q69" s="3"/>
      <c r="R69" s="3"/>
      <c r="S69" s="3"/>
      <c r="T69" s="3"/>
      <c r="U69" s="3"/>
      <c r="V69" s="3"/>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9" t="s">
        <v>155</v>
      </c>
      <c r="D70" s="3"/>
      <c r="E70" s="3"/>
      <c r="F70" s="3"/>
      <c r="G70" s="9"/>
      <c r="H70" s="3"/>
      <c r="I70" s="3"/>
      <c r="J70" s="3"/>
      <c r="K70" s="3"/>
      <c r="L70" s="3"/>
      <c r="M70" s="3"/>
      <c r="N70" s="3"/>
      <c r="O70" s="3"/>
      <c r="P70" s="3"/>
      <c r="Q70" s="3"/>
      <c r="R70" s="3"/>
      <c r="S70" s="3"/>
      <c r="T70" s="3"/>
      <c r="U70" s="3"/>
      <c r="V70" s="3"/>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t="s">
        <v>39</v>
      </c>
      <c r="B71">
        <v>120</v>
      </c>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9" t="s">
        <v>47</v>
      </c>
      <c r="B72">
        <v>60</v>
      </c>
      <c r="C72" s="19" t="s">
        <v>44</v>
      </c>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9" t="s">
        <v>48</v>
      </c>
      <c r="B73" s="7">
        <f>877</f>
        <v>877</v>
      </c>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9" t="s">
        <v>46</v>
      </c>
      <c r="B74">
        <v>0.0354</v>
      </c>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9" t="s">
        <v>57</v>
      </c>
      <c r="B75" s="10">
        <f>1.15^3</f>
        <v>1.5208749999999995</v>
      </c>
      <c r="C75" s="19" t="s">
        <v>58</v>
      </c>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2:47" ht="12.75">
      <c r="B76" s="19" t="s">
        <v>56</v>
      </c>
      <c r="C76">
        <v>2010</v>
      </c>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9"/>
      <c r="C77">
        <v>1</v>
      </c>
      <c r="D77">
        <v>2</v>
      </c>
      <c r="E77">
        <v>3</v>
      </c>
      <c r="F77">
        <v>4</v>
      </c>
      <c r="G77">
        <v>5</v>
      </c>
      <c r="H77">
        <v>6</v>
      </c>
      <c r="I77">
        <v>7</v>
      </c>
      <c r="J77">
        <v>8</v>
      </c>
      <c r="K77">
        <v>9</v>
      </c>
      <c r="L77">
        <v>10</v>
      </c>
      <c r="M77">
        <v>11</v>
      </c>
      <c r="N77">
        <v>12</v>
      </c>
      <c r="O77">
        <v>13</v>
      </c>
      <c r="P77">
        <v>14</v>
      </c>
      <c r="Q77">
        <v>15</v>
      </c>
      <c r="R77">
        <v>16</v>
      </c>
      <c r="S77">
        <v>17</v>
      </c>
      <c r="T77">
        <v>18</v>
      </c>
      <c r="U77">
        <v>19</v>
      </c>
      <c r="V77">
        <v>20</v>
      </c>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9" t="s">
        <v>45</v>
      </c>
      <c r="C78" s="5">
        <v>2010</v>
      </c>
      <c r="D78" s="5">
        <v>2011</v>
      </c>
      <c r="E78" s="5">
        <v>2012</v>
      </c>
      <c r="F78" s="5">
        <v>2013</v>
      </c>
      <c r="G78" s="5">
        <v>2014</v>
      </c>
      <c r="H78" s="5">
        <v>2015</v>
      </c>
      <c r="I78" s="5">
        <v>2016</v>
      </c>
      <c r="J78" s="5">
        <v>2017</v>
      </c>
      <c r="K78" s="5">
        <v>2018</v>
      </c>
      <c r="L78" s="5">
        <v>2019</v>
      </c>
      <c r="M78" s="5">
        <v>2020</v>
      </c>
      <c r="N78" s="5">
        <v>2021</v>
      </c>
      <c r="O78" s="5">
        <v>2022</v>
      </c>
      <c r="P78" s="5">
        <v>2023</v>
      </c>
      <c r="Q78" s="5">
        <v>2024</v>
      </c>
      <c r="R78" s="5">
        <v>2025</v>
      </c>
      <c r="S78" s="5">
        <v>2026</v>
      </c>
      <c r="T78" s="5">
        <v>2027</v>
      </c>
      <c r="U78" s="5">
        <v>2028</v>
      </c>
      <c r="V78" s="5">
        <v>2029</v>
      </c>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t="s">
        <v>40</v>
      </c>
      <c r="C79" s="1">
        <f>-0.5*$B50*485</f>
        <v>-20211890000</v>
      </c>
      <c r="D79" s="1">
        <f>-0.5*$B50*485*1.13</f>
        <v>-22839435699.999996</v>
      </c>
      <c r="E79" s="1">
        <f>E81*$B72*$B71*485</f>
        <v>4040244000</v>
      </c>
      <c r="F79" s="1">
        <f>F81*$B72*$B71*485</f>
        <v>4183416000</v>
      </c>
      <c r="G79" s="1">
        <f>G81*$B72*$B71*485</f>
        <v>4330080000</v>
      </c>
      <c r="H79" s="1">
        <f>H81*$B72*$B71*485+H63</f>
        <v>8086567250</v>
      </c>
      <c r="I79" s="1">
        <f>I81*$B72*$B71*485</f>
        <v>4637376000</v>
      </c>
      <c r="J79" s="1">
        <f>J81*$B72*$B71*485</f>
        <v>4801500000</v>
      </c>
      <c r="K79" s="1">
        <f>J79*(1+$B74)</f>
        <v>4971473100</v>
      </c>
      <c r="L79" s="1">
        <f>K79*(1+$B74)</f>
        <v>5147463247.740001</v>
      </c>
      <c r="M79" s="1">
        <f>L79*(1+$B74)</f>
        <v>5329683446.709997</v>
      </c>
      <c r="N79" s="1">
        <f>M79*(1+$B74)+N63</f>
        <v>12718354240.723532</v>
      </c>
      <c r="O79" s="1">
        <f>M79*(1+$B74)^2</f>
        <v>5713703980.845145</v>
      </c>
      <c r="P79" s="1">
        <f aca="true" t="shared" si="13" ref="P79:U79">O79*(1+$B74)</f>
        <v>5915969101.767064</v>
      </c>
      <c r="Q79" s="1">
        <f t="shared" si="13"/>
        <v>6125394407.969619</v>
      </c>
      <c r="R79" s="1">
        <f t="shared" si="13"/>
        <v>6342233370.011744</v>
      </c>
      <c r="S79" s="1">
        <f t="shared" si="13"/>
        <v>6566748431.31016</v>
      </c>
      <c r="T79" s="1">
        <f t="shared" si="13"/>
        <v>6799211325.77854</v>
      </c>
      <c r="U79" s="1">
        <f t="shared" si="13"/>
        <v>7039903406.711101</v>
      </c>
      <c r="V79" s="1">
        <f>U79*(1+$B74)+V63</f>
        <v>13539115987.308674</v>
      </c>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t="s">
        <v>10</v>
      </c>
      <c r="B80" s="125">
        <f>IRR(C79:V79,0.1)</f>
        <v>0.10772910555438209</v>
      </c>
      <c r="E80" s="126">
        <f>E82*1.15</f>
        <v>1119.4943747119376</v>
      </c>
      <c r="F80" s="126">
        <f>E80*(1+$B74)*1.1</f>
        <v>1275.0369231344143</v>
      </c>
      <c r="G80" s="126">
        <f>F80*(1+$B74)</f>
        <v>1320.1732302133728</v>
      </c>
      <c r="H80" s="7">
        <f>G80*(1+$B74)</f>
        <v>1366.9073625629262</v>
      </c>
      <c r="I80" s="7">
        <f>H80*(1+$B74)</f>
        <v>1415.295883197654</v>
      </c>
      <c r="J80" s="7">
        <f>I80*(1+$B74)</f>
        <v>1465.397357462851</v>
      </c>
      <c r="L80" t="s">
        <v>150</v>
      </c>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2:47" ht="12.75">
      <c r="B81" t="s">
        <v>152</v>
      </c>
      <c r="E81">
        <v>1157</v>
      </c>
      <c r="F81">
        <v>1198</v>
      </c>
      <c r="G81">
        <v>1240</v>
      </c>
      <c r="H81">
        <v>1283</v>
      </c>
      <c r="I81">
        <v>1328</v>
      </c>
      <c r="J81">
        <v>1375</v>
      </c>
      <c r="K81">
        <v>1375</v>
      </c>
      <c r="L81" t="s">
        <v>149</v>
      </c>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2:47" ht="12.75">
      <c r="B82" s="127" t="s">
        <v>151</v>
      </c>
      <c r="C82" s="7">
        <f>877*(1+B74)</f>
        <v>908.0458000000001</v>
      </c>
      <c r="D82" s="7">
        <f>C82*(1+$B74)</f>
        <v>940.1906213200002</v>
      </c>
      <c r="E82" s="7">
        <f>D82*(1+$B74)</f>
        <v>973.4733693147283</v>
      </c>
      <c r="F82" s="7">
        <f>E82*(1+$B74)</f>
        <v>1007.9343265884697</v>
      </c>
      <c r="G82" s="7">
        <f>F82*(1+$B74)</f>
        <v>1043.6152017497016</v>
      </c>
      <c r="H82">
        <v>1116</v>
      </c>
      <c r="I82" s="3"/>
      <c r="J82" s="3">
        <f>(J81-I81)/I81</f>
        <v>0.035391566265060244</v>
      </c>
      <c r="K82" s="3"/>
      <c r="L82" s="3"/>
      <c r="M82" s="3"/>
      <c r="N82" s="3"/>
      <c r="O82" s="3"/>
      <c r="P82" s="3"/>
      <c r="Q82" s="3"/>
      <c r="R82" s="3"/>
      <c r="S82" s="3"/>
      <c r="T82" s="3"/>
      <c r="U82" s="3"/>
      <c r="V82" s="3"/>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6" ht="12.75">
      <c r="A83" t="s">
        <v>11</v>
      </c>
      <c r="C83" t="s">
        <v>18</v>
      </c>
      <c r="D83" s="3"/>
      <c r="E83" s="126">
        <f>B73*1.15</f>
        <v>1008.55</v>
      </c>
      <c r="F83" s="126">
        <f>E83*1.15</f>
        <v>1159.8324999999998</v>
      </c>
      <c r="G83" s="126">
        <f>F83*1.15</f>
        <v>1333.8073749999996</v>
      </c>
      <c r="H83" s="3" t="s">
        <v>148</v>
      </c>
      <c r="I83" s="3"/>
      <c r="J83" s="3"/>
      <c r="K83" s="3"/>
      <c r="L83" s="3"/>
      <c r="M83" s="3"/>
      <c r="N83" s="3"/>
      <c r="O83" s="3"/>
      <c r="P83" s="3"/>
      <c r="Q83" s="3"/>
      <c r="R83" s="3"/>
      <c r="S83" s="3"/>
      <c r="T83" s="3"/>
      <c r="U83" s="3"/>
      <c r="V83" s="3"/>
      <c r="W83" s="1"/>
      <c r="X83" s="1"/>
      <c r="Y83" s="1"/>
      <c r="Z83" s="1"/>
      <c r="AA83" s="1"/>
      <c r="AB83" s="1"/>
      <c r="AC83" s="1"/>
      <c r="AD83" s="1"/>
      <c r="AE83" s="1"/>
      <c r="AF83" s="1"/>
      <c r="AG83" s="1"/>
      <c r="AH83" s="1"/>
      <c r="AI83" s="1"/>
      <c r="AJ83" s="1"/>
      <c r="AK83" s="1"/>
      <c r="AL83" s="1"/>
      <c r="AM83" s="1"/>
      <c r="AN83" s="1"/>
      <c r="AO83" s="1"/>
      <c r="AP83" s="1"/>
      <c r="AQ83" s="1"/>
      <c r="AR83" s="1"/>
      <c r="AS83" s="1"/>
      <c r="AT83" s="1"/>
    </row>
    <row r="84" spans="1:3" ht="12.75">
      <c r="A84" t="s">
        <v>12</v>
      </c>
      <c r="B84">
        <v>19882</v>
      </c>
      <c r="C84" s="7">
        <f>B84*(1.027)^5</f>
        <v>22714.97626989477</v>
      </c>
    </row>
    <row r="85" spans="1:7" ht="12.75">
      <c r="A85" t="s">
        <v>13</v>
      </c>
      <c r="B85">
        <v>46546</v>
      </c>
      <c r="C85" s="7">
        <f>B85*(1.027)^5</f>
        <v>53178.31633932813</v>
      </c>
      <c r="F85" s="7"/>
      <c r="G85" s="7"/>
    </row>
    <row r="86" spans="1:10" ht="12.75">
      <c r="A86" t="s">
        <v>14</v>
      </c>
      <c r="B86">
        <v>10918</v>
      </c>
      <c r="C86" s="7">
        <f>B86*(1.027)^5</f>
        <v>12473.700377965552</v>
      </c>
      <c r="J86" s="128"/>
    </row>
    <row r="87" spans="1:10" ht="12.75">
      <c r="A87" t="s">
        <v>15</v>
      </c>
      <c r="B87">
        <v>5918</v>
      </c>
      <c r="C87" s="7">
        <f>B87*(1.027)^5</f>
        <v>6761.252870196018</v>
      </c>
      <c r="J87" s="128"/>
    </row>
    <row r="88" spans="1:3" ht="12.75">
      <c r="A88" t="s">
        <v>16</v>
      </c>
      <c r="B88" s="5">
        <v>14300</v>
      </c>
      <c r="C88" s="8">
        <f>B88*(1.027)^5</f>
        <v>16337.599872220862</v>
      </c>
    </row>
    <row r="89" spans="2:4" ht="12.75">
      <c r="B89">
        <f>SUM(B84:B88)</f>
        <v>97564</v>
      </c>
      <c r="C89" s="7">
        <f>SUM(C84:C88)</f>
        <v>111465.84572960532</v>
      </c>
      <c r="D89" s="7">
        <f>C89/12</f>
        <v>9288.82047746711</v>
      </c>
    </row>
    <row r="90" ht="12.75">
      <c r="A90" t="s">
        <v>17</v>
      </c>
    </row>
    <row r="94" spans="1:2" ht="15">
      <c r="A94" s="23" t="s">
        <v>59</v>
      </c>
      <c r="B94" s="7">
        <v>289.5780115175572</v>
      </c>
    </row>
    <row r="96" spans="1:5" ht="12.75">
      <c r="A96" s="24" t="s">
        <v>60</v>
      </c>
      <c r="B96" s="323" t="s">
        <v>61</v>
      </c>
      <c r="C96" s="324"/>
      <c r="D96" s="324"/>
      <c r="E96" s="324"/>
    </row>
    <row r="97" spans="2:5" ht="12.75">
      <c r="B97" s="25" t="s">
        <v>62</v>
      </c>
      <c r="C97" s="25" t="s">
        <v>63</v>
      </c>
      <c r="D97" s="25" t="s">
        <v>64</v>
      </c>
      <c r="E97" s="25" t="s">
        <v>65</v>
      </c>
    </row>
    <row r="98" spans="1:5" ht="15">
      <c r="A98" s="23" t="s">
        <v>66</v>
      </c>
      <c r="B98" s="18">
        <v>0.335</v>
      </c>
      <c r="C98" s="18">
        <v>0.2686</v>
      </c>
      <c r="D98" s="18">
        <v>0.2894</v>
      </c>
      <c r="E98" s="18">
        <v>0.10699999999999998</v>
      </c>
    </row>
    <row r="99" spans="1:5" ht="12.75">
      <c r="A99" s="24" t="s">
        <v>67</v>
      </c>
      <c r="B99" s="16">
        <v>0.2875196850393701</v>
      </c>
      <c r="C99" s="16">
        <v>0.23053070866141734</v>
      </c>
      <c r="D99" s="16">
        <v>0.3321748031496063</v>
      </c>
      <c r="E99" s="16">
        <v>0.14977480314960623</v>
      </c>
    </row>
    <row r="100" spans="1:6" ht="12.75">
      <c r="A100" s="19" t="s">
        <v>154</v>
      </c>
      <c r="B100" s="19"/>
      <c r="C100" s="16"/>
      <c r="D100" s="16"/>
      <c r="E100" s="16"/>
      <c r="F100" s="19"/>
    </row>
    <row r="101" ht="12.75">
      <c r="A101" s="19" t="s">
        <v>68</v>
      </c>
    </row>
    <row r="102" spans="1:2" ht="12.75">
      <c r="A102" s="24" t="s">
        <v>69</v>
      </c>
      <c r="B102" s="18">
        <v>0.65</v>
      </c>
    </row>
    <row r="103" spans="1:2" ht="12.75">
      <c r="A103" s="24"/>
      <c r="B103" s="18"/>
    </row>
    <row r="104" spans="1:5" ht="12.75">
      <c r="A104" s="24"/>
      <c r="B104" s="323" t="s">
        <v>61</v>
      </c>
      <c r="C104" s="324"/>
      <c r="D104" s="324"/>
      <c r="E104" s="324"/>
    </row>
    <row r="105" spans="1:5" ht="12.75">
      <c r="A105" s="24" t="s">
        <v>70</v>
      </c>
      <c r="B105" s="25" t="s">
        <v>62</v>
      </c>
      <c r="C105" s="25" t="s">
        <v>63</v>
      </c>
      <c r="D105" s="25" t="s">
        <v>64</v>
      </c>
      <c r="E105" s="25" t="s">
        <v>65</v>
      </c>
    </row>
    <row r="106" spans="1:5" ht="12.75">
      <c r="A106" s="24" t="s">
        <v>71</v>
      </c>
      <c r="B106" s="16">
        <f>$B102*B99+(1-$B102)*B98</f>
        <v>0.3041377952755906</v>
      </c>
      <c r="C106" s="16">
        <f>$B102*C99+(1-$B102)*C98</f>
        <v>0.2438549606299213</v>
      </c>
      <c r="D106" s="16">
        <f>$B102*D99+(1-$B102)*D98</f>
        <v>0.31720362204724406</v>
      </c>
      <c r="E106" s="16">
        <f>$B102*E99+(1-$B102)*E98</f>
        <v>0.13480362204724405</v>
      </c>
    </row>
    <row r="108" spans="1:2" ht="12.75">
      <c r="A108" s="24" t="s">
        <v>72</v>
      </c>
      <c r="B108" s="1">
        <f>NPV(0.1,C58:V58)</f>
        <v>37140875253.07992</v>
      </c>
    </row>
    <row r="109" spans="1:2" ht="12.75">
      <c r="A109" s="24" t="s">
        <v>73</v>
      </c>
      <c r="B109" s="1">
        <f>B108/PPP_exrate</f>
        <v>128258616.93862781</v>
      </c>
    </row>
    <row r="111" spans="1:3" ht="12.75">
      <c r="A111" s="24" t="s">
        <v>74</v>
      </c>
      <c r="B111" s="7">
        <f>B112/12</f>
        <v>9288.82047746711</v>
      </c>
      <c r="C111" s="19" t="s">
        <v>135</v>
      </c>
    </row>
    <row r="112" spans="1:2" ht="12.75">
      <c r="A112" s="24" t="s">
        <v>75</v>
      </c>
      <c r="B112" s="7">
        <f>C89</f>
        <v>111465.84572960532</v>
      </c>
    </row>
    <row r="113" spans="1:2" ht="12.75">
      <c r="A113" s="24" t="s">
        <v>76</v>
      </c>
      <c r="B113" s="7">
        <f>B112/B8</f>
        <v>928.882047746711</v>
      </c>
    </row>
    <row r="114" spans="1:2" ht="12.75">
      <c r="A114" s="24" t="s">
        <v>77</v>
      </c>
      <c r="B114" s="7">
        <f>B113/10</f>
        <v>92.8882047746711</v>
      </c>
    </row>
    <row r="115" spans="1:2" ht="12.75">
      <c r="A115" s="24" t="s">
        <v>78</v>
      </c>
      <c r="B115" s="7">
        <f>B114/11</f>
        <v>8.444382252242827</v>
      </c>
    </row>
    <row r="116" spans="1:2" ht="12.75">
      <c r="A116" s="24" t="s">
        <v>79</v>
      </c>
      <c r="B116" s="7">
        <f>B111*(1-B102)</f>
        <v>3251.0871671134882</v>
      </c>
    </row>
    <row r="117" spans="1:2" ht="12.75">
      <c r="A117" s="26" t="s">
        <v>80</v>
      </c>
      <c r="B117" s="8">
        <f>B116*11</f>
        <v>35761.95883824837</v>
      </c>
    </row>
    <row r="118" spans="1:2" ht="12.75">
      <c r="A118" s="24" t="s">
        <v>81</v>
      </c>
      <c r="B118" s="7">
        <f>B111+B116</f>
        <v>12539.907644580599</v>
      </c>
    </row>
    <row r="119" spans="1:2" ht="12.75">
      <c r="A119" s="24" t="s">
        <v>82</v>
      </c>
      <c r="B119" s="7">
        <f>B112+B117</f>
        <v>147227.8045678537</v>
      </c>
    </row>
    <row r="121" spans="1:2" ht="12.75">
      <c r="A121" s="24" t="s">
        <v>83</v>
      </c>
      <c r="B121" s="27">
        <f>B108/B119</f>
        <v>252268.07777305815</v>
      </c>
    </row>
    <row r="122" spans="1:2" ht="12.75">
      <c r="A122" s="24" t="s">
        <v>84</v>
      </c>
      <c r="B122" s="7">
        <f>B109/B119</f>
        <v>871.1575732253519</v>
      </c>
    </row>
    <row r="124" spans="2:5" ht="12.75">
      <c r="B124" s="323" t="s">
        <v>61</v>
      </c>
      <c r="C124" s="324"/>
      <c r="D124" s="324"/>
      <c r="E124" s="324"/>
    </row>
    <row r="125" spans="2:5" ht="12.75">
      <c r="B125" s="28" t="s">
        <v>62</v>
      </c>
      <c r="C125" s="28" t="s">
        <v>85</v>
      </c>
      <c r="D125" s="28" t="s">
        <v>64</v>
      </c>
      <c r="E125" s="28" t="s">
        <v>65</v>
      </c>
    </row>
    <row r="126" spans="1:5" ht="12.75">
      <c r="A126" s="24" t="s">
        <v>86</v>
      </c>
      <c r="B126" s="7">
        <f>$B119*B106</f>
        <v>44777.53988453255</v>
      </c>
      <c r="C126" s="7">
        <f>B126+$B119*C106</f>
        <v>80679.77037105625</v>
      </c>
      <c r="D126" s="7">
        <f>$B119*D106</f>
        <v>46701.19287498698</v>
      </c>
      <c r="E126" s="7">
        <f>$B119*E106</f>
        <v>19846.84132181046</v>
      </c>
    </row>
    <row r="127" spans="1:5" ht="12.75">
      <c r="A127" s="24" t="s">
        <v>87</v>
      </c>
      <c r="B127" s="1">
        <f>$B109*B106</f>
        <v>39008292.980810784</v>
      </c>
      <c r="C127" s="1">
        <f>B127+$B109*C106</f>
        <v>70284792.96482803</v>
      </c>
      <c r="D127" s="1">
        <f>$B109*D106</f>
        <v>40684097.85170275</v>
      </c>
      <c r="E127" s="1">
        <f>$B109*E106</f>
        <v>17289726.122097038</v>
      </c>
    </row>
    <row r="128" spans="1:5" ht="12.75">
      <c r="A128" s="24" t="s">
        <v>88</v>
      </c>
      <c r="B128" s="7">
        <f>B127/B126</f>
        <v>871.157573225352</v>
      </c>
      <c r="C128" s="7">
        <f>C127/C126</f>
        <v>871.1575732253522</v>
      </c>
      <c r="D128" s="7">
        <f>D127/D126</f>
        <v>871.1575732253519</v>
      </c>
      <c r="E128" s="7">
        <f>E127/E126</f>
        <v>871.1575732253519</v>
      </c>
    </row>
    <row r="130" spans="1:5" ht="12.75">
      <c r="A130" s="24" t="s">
        <v>89</v>
      </c>
      <c r="B130" s="323" t="s">
        <v>61</v>
      </c>
      <c r="C130" s="324"/>
      <c r="D130" s="324"/>
      <c r="E130" s="324"/>
    </row>
    <row r="131" spans="2:5" ht="12.75">
      <c r="B131" s="29" t="s">
        <v>62</v>
      </c>
      <c r="C131" s="29" t="s">
        <v>63</v>
      </c>
      <c r="D131" s="30" t="s">
        <v>64</v>
      </c>
      <c r="E131" s="29" t="s">
        <v>65</v>
      </c>
    </row>
    <row r="132" spans="1:5" ht="12.75">
      <c r="A132" t="s">
        <v>90</v>
      </c>
      <c r="B132" s="29">
        <v>38</v>
      </c>
      <c r="C132" s="7">
        <v>49.427083333333336</v>
      </c>
      <c r="D132" s="7">
        <v>91.25</v>
      </c>
      <c r="E132" s="6">
        <v>135.0106113707165</v>
      </c>
    </row>
    <row r="133" spans="1:5" ht="12.75">
      <c r="A133" t="s">
        <v>91</v>
      </c>
      <c r="B133" s="7">
        <v>456</v>
      </c>
      <c r="C133" s="7">
        <v>593.125</v>
      </c>
      <c r="D133" s="7">
        <v>1095</v>
      </c>
      <c r="E133" s="7">
        <v>1620.127336448598</v>
      </c>
    </row>
    <row r="134" ht="18.75" customHeight="1"/>
    <row r="135" spans="1:22" ht="25.5" hidden="1">
      <c r="A135" s="19" t="s">
        <v>92</v>
      </c>
      <c r="B135" s="31" t="s">
        <v>93</v>
      </c>
      <c r="C135" s="5">
        <v>1</v>
      </c>
      <c r="D135" s="5">
        <v>2</v>
      </c>
      <c r="E135" s="5">
        <v>3</v>
      </c>
      <c r="F135" s="5">
        <v>4</v>
      </c>
      <c r="G135" s="5">
        <v>5</v>
      </c>
      <c r="H135" s="5">
        <v>6</v>
      </c>
      <c r="I135" s="5">
        <v>7</v>
      </c>
      <c r="J135" s="5">
        <v>8</v>
      </c>
      <c r="K135" s="5">
        <v>9</v>
      </c>
      <c r="L135" s="5">
        <v>10</v>
      </c>
      <c r="M135" s="5">
        <v>11</v>
      </c>
      <c r="N135" s="5">
        <v>12</v>
      </c>
      <c r="O135" s="5">
        <v>13</v>
      </c>
      <c r="P135" s="5">
        <v>14</v>
      </c>
      <c r="Q135" s="5">
        <v>15</v>
      </c>
      <c r="R135" s="5">
        <v>16</v>
      </c>
      <c r="S135" s="5">
        <v>17</v>
      </c>
      <c r="T135" s="5">
        <v>18</v>
      </c>
      <c r="U135" s="5">
        <v>19</v>
      </c>
      <c r="V135" s="5">
        <v>20</v>
      </c>
    </row>
    <row r="136" spans="1:22" ht="12.75" hidden="1">
      <c r="A136" s="29" t="s">
        <v>62</v>
      </c>
      <c r="B136" s="32">
        <f>NPV(0.1,C136:V136)</f>
        <v>3882.185056209903</v>
      </c>
      <c r="C136" s="7">
        <f>B133</f>
        <v>456</v>
      </c>
      <c r="D136" s="7">
        <f>C136</f>
        <v>456</v>
      </c>
      <c r="E136" s="7">
        <f aca="true" t="shared" si="14" ref="E136:T139">D136</f>
        <v>456</v>
      </c>
      <c r="F136" s="7">
        <f t="shared" si="14"/>
        <v>456</v>
      </c>
      <c r="G136" s="7">
        <f t="shared" si="14"/>
        <v>456</v>
      </c>
      <c r="H136" s="7">
        <f t="shared" si="14"/>
        <v>456</v>
      </c>
      <c r="I136" s="7">
        <f t="shared" si="14"/>
        <v>456</v>
      </c>
      <c r="J136" s="7">
        <f t="shared" si="14"/>
        <v>456</v>
      </c>
      <c r="K136" s="7">
        <f t="shared" si="14"/>
        <v>456</v>
      </c>
      <c r="L136" s="7">
        <f t="shared" si="14"/>
        <v>456</v>
      </c>
      <c r="M136" s="7">
        <f t="shared" si="14"/>
        <v>456</v>
      </c>
      <c r="N136" s="7">
        <f t="shared" si="14"/>
        <v>456</v>
      </c>
      <c r="O136" s="7">
        <f t="shared" si="14"/>
        <v>456</v>
      </c>
      <c r="P136" s="7">
        <f t="shared" si="14"/>
        <v>456</v>
      </c>
      <c r="Q136" s="7">
        <f t="shared" si="14"/>
        <v>456</v>
      </c>
      <c r="R136" s="7">
        <f t="shared" si="14"/>
        <v>456</v>
      </c>
      <c r="S136" s="7">
        <f t="shared" si="14"/>
        <v>456</v>
      </c>
      <c r="T136" s="7">
        <f t="shared" si="14"/>
        <v>456</v>
      </c>
      <c r="U136" s="7">
        <f aca="true" t="shared" si="15" ref="T136:V139">T136</f>
        <v>456</v>
      </c>
      <c r="V136" s="7">
        <f t="shared" si="15"/>
        <v>456</v>
      </c>
    </row>
    <row r="137" spans="1:22" ht="12.75" hidden="1">
      <c r="A137" s="29" t="s">
        <v>63</v>
      </c>
      <c r="B137" s="32">
        <f>NPV(0.1,C137:V137)</f>
        <v>5049.607481281794</v>
      </c>
      <c r="C137" s="7">
        <f>C133</f>
        <v>593.125</v>
      </c>
      <c r="D137" s="7">
        <f>C137</f>
        <v>593.125</v>
      </c>
      <c r="E137" s="7">
        <f t="shared" si="14"/>
        <v>593.125</v>
      </c>
      <c r="F137" s="7">
        <f t="shared" si="14"/>
        <v>593.125</v>
      </c>
      <c r="G137" s="7">
        <f t="shared" si="14"/>
        <v>593.125</v>
      </c>
      <c r="H137" s="7">
        <f t="shared" si="14"/>
        <v>593.125</v>
      </c>
      <c r="I137" s="7">
        <f t="shared" si="14"/>
        <v>593.125</v>
      </c>
      <c r="J137" s="7">
        <f t="shared" si="14"/>
        <v>593.125</v>
      </c>
      <c r="K137" s="7">
        <f t="shared" si="14"/>
        <v>593.125</v>
      </c>
      <c r="L137" s="7">
        <f t="shared" si="14"/>
        <v>593.125</v>
      </c>
      <c r="M137" s="7">
        <f t="shared" si="14"/>
        <v>593.125</v>
      </c>
      <c r="N137" s="7">
        <f t="shared" si="14"/>
        <v>593.125</v>
      </c>
      <c r="O137" s="7">
        <f t="shared" si="14"/>
        <v>593.125</v>
      </c>
      <c r="P137" s="7">
        <f t="shared" si="14"/>
        <v>593.125</v>
      </c>
      <c r="Q137" s="7">
        <f t="shared" si="14"/>
        <v>593.125</v>
      </c>
      <c r="R137" s="7">
        <f t="shared" si="14"/>
        <v>593.125</v>
      </c>
      <c r="S137" s="7">
        <f t="shared" si="14"/>
        <v>593.125</v>
      </c>
      <c r="T137" s="7">
        <f t="shared" si="15"/>
        <v>593.125</v>
      </c>
      <c r="U137" s="7">
        <f t="shared" si="15"/>
        <v>593.125</v>
      </c>
      <c r="V137" s="7">
        <f t="shared" si="15"/>
        <v>593.125</v>
      </c>
    </row>
    <row r="138" spans="1:22" ht="12.75" hidden="1">
      <c r="A138" s="30" t="s">
        <v>64</v>
      </c>
      <c r="B138" s="32">
        <f>NPV(0.1,C138:V138)</f>
        <v>9322.352273135617</v>
      </c>
      <c r="C138" s="7">
        <f>D133</f>
        <v>1095</v>
      </c>
      <c r="D138" s="7">
        <f>C138</f>
        <v>1095</v>
      </c>
      <c r="E138" s="7">
        <f t="shared" si="14"/>
        <v>1095</v>
      </c>
      <c r="F138" s="7">
        <f t="shared" si="14"/>
        <v>1095</v>
      </c>
      <c r="G138" s="7">
        <f t="shared" si="14"/>
        <v>1095</v>
      </c>
      <c r="H138" s="7">
        <f t="shared" si="14"/>
        <v>1095</v>
      </c>
      <c r="I138" s="7">
        <f t="shared" si="14"/>
        <v>1095</v>
      </c>
      <c r="J138" s="7">
        <f t="shared" si="14"/>
        <v>1095</v>
      </c>
      <c r="K138" s="7">
        <f t="shared" si="14"/>
        <v>1095</v>
      </c>
      <c r="L138" s="7">
        <f t="shared" si="14"/>
        <v>1095</v>
      </c>
      <c r="M138" s="7">
        <f t="shared" si="14"/>
        <v>1095</v>
      </c>
      <c r="N138" s="7">
        <f t="shared" si="14"/>
        <v>1095</v>
      </c>
      <c r="O138" s="7">
        <f t="shared" si="14"/>
        <v>1095</v>
      </c>
      <c r="P138" s="7">
        <f t="shared" si="14"/>
        <v>1095</v>
      </c>
      <c r="Q138" s="7">
        <f t="shared" si="14"/>
        <v>1095</v>
      </c>
      <c r="R138" s="7">
        <f t="shared" si="14"/>
        <v>1095</v>
      </c>
      <c r="S138" s="7">
        <f t="shared" si="14"/>
        <v>1095</v>
      </c>
      <c r="T138" s="7">
        <f t="shared" si="14"/>
        <v>1095</v>
      </c>
      <c r="U138" s="7">
        <f t="shared" si="15"/>
        <v>1095</v>
      </c>
      <c r="V138" s="7">
        <f t="shared" si="15"/>
        <v>1095</v>
      </c>
    </row>
    <row r="139" spans="1:22" ht="12.75" hidden="1">
      <c r="A139" s="29" t="s">
        <v>65</v>
      </c>
      <c r="B139" s="32">
        <f>NPV(0.1,C139:V139)</f>
        <v>13793.05731297785</v>
      </c>
      <c r="C139" s="7">
        <f>E133</f>
        <v>1620.127336448598</v>
      </c>
      <c r="D139" s="7">
        <f>C139</f>
        <v>1620.127336448598</v>
      </c>
      <c r="E139" s="7">
        <f t="shared" si="14"/>
        <v>1620.127336448598</v>
      </c>
      <c r="F139" s="7">
        <f t="shared" si="14"/>
        <v>1620.127336448598</v>
      </c>
      <c r="G139" s="7">
        <f t="shared" si="14"/>
        <v>1620.127336448598</v>
      </c>
      <c r="H139" s="7">
        <f t="shared" si="14"/>
        <v>1620.127336448598</v>
      </c>
      <c r="I139" s="7">
        <f t="shared" si="14"/>
        <v>1620.127336448598</v>
      </c>
      <c r="J139" s="7">
        <f t="shared" si="14"/>
        <v>1620.127336448598</v>
      </c>
      <c r="K139" s="7">
        <f t="shared" si="14"/>
        <v>1620.127336448598</v>
      </c>
      <c r="L139" s="7">
        <f t="shared" si="14"/>
        <v>1620.127336448598</v>
      </c>
      <c r="M139" s="7">
        <f t="shared" si="14"/>
        <v>1620.127336448598</v>
      </c>
      <c r="N139" s="7">
        <f t="shared" si="14"/>
        <v>1620.127336448598</v>
      </c>
      <c r="O139" s="7">
        <f t="shared" si="14"/>
        <v>1620.127336448598</v>
      </c>
      <c r="P139" s="7">
        <f t="shared" si="14"/>
        <v>1620.127336448598</v>
      </c>
      <c r="Q139" s="7">
        <f t="shared" si="14"/>
        <v>1620.127336448598</v>
      </c>
      <c r="R139" s="7">
        <f t="shared" si="14"/>
        <v>1620.127336448598</v>
      </c>
      <c r="S139" s="7">
        <f t="shared" si="14"/>
        <v>1620.127336448598</v>
      </c>
      <c r="T139" s="7">
        <f t="shared" si="14"/>
        <v>1620.127336448598</v>
      </c>
      <c r="U139" s="7">
        <f t="shared" si="15"/>
        <v>1620.127336448598</v>
      </c>
      <c r="V139" s="7">
        <f t="shared" si="15"/>
        <v>1620.127336448598</v>
      </c>
    </row>
    <row r="140" ht="14.25" customHeight="1"/>
    <row r="141" spans="2:5" ht="12.75">
      <c r="B141" s="323" t="s">
        <v>61</v>
      </c>
      <c r="C141" s="324"/>
      <c r="D141" s="324"/>
      <c r="E141" s="324"/>
    </row>
    <row r="142" spans="2:5" ht="12.75">
      <c r="B142" s="28" t="s">
        <v>62</v>
      </c>
      <c r="C142" s="28" t="s">
        <v>85</v>
      </c>
      <c r="D142" s="28" t="s">
        <v>64</v>
      </c>
      <c r="E142" s="28" t="s">
        <v>65</v>
      </c>
    </row>
    <row r="143" spans="1:5" ht="12.75">
      <c r="A143" s="19" t="s">
        <v>94</v>
      </c>
      <c r="B143" s="1">
        <f>B136*B126</f>
        <v>173834696.19357517</v>
      </c>
      <c r="C143" s="1">
        <f>B137*C126</f>
        <v>407401172.0537829</v>
      </c>
      <c r="D143" s="1">
        <f>B138*D126</f>
        <v>435364971.5562797</v>
      </c>
      <c r="E143" s="1">
        <f>B139*E126</f>
        <v>273748619.83330876</v>
      </c>
    </row>
    <row r="144" spans="1:5" ht="12.75">
      <c r="A144" s="19"/>
      <c r="B144" s="1"/>
      <c r="C144" s="1"/>
      <c r="D144" s="1"/>
      <c r="E144" s="1"/>
    </row>
    <row r="145" spans="1:5" ht="12.75">
      <c r="A145" s="24" t="s">
        <v>95</v>
      </c>
      <c r="B145" s="18">
        <f>B127/B143</f>
        <v>0.22439877558949883</v>
      </c>
      <c r="C145" s="18">
        <f>C127/C143</f>
        <v>0.17251985950484555</v>
      </c>
      <c r="D145" s="18">
        <f>D127/D143</f>
        <v>0.09344825723179134</v>
      </c>
      <c r="E145" s="18">
        <f>E127/E143</f>
        <v>0.06315913531408894</v>
      </c>
    </row>
    <row r="147" spans="1:2" ht="12.75">
      <c r="A147" s="24" t="s">
        <v>96</v>
      </c>
      <c r="B147" s="1">
        <f>NPV(0.1,C57:D57)</f>
        <v>35078486776.859505</v>
      </c>
    </row>
    <row r="148" spans="1:2" ht="12.75">
      <c r="A148" s="24" t="s">
        <v>97</v>
      </c>
      <c r="B148" s="1">
        <f>B147/485</f>
        <v>72326776.85950413</v>
      </c>
    </row>
    <row r="150" spans="2:5" ht="12.75">
      <c r="B150" s="323" t="s">
        <v>61</v>
      </c>
      <c r="C150" s="324"/>
      <c r="D150" s="324"/>
      <c r="E150" s="324"/>
    </row>
    <row r="151" spans="2:5" ht="12.75">
      <c r="B151" s="28" t="s">
        <v>62</v>
      </c>
      <c r="C151" s="28" t="s">
        <v>85</v>
      </c>
      <c r="D151" s="28" t="s">
        <v>64</v>
      </c>
      <c r="E151" s="28" t="s">
        <v>65</v>
      </c>
    </row>
    <row r="152" spans="1:5" ht="12.75">
      <c r="A152" s="24" t="s">
        <v>98</v>
      </c>
      <c r="B152" s="9">
        <f>B127/$B148</f>
        <v>0.5393340430002154</v>
      </c>
      <c r="C152" s="9">
        <f>C127/$B148</f>
        <v>0.9717672488206865</v>
      </c>
      <c r="D152" s="9">
        <f>D127/$B148</f>
        <v>0.562503952453629</v>
      </c>
      <c r="E152" s="9">
        <f>E127/$B148</f>
        <v>0.23905013983524517</v>
      </c>
    </row>
  </sheetData>
  <sheetProtection/>
  <mergeCells count="6">
    <mergeCell ref="B150:E150"/>
    <mergeCell ref="B96:E96"/>
    <mergeCell ref="B104:E104"/>
    <mergeCell ref="B124:E124"/>
    <mergeCell ref="B130:E130"/>
    <mergeCell ref="B141:E14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AU71"/>
  <sheetViews>
    <sheetView zoomScalePageLayoutView="0" workbookViewId="0" topLeftCell="A7">
      <selection activeCell="B41" sqref="B41"/>
    </sheetView>
  </sheetViews>
  <sheetFormatPr defaultColWidth="9.140625" defaultRowHeight="12.75"/>
  <cols>
    <col min="1" max="1" width="29.8515625" style="0" customWidth="1"/>
    <col min="2" max="2" width="9.7109375" style="0" customWidth="1"/>
    <col min="3" max="3" width="8.7109375" style="0" customWidth="1"/>
    <col min="4" max="4" width="10.28125" style="0" customWidth="1"/>
    <col min="5" max="6" width="9.8515625" style="0" customWidth="1"/>
    <col min="7" max="7" width="9.28125" style="0" bestFit="1" customWidth="1"/>
  </cols>
  <sheetData>
    <row r="1" ht="12.75">
      <c r="A1" t="s">
        <v>0</v>
      </c>
    </row>
    <row r="6" spans="2:6" ht="51">
      <c r="B6" t="s">
        <v>19</v>
      </c>
      <c r="D6" s="11" t="s">
        <v>23</v>
      </c>
      <c r="E6" s="11" t="s">
        <v>24</v>
      </c>
      <c r="F6" s="11" t="s">
        <v>25</v>
      </c>
    </row>
    <row r="7" spans="1:8" ht="12.75">
      <c r="A7" t="s">
        <v>21</v>
      </c>
      <c r="B7" s="6">
        <v>139.5</v>
      </c>
      <c r="D7" s="1">
        <v>22888000000</v>
      </c>
      <c r="E7" s="1">
        <f>D7/485</f>
        <v>47191752.577319585</v>
      </c>
      <c r="F7" s="1">
        <f>D7/485/0.8</f>
        <v>58989690.721649475</v>
      </c>
      <c r="G7" s="1">
        <f>D7/0.8</f>
        <v>28610000000</v>
      </c>
      <c r="H7" s="1">
        <f>B8*B$41</f>
        <v>80517919.07514451</v>
      </c>
    </row>
    <row r="8" spans="1:8" ht="12.75">
      <c r="A8" t="s">
        <v>20</v>
      </c>
      <c r="B8" s="15">
        <v>120</v>
      </c>
      <c r="D8" s="4">
        <f>C15+D15</f>
        <v>22893344000</v>
      </c>
      <c r="E8" s="4">
        <f>D8/485</f>
        <v>47202771.13402062</v>
      </c>
      <c r="F8" s="4">
        <f>D8/485/0.8</f>
        <v>59003463.91752577</v>
      </c>
      <c r="G8" s="4">
        <f>D8/0.8</f>
        <v>28616680000</v>
      </c>
      <c r="H8" s="4">
        <f>B7*B$41</f>
        <v>93602080.9248555</v>
      </c>
    </row>
    <row r="9" spans="2:8" ht="12.75">
      <c r="B9">
        <f>SUM(B7:B8)</f>
        <v>259.5</v>
      </c>
      <c r="D9" s="1">
        <f>SUM(D7:D8)</f>
        <v>45781344000</v>
      </c>
      <c r="E9" s="1">
        <f>SUM(E7:E8)</f>
        <v>94394523.7113402</v>
      </c>
      <c r="F9" s="1">
        <f>SUM(F7:F8)</f>
        <v>117993154.63917524</v>
      </c>
      <c r="G9" s="1">
        <f>SUM(G7:G8)</f>
        <v>57226680000</v>
      </c>
      <c r="H9" s="1">
        <f>SUM(H7:H8)</f>
        <v>174120000</v>
      </c>
    </row>
    <row r="10" ht="12.75">
      <c r="A10" t="s">
        <v>36</v>
      </c>
    </row>
    <row r="11" ht="12.75">
      <c r="C11" t="s">
        <v>35</v>
      </c>
    </row>
    <row r="12" spans="1:22" ht="12.75">
      <c r="A12" t="s">
        <v>1</v>
      </c>
      <c r="C12">
        <v>1</v>
      </c>
      <c r="D12">
        <v>2</v>
      </c>
      <c r="E12">
        <v>3</v>
      </c>
      <c r="F12">
        <v>4</v>
      </c>
      <c r="G12">
        <v>5</v>
      </c>
      <c r="H12">
        <v>6</v>
      </c>
      <c r="I12">
        <v>7</v>
      </c>
      <c r="J12">
        <v>8</v>
      </c>
      <c r="K12">
        <v>9</v>
      </c>
      <c r="L12">
        <v>10</v>
      </c>
      <c r="M12">
        <v>11</v>
      </c>
      <c r="N12">
        <v>12</v>
      </c>
      <c r="O12">
        <v>13</v>
      </c>
      <c r="P12">
        <v>14</v>
      </c>
      <c r="Q12">
        <v>15</v>
      </c>
      <c r="R12">
        <v>16</v>
      </c>
      <c r="S12">
        <v>17</v>
      </c>
      <c r="T12">
        <v>18</v>
      </c>
      <c r="U12">
        <v>19</v>
      </c>
      <c r="V12">
        <v>20</v>
      </c>
    </row>
    <row r="13" spans="1:22" ht="12.75">
      <c r="A13" t="s">
        <v>2</v>
      </c>
      <c r="C13">
        <v>2010</v>
      </c>
      <c r="D13">
        <v>2011</v>
      </c>
      <c r="E13">
        <v>2012</v>
      </c>
      <c r="F13">
        <v>2013</v>
      </c>
      <c r="G13">
        <v>2014</v>
      </c>
      <c r="H13">
        <v>2015</v>
      </c>
      <c r="I13">
        <v>2016</v>
      </c>
      <c r="J13">
        <v>2017</v>
      </c>
      <c r="K13">
        <v>2018</v>
      </c>
      <c r="L13">
        <v>2019</v>
      </c>
      <c r="M13">
        <v>2020</v>
      </c>
      <c r="N13">
        <v>2021</v>
      </c>
      <c r="O13">
        <v>2022</v>
      </c>
      <c r="P13">
        <v>2023</v>
      </c>
      <c r="Q13">
        <v>2024</v>
      </c>
      <c r="R13">
        <v>2025</v>
      </c>
      <c r="S13">
        <v>2026</v>
      </c>
      <c r="T13">
        <v>2027</v>
      </c>
      <c r="U13">
        <v>2028</v>
      </c>
      <c r="V13">
        <v>2029</v>
      </c>
    </row>
    <row r="14" ht="12.75">
      <c r="A14" t="s">
        <v>4</v>
      </c>
    </row>
    <row r="15" spans="1:29" ht="12.75">
      <c r="A15" t="s">
        <v>3</v>
      </c>
      <c r="C15" s="1">
        <v>11446672000</v>
      </c>
      <c r="D15" s="1">
        <v>11446672000</v>
      </c>
      <c r="F15" s="1"/>
      <c r="G15" s="1"/>
      <c r="H15" s="1"/>
      <c r="I15" s="1"/>
      <c r="J15" s="1"/>
      <c r="K15" s="1"/>
      <c r="L15" s="1"/>
      <c r="M15" s="1"/>
      <c r="N15" s="1"/>
      <c r="O15" s="1"/>
      <c r="P15" s="1"/>
      <c r="Q15" s="1"/>
      <c r="R15" s="1"/>
      <c r="S15" s="1"/>
      <c r="T15" s="1"/>
      <c r="U15" s="1"/>
      <c r="V15" s="1"/>
      <c r="W15" s="1"/>
      <c r="X15" s="1"/>
      <c r="Y15" s="1"/>
      <c r="Z15" s="1"/>
      <c r="AA15" s="1"/>
      <c r="AB15" s="1"/>
      <c r="AC15" s="1"/>
    </row>
    <row r="16" spans="1:31" ht="12.75">
      <c r="A16" t="s">
        <v>6</v>
      </c>
      <c r="C16" s="1">
        <v>8460834000</v>
      </c>
      <c r="D16" s="1">
        <v>10070506000</v>
      </c>
      <c r="E16" s="1">
        <v>8132703000</v>
      </c>
      <c r="F16" s="1">
        <v>8422561000</v>
      </c>
      <c r="G16" s="1">
        <v>8719325000</v>
      </c>
      <c r="H16" s="1">
        <v>9026701000</v>
      </c>
      <c r="I16" s="1">
        <v>9345112000</v>
      </c>
      <c r="J16" s="1">
        <v>9675008000</v>
      </c>
      <c r="K16" s="1">
        <v>10016885000</v>
      </c>
      <c r="L16" s="1">
        <v>10371286000</v>
      </c>
      <c r="M16" s="1">
        <v>10738818000</v>
      </c>
      <c r="N16" s="1">
        <v>11120178000</v>
      </c>
      <c r="O16" s="1">
        <v>11516161000</v>
      </c>
      <c r="P16" s="1">
        <v>11927710000</v>
      </c>
      <c r="Q16" s="1">
        <v>12355952000</v>
      </c>
      <c r="R16" s="1">
        <v>12802272000</v>
      </c>
      <c r="S16" s="1">
        <v>13268386000</v>
      </c>
      <c r="T16" s="1">
        <v>13757133000</v>
      </c>
      <c r="U16" s="1">
        <v>14270307000</v>
      </c>
      <c r="V16" s="1">
        <v>14810747000</v>
      </c>
      <c r="W16" s="1"/>
      <c r="X16" s="1"/>
      <c r="Y16" s="1"/>
      <c r="Z16" s="1"/>
      <c r="AA16" s="1"/>
      <c r="AB16" s="1"/>
      <c r="AC16" s="1"/>
      <c r="AD16" s="1"/>
      <c r="AE16" s="1"/>
    </row>
    <row r="17" spans="1:31" ht="12.75">
      <c r="A17" t="s">
        <v>7</v>
      </c>
      <c r="C17" s="4">
        <v>280820000</v>
      </c>
      <c r="D17" s="4">
        <v>334245000</v>
      </c>
      <c r="E17" s="4">
        <v>192128000</v>
      </c>
      <c r="F17" s="4">
        <v>198891000</v>
      </c>
      <c r="G17" s="4">
        <v>205867000</v>
      </c>
      <c r="H17" s="4">
        <v>213089000</v>
      </c>
      <c r="I17" s="4">
        <f aca="true" t="shared" si="0" ref="I17:V17">H17*1.0351</f>
        <v>220568423.89999998</v>
      </c>
      <c r="J17" s="4">
        <f t="shared" si="0"/>
        <v>228310375.57888997</v>
      </c>
      <c r="K17" s="4">
        <f t="shared" si="0"/>
        <v>236324069.76170897</v>
      </c>
      <c r="L17" s="4">
        <f t="shared" si="0"/>
        <v>244619044.61034495</v>
      </c>
      <c r="M17" s="4">
        <f t="shared" si="0"/>
        <v>253205173.07616803</v>
      </c>
      <c r="N17" s="4">
        <f t="shared" si="0"/>
        <v>262092674.6511415</v>
      </c>
      <c r="O17" s="4">
        <f t="shared" si="0"/>
        <v>271292127.5313965</v>
      </c>
      <c r="P17" s="4">
        <f t="shared" si="0"/>
        <v>280814481.2077485</v>
      </c>
      <c r="Q17" s="4">
        <f t="shared" si="0"/>
        <v>290671069.4981404</v>
      </c>
      <c r="R17" s="4">
        <f t="shared" si="0"/>
        <v>300873624.0375251</v>
      </c>
      <c r="S17" s="4">
        <f t="shared" si="0"/>
        <v>311434288.24124223</v>
      </c>
      <c r="T17" s="4">
        <f t="shared" si="0"/>
        <v>322365631.7585098</v>
      </c>
      <c r="U17" s="4">
        <f t="shared" si="0"/>
        <v>333680665.4332335</v>
      </c>
      <c r="V17" s="4">
        <f t="shared" si="0"/>
        <v>345392856.78993994</v>
      </c>
      <c r="W17" s="1"/>
      <c r="X17" s="1"/>
      <c r="Y17" s="1"/>
      <c r="Z17" s="1"/>
      <c r="AA17" s="1"/>
      <c r="AB17" s="1"/>
      <c r="AC17" s="1"/>
      <c r="AD17" s="1"/>
      <c r="AE17" s="1"/>
    </row>
    <row r="18" spans="3:31" ht="12.75">
      <c r="C18" s="1">
        <f aca="true" t="shared" si="1" ref="C18:U18">SUM(C15:C17)</f>
        <v>20188326000</v>
      </c>
      <c r="D18" s="1">
        <f t="shared" si="1"/>
        <v>21851423000</v>
      </c>
      <c r="E18" s="1">
        <f t="shared" si="1"/>
        <v>8324831000</v>
      </c>
      <c r="F18" s="1">
        <f t="shared" si="1"/>
        <v>8621452000</v>
      </c>
      <c r="G18" s="1">
        <f t="shared" si="1"/>
        <v>8925192000</v>
      </c>
      <c r="H18" s="1">
        <f t="shared" si="1"/>
        <v>9239790000</v>
      </c>
      <c r="I18" s="1">
        <f t="shared" si="1"/>
        <v>9565680423.9</v>
      </c>
      <c r="J18" s="1">
        <f t="shared" si="1"/>
        <v>9903318375.57889</v>
      </c>
      <c r="K18" s="1">
        <f t="shared" si="1"/>
        <v>10253209069.76171</v>
      </c>
      <c r="L18" s="1">
        <f t="shared" si="1"/>
        <v>10615905044.610346</v>
      </c>
      <c r="M18" s="1">
        <f t="shared" si="1"/>
        <v>10992023173.076168</v>
      </c>
      <c r="N18" s="1">
        <f t="shared" si="1"/>
        <v>11382270674.651142</v>
      </c>
      <c r="O18" s="1">
        <f t="shared" si="1"/>
        <v>11787453127.531397</v>
      </c>
      <c r="P18" s="1">
        <f t="shared" si="1"/>
        <v>12208524481.207748</v>
      </c>
      <c r="Q18" s="1">
        <f t="shared" si="1"/>
        <v>12646623069.49814</v>
      </c>
      <c r="R18" s="1">
        <f t="shared" si="1"/>
        <v>13103145624.037525</v>
      </c>
      <c r="S18" s="1">
        <f t="shared" si="1"/>
        <v>13579820288.241241</v>
      </c>
      <c r="T18" s="1">
        <f t="shared" si="1"/>
        <v>14079498631.75851</v>
      </c>
      <c r="U18" s="1">
        <f t="shared" si="1"/>
        <v>14603987665.433233</v>
      </c>
      <c r="V18" s="1">
        <f>SUM(V15:V17)-5828645000</f>
        <v>9327494856.78994</v>
      </c>
      <c r="W18" s="1">
        <f>SUM(C18:V18)</f>
        <v>241199968506.076</v>
      </c>
      <c r="X18" s="1"/>
      <c r="Y18" s="1"/>
      <c r="Z18" s="1"/>
      <c r="AA18" s="1"/>
      <c r="AB18" s="1"/>
      <c r="AC18" s="1"/>
      <c r="AD18" s="1"/>
      <c r="AE18" s="1"/>
    </row>
    <row r="19" spans="1:31" ht="12.75">
      <c r="A19" t="s">
        <v>34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23:31" ht="12.75">
      <c r="W20" s="1"/>
      <c r="X20" s="1"/>
      <c r="Y20" s="1"/>
      <c r="Z20" s="1"/>
      <c r="AA20" s="1"/>
      <c r="AB20" s="1"/>
      <c r="AC20" s="1"/>
      <c r="AD20" s="1"/>
      <c r="AE20" s="1"/>
    </row>
    <row r="21" spans="3:31" ht="12.75">
      <c r="C21">
        <v>1</v>
      </c>
      <c r="D21">
        <v>2</v>
      </c>
      <c r="E21">
        <v>3</v>
      </c>
      <c r="F21">
        <v>4</v>
      </c>
      <c r="G21">
        <v>5</v>
      </c>
      <c r="H21">
        <v>6</v>
      </c>
      <c r="I21">
        <v>7</v>
      </c>
      <c r="J21">
        <v>8</v>
      </c>
      <c r="K21">
        <v>9</v>
      </c>
      <c r="L21">
        <v>10</v>
      </c>
      <c r="M21">
        <v>11</v>
      </c>
      <c r="N21">
        <v>12</v>
      </c>
      <c r="O21">
        <v>13</v>
      </c>
      <c r="P21">
        <v>14</v>
      </c>
      <c r="Q21">
        <v>15</v>
      </c>
      <c r="R21">
        <v>16</v>
      </c>
      <c r="S21">
        <v>17</v>
      </c>
      <c r="T21">
        <v>18</v>
      </c>
      <c r="U21">
        <v>19</v>
      </c>
      <c r="V21">
        <v>20</v>
      </c>
      <c r="W21" s="1"/>
      <c r="X21" s="1"/>
      <c r="Y21" s="1"/>
      <c r="Z21" s="1"/>
      <c r="AA21" s="1"/>
      <c r="AB21" s="1"/>
      <c r="AC21" s="1"/>
      <c r="AD21" s="1"/>
      <c r="AE21" s="1"/>
    </row>
    <row r="22" spans="1:22" ht="12.75">
      <c r="A22" t="s">
        <v>5</v>
      </c>
      <c r="C22">
        <v>2010</v>
      </c>
      <c r="D22">
        <v>2011</v>
      </c>
      <c r="E22">
        <v>2012</v>
      </c>
      <c r="F22">
        <v>2013</v>
      </c>
      <c r="G22">
        <v>2014</v>
      </c>
      <c r="H22">
        <v>2015</v>
      </c>
      <c r="I22">
        <v>2016</v>
      </c>
      <c r="J22">
        <v>2017</v>
      </c>
      <c r="K22">
        <v>2018</v>
      </c>
      <c r="L22">
        <v>2019</v>
      </c>
      <c r="M22">
        <v>2020</v>
      </c>
      <c r="N22">
        <v>2021</v>
      </c>
      <c r="O22">
        <v>2022</v>
      </c>
      <c r="P22">
        <v>2023</v>
      </c>
      <c r="Q22">
        <v>2024</v>
      </c>
      <c r="R22">
        <v>2025</v>
      </c>
      <c r="S22">
        <v>2026</v>
      </c>
      <c r="T22">
        <v>2027</v>
      </c>
      <c r="U22">
        <v>2028</v>
      </c>
      <c r="V22">
        <v>2029</v>
      </c>
    </row>
    <row r="23" spans="1:46" ht="12.75">
      <c r="A23" t="s">
        <v>3</v>
      </c>
      <c r="H23" s="1">
        <v>3348000000</v>
      </c>
      <c r="I23" s="1"/>
      <c r="J23" s="1"/>
      <c r="K23" s="1"/>
      <c r="L23" s="1"/>
      <c r="M23" s="1"/>
      <c r="N23" s="1"/>
      <c r="O23" s="1"/>
      <c r="P23" s="1"/>
      <c r="Q23" s="1">
        <v>3348000000</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t="s">
        <v>8</v>
      </c>
      <c r="C24" s="1">
        <v>977000</v>
      </c>
      <c r="D24" s="1">
        <v>977000</v>
      </c>
      <c r="E24" s="1">
        <v>977000</v>
      </c>
      <c r="F24" s="1">
        <v>977000</v>
      </c>
      <c r="G24" s="1">
        <v>977000</v>
      </c>
      <c r="H24" s="1">
        <v>4846000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7" ht="12.75">
      <c r="A25" t="s">
        <v>6</v>
      </c>
      <c r="C25" s="1">
        <v>8460834000</v>
      </c>
      <c r="D25" s="1">
        <v>8882140000</v>
      </c>
      <c r="E25" s="1">
        <v>9316990000</v>
      </c>
      <c r="F25" s="1">
        <v>9759929000</v>
      </c>
      <c r="G25" s="1">
        <v>10237073000</v>
      </c>
      <c r="H25" s="1">
        <v>10760157000</v>
      </c>
      <c r="I25" s="1">
        <v>11051257000</v>
      </c>
      <c r="J25" s="1">
        <v>11506305000</v>
      </c>
      <c r="K25" s="1">
        <v>11982476000</v>
      </c>
      <c r="L25" s="1">
        <v>12480639000</v>
      </c>
      <c r="M25" s="1">
        <v>13001867000</v>
      </c>
      <c r="N25" s="1">
        <v>13549508000</v>
      </c>
      <c r="O25" s="1">
        <v>14132817000</v>
      </c>
      <c r="P25" s="1">
        <v>14766477000</v>
      </c>
      <c r="Q25" s="1">
        <v>15468780000</v>
      </c>
      <c r="R25" s="1">
        <v>15854964000</v>
      </c>
      <c r="S25" s="1">
        <v>16521136000</v>
      </c>
      <c r="T25" s="1">
        <v>17219219000</v>
      </c>
      <c r="U25" s="1">
        <v>17950358000</v>
      </c>
      <c r="V25" s="1">
        <v>18716117000</v>
      </c>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2.75">
      <c r="A26" t="s">
        <v>7</v>
      </c>
      <c r="C26" s="4">
        <v>280820000</v>
      </c>
      <c r="D26" s="4">
        <v>292251000</v>
      </c>
      <c r="E26" s="4">
        <v>304472000</v>
      </c>
      <c r="F26" s="4">
        <v>317390000</v>
      </c>
      <c r="G26" s="4">
        <v>331581000</v>
      </c>
      <c r="H26" s="4">
        <v>347638000</v>
      </c>
      <c r="I26" s="4">
        <v>357237000</v>
      </c>
      <c r="J26" s="4">
        <v>371638000</v>
      </c>
      <c r="K26" s="4">
        <v>386790000</v>
      </c>
      <c r="L26" s="4">
        <v>402744000</v>
      </c>
      <c r="M26" s="4">
        <v>419556000</v>
      </c>
      <c r="N26" s="4">
        <v>437356000</v>
      </c>
      <c r="O26" s="4">
        <v>456501000</v>
      </c>
      <c r="P26" s="4">
        <v>477602000</v>
      </c>
      <c r="Q26" s="4">
        <v>501503000</v>
      </c>
      <c r="R26" s="4">
        <v>512758000</v>
      </c>
      <c r="S26" s="4">
        <v>535085000</v>
      </c>
      <c r="T26" s="4">
        <v>558629000</v>
      </c>
      <c r="U26" s="4">
        <v>583463000</v>
      </c>
      <c r="V26" s="4">
        <v>609664000</v>
      </c>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3:47" ht="12.75">
      <c r="C27" s="1">
        <f aca="true" t="shared" si="2" ref="C27:V27">SUM(C23:C26)</f>
        <v>8742631000</v>
      </c>
      <c r="D27" s="1">
        <f t="shared" si="2"/>
        <v>9175368000</v>
      </c>
      <c r="E27" s="1">
        <f t="shared" si="2"/>
        <v>9622439000</v>
      </c>
      <c r="F27" s="1">
        <f t="shared" si="2"/>
        <v>10078296000</v>
      </c>
      <c r="G27" s="1">
        <f t="shared" si="2"/>
        <v>10569631000</v>
      </c>
      <c r="H27" s="1">
        <f t="shared" si="2"/>
        <v>14460641000</v>
      </c>
      <c r="I27" s="1">
        <f t="shared" si="2"/>
        <v>11408494000</v>
      </c>
      <c r="J27" s="1">
        <f t="shared" si="2"/>
        <v>11877943000</v>
      </c>
      <c r="K27" s="1">
        <f t="shared" si="2"/>
        <v>12369266000</v>
      </c>
      <c r="L27" s="1">
        <f t="shared" si="2"/>
        <v>12883383000</v>
      </c>
      <c r="M27" s="1">
        <f t="shared" si="2"/>
        <v>13421423000</v>
      </c>
      <c r="N27" s="1">
        <f t="shared" si="2"/>
        <v>13986864000</v>
      </c>
      <c r="O27" s="1">
        <f t="shared" si="2"/>
        <v>14589318000</v>
      </c>
      <c r="P27" s="1">
        <f t="shared" si="2"/>
        <v>15244079000</v>
      </c>
      <c r="Q27" s="1">
        <f t="shared" si="2"/>
        <v>19318283000</v>
      </c>
      <c r="R27" s="1">
        <f t="shared" si="2"/>
        <v>16367722000</v>
      </c>
      <c r="S27" s="1">
        <f t="shared" si="2"/>
        <v>17056221000</v>
      </c>
      <c r="T27" s="1">
        <f t="shared" si="2"/>
        <v>17777848000</v>
      </c>
      <c r="U27" s="1">
        <f t="shared" si="2"/>
        <v>18533821000</v>
      </c>
      <c r="V27" s="1">
        <f t="shared" si="2"/>
        <v>19325781000</v>
      </c>
      <c r="W27" s="1">
        <f>SUM(C27:V27)</f>
        <v>276809452000</v>
      </c>
      <c r="X27" s="1"/>
      <c r="Y27" s="1"/>
      <c r="Z27" s="1"/>
      <c r="AA27" s="1"/>
      <c r="AB27" s="1"/>
      <c r="AC27" s="1"/>
      <c r="AD27" s="1"/>
      <c r="AE27" s="1"/>
      <c r="AF27" s="1"/>
      <c r="AG27" s="1"/>
      <c r="AH27" s="1"/>
      <c r="AI27" s="1"/>
      <c r="AJ27" s="1"/>
      <c r="AK27" s="1"/>
      <c r="AL27" s="1"/>
      <c r="AM27" s="1"/>
      <c r="AN27" s="1"/>
      <c r="AO27" s="1"/>
      <c r="AP27" s="1"/>
      <c r="AQ27" s="1"/>
      <c r="AR27" s="1"/>
      <c r="AS27" s="1"/>
      <c r="AT27" s="1"/>
      <c r="AU27" s="1"/>
    </row>
    <row r="28" spans="3:47" ht="12.7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2.75">
      <c r="A29" t="s">
        <v>9</v>
      </c>
      <c r="C29" s="1">
        <f aca="true" t="shared" si="3" ref="C29:V29">C27-C18</f>
        <v>-11445695000</v>
      </c>
      <c r="D29" s="1">
        <f t="shared" si="3"/>
        <v>-12676055000</v>
      </c>
      <c r="E29" s="1">
        <f t="shared" si="3"/>
        <v>1297608000</v>
      </c>
      <c r="F29" s="1">
        <f t="shared" si="3"/>
        <v>1456844000</v>
      </c>
      <c r="G29" s="1">
        <f t="shared" si="3"/>
        <v>1644439000</v>
      </c>
      <c r="H29" s="1">
        <f t="shared" si="3"/>
        <v>5220851000</v>
      </c>
      <c r="I29" s="1">
        <f t="shared" si="3"/>
        <v>1842813576.1000004</v>
      </c>
      <c r="J29" s="1">
        <f t="shared" si="3"/>
        <v>1974624624.4211102</v>
      </c>
      <c r="K29" s="1">
        <f t="shared" si="3"/>
        <v>2116056930.2382908</v>
      </c>
      <c r="L29" s="1">
        <f t="shared" si="3"/>
        <v>2267477955.389654</v>
      </c>
      <c r="M29" s="1">
        <f t="shared" si="3"/>
        <v>2429399826.923832</v>
      </c>
      <c r="N29" s="1">
        <f t="shared" si="3"/>
        <v>2604593325.348858</v>
      </c>
      <c r="O29" s="1">
        <f t="shared" si="3"/>
        <v>2801864872.468603</v>
      </c>
      <c r="P29" s="1">
        <f t="shared" si="3"/>
        <v>3035554518.7922516</v>
      </c>
      <c r="Q29" s="1">
        <f t="shared" si="3"/>
        <v>6671659930.50186</v>
      </c>
      <c r="R29" s="1">
        <f t="shared" si="3"/>
        <v>3264576375.962475</v>
      </c>
      <c r="S29" s="1">
        <f t="shared" si="3"/>
        <v>3476400711.7587585</v>
      </c>
      <c r="T29" s="1">
        <f t="shared" si="3"/>
        <v>3698349368.2414894</v>
      </c>
      <c r="U29" s="1">
        <f t="shared" si="3"/>
        <v>3929833334.5667667</v>
      </c>
      <c r="V29" s="1">
        <f t="shared" si="3"/>
        <v>9998286143.21006</v>
      </c>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ht="12.75">
      <c r="B30" t="s">
        <v>10</v>
      </c>
      <c r="C30" s="13">
        <f>IRR(C29:V29,0.1)</f>
        <v>0.08706434594916157</v>
      </c>
      <c r="D30" s="1"/>
      <c r="E30" s="1">
        <v>2413454000</v>
      </c>
      <c r="F30" s="1">
        <v>2618661000</v>
      </c>
      <c r="G30" s="1">
        <v>2854180000</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3:47" ht="12.75">
      <c r="C31" s="13"/>
      <c r="D31" s="1"/>
      <c r="E31" s="1">
        <f>E30-E29</f>
        <v>1115846000</v>
      </c>
      <c r="F31" s="1">
        <f>F30-F29</f>
        <v>1161817000</v>
      </c>
      <c r="G31" s="1">
        <f>G30-G29</f>
        <v>1209741000</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75">
      <c r="A32" t="s">
        <v>26</v>
      </c>
      <c r="C32" s="13"/>
      <c r="D32" s="1"/>
      <c r="E32" s="10">
        <f>E31/E29</f>
        <v>0.859925339547845</v>
      </c>
      <c r="F32" s="10">
        <f>F31/F29</f>
        <v>0.797488955577948</v>
      </c>
      <c r="G32" s="10">
        <f>G31/G29</f>
        <v>0.7356557464278091</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2.75">
      <c r="A33" t="s">
        <v>38</v>
      </c>
      <c r="B33">
        <v>877</v>
      </c>
      <c r="C33" s="1"/>
      <c r="D33" s="1"/>
      <c r="E33" s="10">
        <f>E30/B33/485</f>
        <v>5674.109252489156</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75">
      <c r="A34" t="s">
        <v>27</v>
      </c>
      <c r="B34" s="1">
        <v>101000000</v>
      </c>
      <c r="C34" s="1"/>
      <c r="D34" s="1"/>
      <c r="E34" s="10"/>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2.75">
      <c r="A35" t="s">
        <v>28</v>
      </c>
      <c r="B35" s="1">
        <f>B34*0.06</f>
        <v>6060000</v>
      </c>
      <c r="C35" s="1"/>
      <c r="D35" s="1"/>
      <c r="E35" s="10">
        <f>E29/B33/B8/485</f>
        <v>25.42265690204422</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75">
      <c r="A36" t="s">
        <v>29</v>
      </c>
      <c r="B36" s="1">
        <f>B35</f>
        <v>6060000</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75">
      <c r="A37" t="s">
        <v>30</v>
      </c>
      <c r="B37" s="1">
        <v>31000000</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75">
      <c r="A38" t="s">
        <v>31</v>
      </c>
      <c r="B38" s="4">
        <v>30000000</v>
      </c>
      <c r="D38" s="12"/>
      <c r="E38" s="12"/>
      <c r="F38" s="12"/>
      <c r="G38" s="14"/>
      <c r="H38" s="12"/>
      <c r="I38" s="12"/>
      <c r="J38" s="12"/>
      <c r="K38" s="12"/>
      <c r="L38" s="12"/>
      <c r="M38" s="12"/>
      <c r="N38" s="12"/>
      <c r="O38" s="12"/>
      <c r="P38" s="12"/>
      <c r="Q38" s="12"/>
      <c r="R38" s="12"/>
      <c r="S38" s="12"/>
      <c r="T38" s="12"/>
      <c r="U38" s="12"/>
      <c r="V38" s="12"/>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75">
      <c r="A39" t="s">
        <v>32</v>
      </c>
      <c r="B39" s="1">
        <f>SUM(B34:B38)</f>
        <v>174120000</v>
      </c>
      <c r="D39" s="12"/>
      <c r="E39" s="12"/>
      <c r="F39" s="12"/>
      <c r="G39" s="14"/>
      <c r="H39" s="12"/>
      <c r="I39" s="12"/>
      <c r="J39" s="12"/>
      <c r="K39" s="12"/>
      <c r="L39" s="12"/>
      <c r="M39" s="12"/>
      <c r="N39" s="12"/>
      <c r="O39" s="12"/>
      <c r="P39" s="12"/>
      <c r="Q39" s="12"/>
      <c r="R39" s="12"/>
      <c r="S39" s="12"/>
      <c r="T39" s="12"/>
      <c r="U39" s="12"/>
      <c r="V39" s="12"/>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4:47" ht="12.75">
      <c r="D40" s="12"/>
      <c r="E40" s="12"/>
      <c r="F40" s="12"/>
      <c r="G40" s="14"/>
      <c r="H40" s="12"/>
      <c r="I40" s="12"/>
      <c r="J40" s="12"/>
      <c r="K40" s="12"/>
      <c r="L40" s="12"/>
      <c r="M40" s="12"/>
      <c r="N40" s="12"/>
      <c r="O40" s="12"/>
      <c r="P40" s="12"/>
      <c r="Q40" s="12"/>
      <c r="R40" s="12"/>
      <c r="S40" s="12"/>
      <c r="T40" s="12"/>
      <c r="U40" s="12"/>
      <c r="V40" s="12"/>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75">
      <c r="A41" t="s">
        <v>33</v>
      </c>
      <c r="B41" s="7">
        <f>B39/B9</f>
        <v>670982.6589595376</v>
      </c>
      <c r="D41" s="12"/>
      <c r="E41" s="12"/>
      <c r="F41" s="12"/>
      <c r="G41" s="14"/>
      <c r="H41" s="12"/>
      <c r="I41" s="12"/>
      <c r="J41" s="12"/>
      <c r="K41" s="12"/>
      <c r="L41" s="12"/>
      <c r="M41" s="12"/>
      <c r="N41" s="12"/>
      <c r="O41" s="12"/>
      <c r="P41" s="12"/>
      <c r="Q41" s="12"/>
      <c r="R41" s="12"/>
      <c r="S41" s="12"/>
      <c r="T41" s="12"/>
      <c r="U41" s="12"/>
      <c r="V41" s="12"/>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2:47" ht="12.75">
      <c r="B42" s="7"/>
      <c r="D42" s="12"/>
      <c r="E42" s="12"/>
      <c r="F42" s="12"/>
      <c r="G42" s="14"/>
      <c r="H42" s="12"/>
      <c r="I42" s="12"/>
      <c r="J42" s="12"/>
      <c r="K42" s="12"/>
      <c r="L42" s="12"/>
      <c r="M42" s="12"/>
      <c r="N42" s="12"/>
      <c r="O42" s="12"/>
      <c r="P42" s="12"/>
      <c r="Q42" s="12"/>
      <c r="R42" s="12"/>
      <c r="S42" s="12"/>
      <c r="T42" s="12"/>
      <c r="U42" s="12"/>
      <c r="V42" s="12"/>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3:47" ht="12.75">
      <c r="C43" t="s">
        <v>35</v>
      </c>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3:47" ht="12.75">
      <c r="C44">
        <v>1</v>
      </c>
      <c r="D44">
        <v>2</v>
      </c>
      <c r="E44">
        <v>3</v>
      </c>
      <c r="F44">
        <v>4</v>
      </c>
      <c r="G44">
        <v>5</v>
      </c>
      <c r="H44">
        <v>6</v>
      </c>
      <c r="I44">
        <v>7</v>
      </c>
      <c r="J44">
        <v>8</v>
      </c>
      <c r="K44">
        <v>9</v>
      </c>
      <c r="L44">
        <v>10</v>
      </c>
      <c r="M44">
        <v>11</v>
      </c>
      <c r="N44">
        <v>12</v>
      </c>
      <c r="O44">
        <v>13</v>
      </c>
      <c r="P44">
        <v>14</v>
      </c>
      <c r="Q44">
        <v>15</v>
      </c>
      <c r="R44">
        <v>16</v>
      </c>
      <c r="S44">
        <v>17</v>
      </c>
      <c r="T44">
        <v>18</v>
      </c>
      <c r="U44">
        <v>19</v>
      </c>
      <c r="V44">
        <v>20</v>
      </c>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3:47" ht="12.75">
      <c r="C45">
        <v>2010</v>
      </c>
      <c r="D45">
        <v>2011</v>
      </c>
      <c r="E45">
        <v>2012</v>
      </c>
      <c r="F45">
        <v>2013</v>
      </c>
      <c r="G45">
        <v>2014</v>
      </c>
      <c r="H45">
        <v>2015</v>
      </c>
      <c r="I45">
        <v>2016</v>
      </c>
      <c r="J45">
        <v>2017</v>
      </c>
      <c r="K45">
        <v>2018</v>
      </c>
      <c r="L45">
        <v>2019</v>
      </c>
      <c r="M45">
        <v>2020</v>
      </c>
      <c r="N45">
        <v>2021</v>
      </c>
      <c r="O45">
        <v>2022</v>
      </c>
      <c r="P45">
        <v>2023</v>
      </c>
      <c r="Q45">
        <v>2024</v>
      </c>
      <c r="R45">
        <v>2025</v>
      </c>
      <c r="S45">
        <v>2026</v>
      </c>
      <c r="T45">
        <v>2027</v>
      </c>
      <c r="U45">
        <v>2028</v>
      </c>
      <c r="V45">
        <v>2029</v>
      </c>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75">
      <c r="A46" t="s">
        <v>4</v>
      </c>
      <c r="D46" s="12"/>
      <c r="E46" s="12"/>
      <c r="F46" s="12"/>
      <c r="G46" s="14"/>
      <c r="H46" s="12"/>
      <c r="I46" s="12"/>
      <c r="J46" s="12"/>
      <c r="K46" s="12"/>
      <c r="L46" s="12"/>
      <c r="M46" s="12"/>
      <c r="N46" s="12"/>
      <c r="O46" s="12"/>
      <c r="P46" s="12"/>
      <c r="Q46" s="12"/>
      <c r="R46" s="12"/>
      <c r="S46" s="12"/>
      <c r="T46" s="12"/>
      <c r="U46" s="12"/>
      <c r="V46" s="12"/>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2.75">
      <c r="A47" t="s">
        <v>3</v>
      </c>
      <c r="C47" s="1">
        <f>0.5*$B7*$B41*485</f>
        <v>22698504624.27746</v>
      </c>
      <c r="D47" s="1">
        <f>0.5*$B7*$B41*485</f>
        <v>22698504624.27746</v>
      </c>
      <c r="E47" s="12"/>
      <c r="F47" s="12"/>
      <c r="G47" s="14"/>
      <c r="H47" s="12"/>
      <c r="I47" s="12"/>
      <c r="J47" s="12"/>
      <c r="K47" s="12"/>
      <c r="L47" s="12"/>
      <c r="M47" s="12"/>
      <c r="N47" s="12"/>
      <c r="O47" s="12"/>
      <c r="P47" s="12"/>
      <c r="Q47" s="12"/>
      <c r="R47" s="12"/>
      <c r="S47" s="12"/>
      <c r="T47" s="12"/>
      <c r="U47" s="12"/>
      <c r="V47" s="12"/>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2.75">
      <c r="A48" t="s">
        <v>6</v>
      </c>
      <c r="C48" s="1">
        <f aca="true" t="shared" si="4" ref="C48:V48">C16</f>
        <v>8460834000</v>
      </c>
      <c r="D48" s="1">
        <f t="shared" si="4"/>
        <v>10070506000</v>
      </c>
      <c r="E48" s="1">
        <f t="shared" si="4"/>
        <v>8132703000</v>
      </c>
      <c r="F48" s="1">
        <f t="shared" si="4"/>
        <v>8422561000</v>
      </c>
      <c r="G48" s="1">
        <f t="shared" si="4"/>
        <v>8719325000</v>
      </c>
      <c r="H48" s="1">
        <f t="shared" si="4"/>
        <v>9026701000</v>
      </c>
      <c r="I48" s="1">
        <f t="shared" si="4"/>
        <v>9345112000</v>
      </c>
      <c r="J48" s="1">
        <f t="shared" si="4"/>
        <v>9675008000</v>
      </c>
      <c r="K48" s="1">
        <f t="shared" si="4"/>
        <v>10016885000</v>
      </c>
      <c r="L48" s="1">
        <f t="shared" si="4"/>
        <v>10371286000</v>
      </c>
      <c r="M48" s="1">
        <f t="shared" si="4"/>
        <v>10738818000</v>
      </c>
      <c r="N48" s="1">
        <f t="shared" si="4"/>
        <v>11120178000</v>
      </c>
      <c r="O48" s="1">
        <f t="shared" si="4"/>
        <v>11516161000</v>
      </c>
      <c r="P48" s="1">
        <f t="shared" si="4"/>
        <v>11927710000</v>
      </c>
      <c r="Q48" s="1">
        <f t="shared" si="4"/>
        <v>12355952000</v>
      </c>
      <c r="R48" s="1">
        <f t="shared" si="4"/>
        <v>12802272000</v>
      </c>
      <c r="S48" s="1">
        <f t="shared" si="4"/>
        <v>13268386000</v>
      </c>
      <c r="T48" s="1">
        <f t="shared" si="4"/>
        <v>13757133000</v>
      </c>
      <c r="U48" s="1">
        <f t="shared" si="4"/>
        <v>14270307000</v>
      </c>
      <c r="V48" s="1">
        <f t="shared" si="4"/>
        <v>14810747000</v>
      </c>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ht="12.75">
      <c r="A49" t="s">
        <v>7</v>
      </c>
      <c r="C49" s="4">
        <f aca="true" t="shared" si="5" ref="C49:V49">C17</f>
        <v>280820000</v>
      </c>
      <c r="D49" s="4">
        <f t="shared" si="5"/>
        <v>334245000</v>
      </c>
      <c r="E49" s="4">
        <f t="shared" si="5"/>
        <v>192128000</v>
      </c>
      <c r="F49" s="4">
        <f t="shared" si="5"/>
        <v>198891000</v>
      </c>
      <c r="G49" s="4">
        <f t="shared" si="5"/>
        <v>205867000</v>
      </c>
      <c r="H49" s="4">
        <f t="shared" si="5"/>
        <v>213089000</v>
      </c>
      <c r="I49" s="4">
        <f t="shared" si="5"/>
        <v>220568423.89999998</v>
      </c>
      <c r="J49" s="4">
        <f t="shared" si="5"/>
        <v>228310375.57888997</v>
      </c>
      <c r="K49" s="4">
        <f t="shared" si="5"/>
        <v>236324069.76170897</v>
      </c>
      <c r="L49" s="4">
        <f t="shared" si="5"/>
        <v>244619044.61034495</v>
      </c>
      <c r="M49" s="4">
        <f t="shared" si="5"/>
        <v>253205173.07616803</v>
      </c>
      <c r="N49" s="4">
        <f t="shared" si="5"/>
        <v>262092674.6511415</v>
      </c>
      <c r="O49" s="4">
        <f t="shared" si="5"/>
        <v>271292127.5313965</v>
      </c>
      <c r="P49" s="4">
        <f t="shared" si="5"/>
        <v>280814481.2077485</v>
      </c>
      <c r="Q49" s="4">
        <f t="shared" si="5"/>
        <v>290671069.4981404</v>
      </c>
      <c r="R49" s="4">
        <f t="shared" si="5"/>
        <v>300873624.0375251</v>
      </c>
      <c r="S49" s="4">
        <f t="shared" si="5"/>
        <v>311434288.24124223</v>
      </c>
      <c r="T49" s="4">
        <f t="shared" si="5"/>
        <v>322365631.7585098</v>
      </c>
      <c r="U49" s="4">
        <f t="shared" si="5"/>
        <v>333680665.4332335</v>
      </c>
      <c r="V49" s="4">
        <f t="shared" si="5"/>
        <v>345392856.78993994</v>
      </c>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3:47" ht="12.75">
      <c r="C50" s="1">
        <f aca="true" t="shared" si="6" ref="C50:V50">SUM(C47:C49)</f>
        <v>31440158624.27746</v>
      </c>
      <c r="D50" s="1">
        <f t="shared" si="6"/>
        <v>33103255624.27746</v>
      </c>
      <c r="E50" s="1">
        <f t="shared" si="6"/>
        <v>8324831000</v>
      </c>
      <c r="F50" s="1">
        <f t="shared" si="6"/>
        <v>8621452000</v>
      </c>
      <c r="G50" s="1">
        <f t="shared" si="6"/>
        <v>8925192000</v>
      </c>
      <c r="H50" s="1">
        <f t="shared" si="6"/>
        <v>9239790000</v>
      </c>
      <c r="I50" s="1">
        <f t="shared" si="6"/>
        <v>9565680423.9</v>
      </c>
      <c r="J50" s="1">
        <f t="shared" si="6"/>
        <v>9903318375.57889</v>
      </c>
      <c r="K50" s="1">
        <f t="shared" si="6"/>
        <v>10253209069.76171</v>
      </c>
      <c r="L50" s="1">
        <f t="shared" si="6"/>
        <v>10615905044.610346</v>
      </c>
      <c r="M50" s="1">
        <f t="shared" si="6"/>
        <v>10992023173.076168</v>
      </c>
      <c r="N50" s="1">
        <f t="shared" si="6"/>
        <v>11382270674.651142</v>
      </c>
      <c r="O50" s="1">
        <f t="shared" si="6"/>
        <v>11787453127.531397</v>
      </c>
      <c r="P50" s="1">
        <f t="shared" si="6"/>
        <v>12208524481.207748</v>
      </c>
      <c r="Q50" s="1">
        <f t="shared" si="6"/>
        <v>12646623069.49814</v>
      </c>
      <c r="R50" s="1">
        <f t="shared" si="6"/>
        <v>13103145624.037525</v>
      </c>
      <c r="S50" s="1">
        <f t="shared" si="6"/>
        <v>13579820288.241241</v>
      </c>
      <c r="T50" s="1">
        <f t="shared" si="6"/>
        <v>14079498631.75851</v>
      </c>
      <c r="U50" s="1">
        <f t="shared" si="6"/>
        <v>14603987665.433233</v>
      </c>
      <c r="V50" s="1">
        <f t="shared" si="6"/>
        <v>15156139856.78994</v>
      </c>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4:47" ht="12.75">
      <c r="D51" s="12"/>
      <c r="E51" s="12"/>
      <c r="F51" s="12"/>
      <c r="G51" s="14"/>
      <c r="H51" s="12"/>
      <c r="I51" s="12"/>
      <c r="J51" s="12"/>
      <c r="K51" s="12"/>
      <c r="L51" s="12"/>
      <c r="M51" s="12"/>
      <c r="N51" s="12"/>
      <c r="O51" s="12"/>
      <c r="P51" s="12"/>
      <c r="Q51" s="12"/>
      <c r="R51" s="12"/>
      <c r="S51" s="12"/>
      <c r="T51" s="12"/>
      <c r="U51" s="12"/>
      <c r="V51" s="12"/>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12.75">
      <c r="A52" t="s">
        <v>34</v>
      </c>
      <c r="D52" s="12"/>
      <c r="E52" s="12"/>
      <c r="F52" s="12"/>
      <c r="G52" s="14"/>
      <c r="H52" s="12"/>
      <c r="I52" s="12"/>
      <c r="J52" s="12"/>
      <c r="K52" s="12"/>
      <c r="L52" s="12"/>
      <c r="M52" s="12"/>
      <c r="N52" s="12"/>
      <c r="O52" s="12"/>
      <c r="P52" s="12"/>
      <c r="Q52" s="12"/>
      <c r="R52" s="12"/>
      <c r="S52" s="12"/>
      <c r="T52" s="12"/>
      <c r="U52" s="12"/>
      <c r="V52" s="12"/>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ht="12.75">
      <c r="A53" t="s">
        <v>5</v>
      </c>
      <c r="D53" s="12"/>
      <c r="E53" s="12"/>
      <c r="F53" s="12"/>
      <c r="G53" s="14"/>
      <c r="H53" s="12"/>
      <c r="I53" s="12"/>
      <c r="J53" s="12"/>
      <c r="K53" s="12"/>
      <c r="L53" s="12"/>
      <c r="M53" s="12"/>
      <c r="N53" s="12"/>
      <c r="O53" s="12"/>
      <c r="P53" s="12"/>
      <c r="Q53" s="12"/>
      <c r="R53" s="12"/>
      <c r="S53" s="12"/>
      <c r="T53" s="12"/>
      <c r="U53" s="12"/>
      <c r="V53" s="12"/>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1:47" ht="12.75">
      <c r="A54" t="s">
        <v>3</v>
      </c>
      <c r="C54" s="1">
        <f aca="true" t="shared" si="7" ref="C54:V54">C23/0.8</f>
        <v>0</v>
      </c>
      <c r="D54" s="1">
        <f t="shared" si="7"/>
        <v>0</v>
      </c>
      <c r="E54" s="1">
        <f t="shared" si="7"/>
        <v>0</v>
      </c>
      <c r="F54" s="1">
        <f t="shared" si="7"/>
        <v>0</v>
      </c>
      <c r="G54" s="1">
        <f t="shared" si="7"/>
        <v>0</v>
      </c>
      <c r="H54" s="1">
        <f t="shared" si="7"/>
        <v>4185000000</v>
      </c>
      <c r="I54" s="1">
        <f t="shared" si="7"/>
        <v>0</v>
      </c>
      <c r="J54" s="1">
        <f t="shared" si="7"/>
        <v>0</v>
      </c>
      <c r="K54" s="1">
        <f t="shared" si="7"/>
        <v>0</v>
      </c>
      <c r="L54" s="1">
        <f t="shared" si="7"/>
        <v>0</v>
      </c>
      <c r="M54" s="1">
        <f t="shared" si="7"/>
        <v>0</v>
      </c>
      <c r="N54" s="1">
        <f t="shared" si="7"/>
        <v>0</v>
      </c>
      <c r="O54" s="1">
        <f t="shared" si="7"/>
        <v>0</v>
      </c>
      <c r="P54" s="1">
        <f t="shared" si="7"/>
        <v>0</v>
      </c>
      <c r="Q54" s="1">
        <f t="shared" si="7"/>
        <v>4185000000</v>
      </c>
      <c r="R54" s="1">
        <f t="shared" si="7"/>
        <v>0</v>
      </c>
      <c r="S54" s="1">
        <f t="shared" si="7"/>
        <v>0</v>
      </c>
      <c r="T54" s="1">
        <f t="shared" si="7"/>
        <v>0</v>
      </c>
      <c r="U54" s="1">
        <f t="shared" si="7"/>
        <v>0</v>
      </c>
      <c r="V54" s="1">
        <f t="shared" si="7"/>
        <v>0</v>
      </c>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12.75">
      <c r="A55" t="s">
        <v>8</v>
      </c>
      <c r="C55" s="1">
        <f aca="true" t="shared" si="8" ref="C55:V55">C24</f>
        <v>977000</v>
      </c>
      <c r="D55" s="1">
        <f t="shared" si="8"/>
        <v>977000</v>
      </c>
      <c r="E55" s="1">
        <f t="shared" si="8"/>
        <v>977000</v>
      </c>
      <c r="F55" s="1">
        <f t="shared" si="8"/>
        <v>977000</v>
      </c>
      <c r="G55" s="1">
        <f t="shared" si="8"/>
        <v>977000</v>
      </c>
      <c r="H55" s="1">
        <f t="shared" si="8"/>
        <v>4846000</v>
      </c>
      <c r="I55" s="1">
        <f t="shared" si="8"/>
        <v>0</v>
      </c>
      <c r="J55" s="1">
        <f t="shared" si="8"/>
        <v>0</v>
      </c>
      <c r="K55" s="1">
        <f t="shared" si="8"/>
        <v>0</v>
      </c>
      <c r="L55" s="1">
        <f t="shared" si="8"/>
        <v>0</v>
      </c>
      <c r="M55" s="1">
        <f t="shared" si="8"/>
        <v>0</v>
      </c>
      <c r="N55" s="1">
        <f t="shared" si="8"/>
        <v>0</v>
      </c>
      <c r="O55" s="1">
        <f t="shared" si="8"/>
        <v>0</v>
      </c>
      <c r="P55" s="1">
        <f t="shared" si="8"/>
        <v>0</v>
      </c>
      <c r="Q55" s="1">
        <f t="shared" si="8"/>
        <v>0</v>
      </c>
      <c r="R55" s="1">
        <f t="shared" si="8"/>
        <v>0</v>
      </c>
      <c r="S55" s="1">
        <f t="shared" si="8"/>
        <v>0</v>
      </c>
      <c r="T55" s="1">
        <f t="shared" si="8"/>
        <v>0</v>
      </c>
      <c r="U55" s="1">
        <f t="shared" si="8"/>
        <v>0</v>
      </c>
      <c r="V55" s="1">
        <f t="shared" si="8"/>
        <v>0</v>
      </c>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12.75">
      <c r="A56" t="s">
        <v>6</v>
      </c>
      <c r="C56" s="1">
        <f aca="true" t="shared" si="9" ref="C56:V56">C25</f>
        <v>8460834000</v>
      </c>
      <c r="D56" s="1">
        <f t="shared" si="9"/>
        <v>8882140000</v>
      </c>
      <c r="E56" s="1">
        <f t="shared" si="9"/>
        <v>9316990000</v>
      </c>
      <c r="F56" s="1">
        <f t="shared" si="9"/>
        <v>9759929000</v>
      </c>
      <c r="G56" s="1">
        <f t="shared" si="9"/>
        <v>10237073000</v>
      </c>
      <c r="H56" s="1">
        <f t="shared" si="9"/>
        <v>10760157000</v>
      </c>
      <c r="I56" s="1">
        <f t="shared" si="9"/>
        <v>11051257000</v>
      </c>
      <c r="J56" s="1">
        <f t="shared" si="9"/>
        <v>11506305000</v>
      </c>
      <c r="K56" s="1">
        <f t="shared" si="9"/>
        <v>11982476000</v>
      </c>
      <c r="L56" s="1">
        <f t="shared" si="9"/>
        <v>12480639000</v>
      </c>
      <c r="M56" s="1">
        <f t="shared" si="9"/>
        <v>13001867000</v>
      </c>
      <c r="N56" s="1">
        <f t="shared" si="9"/>
        <v>13549508000</v>
      </c>
      <c r="O56" s="1">
        <f t="shared" si="9"/>
        <v>14132817000</v>
      </c>
      <c r="P56" s="1">
        <f t="shared" si="9"/>
        <v>14766477000</v>
      </c>
      <c r="Q56" s="1">
        <f t="shared" si="9"/>
        <v>15468780000</v>
      </c>
      <c r="R56" s="1">
        <f t="shared" si="9"/>
        <v>15854964000</v>
      </c>
      <c r="S56" s="1">
        <f t="shared" si="9"/>
        <v>16521136000</v>
      </c>
      <c r="T56" s="1">
        <f t="shared" si="9"/>
        <v>17219219000</v>
      </c>
      <c r="U56" s="1">
        <f t="shared" si="9"/>
        <v>17950358000</v>
      </c>
      <c r="V56" s="1">
        <f t="shared" si="9"/>
        <v>18716117000</v>
      </c>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12.75">
      <c r="A57" t="s">
        <v>7</v>
      </c>
      <c r="C57" s="4">
        <f aca="true" t="shared" si="10" ref="C57:V57">C26</f>
        <v>280820000</v>
      </c>
      <c r="D57" s="4">
        <f t="shared" si="10"/>
        <v>292251000</v>
      </c>
      <c r="E57" s="4">
        <f t="shared" si="10"/>
        <v>304472000</v>
      </c>
      <c r="F57" s="4">
        <f t="shared" si="10"/>
        <v>317390000</v>
      </c>
      <c r="G57" s="4">
        <f t="shared" si="10"/>
        <v>331581000</v>
      </c>
      <c r="H57" s="4">
        <f t="shared" si="10"/>
        <v>347638000</v>
      </c>
      <c r="I57" s="4">
        <f t="shared" si="10"/>
        <v>357237000</v>
      </c>
      <c r="J57" s="4">
        <f t="shared" si="10"/>
        <v>371638000</v>
      </c>
      <c r="K57" s="4">
        <f t="shared" si="10"/>
        <v>386790000</v>
      </c>
      <c r="L57" s="4">
        <f t="shared" si="10"/>
        <v>402744000</v>
      </c>
      <c r="M57" s="4">
        <f t="shared" si="10"/>
        <v>419556000</v>
      </c>
      <c r="N57" s="4">
        <f t="shared" si="10"/>
        <v>437356000</v>
      </c>
      <c r="O57" s="4">
        <f t="shared" si="10"/>
        <v>456501000</v>
      </c>
      <c r="P57" s="4">
        <f t="shared" si="10"/>
        <v>477602000</v>
      </c>
      <c r="Q57" s="4">
        <f t="shared" si="10"/>
        <v>501503000</v>
      </c>
      <c r="R57" s="4">
        <f t="shared" si="10"/>
        <v>512758000</v>
      </c>
      <c r="S57" s="4">
        <f t="shared" si="10"/>
        <v>535085000</v>
      </c>
      <c r="T57" s="4">
        <f t="shared" si="10"/>
        <v>558629000</v>
      </c>
      <c r="U57" s="4">
        <f t="shared" si="10"/>
        <v>583463000</v>
      </c>
      <c r="V57" s="4">
        <f t="shared" si="10"/>
        <v>609664000</v>
      </c>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3:47" ht="12.75">
      <c r="C58" s="1">
        <f aca="true" t="shared" si="11" ref="C58:V58">SUM(C54:C57)</f>
        <v>8742631000</v>
      </c>
      <c r="D58" s="1">
        <f t="shared" si="11"/>
        <v>9175368000</v>
      </c>
      <c r="E58" s="1">
        <f t="shared" si="11"/>
        <v>9622439000</v>
      </c>
      <c r="F58" s="1">
        <f t="shared" si="11"/>
        <v>10078296000</v>
      </c>
      <c r="G58" s="1">
        <f t="shared" si="11"/>
        <v>10569631000</v>
      </c>
      <c r="H58" s="1">
        <f t="shared" si="11"/>
        <v>15297641000</v>
      </c>
      <c r="I58" s="1">
        <f t="shared" si="11"/>
        <v>11408494000</v>
      </c>
      <c r="J58" s="1">
        <f t="shared" si="11"/>
        <v>11877943000</v>
      </c>
      <c r="K58" s="1">
        <f t="shared" si="11"/>
        <v>12369266000</v>
      </c>
      <c r="L58" s="1">
        <f t="shared" si="11"/>
        <v>12883383000</v>
      </c>
      <c r="M58" s="1">
        <f t="shared" si="11"/>
        <v>13421423000</v>
      </c>
      <c r="N58" s="1">
        <f t="shared" si="11"/>
        <v>13986864000</v>
      </c>
      <c r="O58" s="1">
        <f t="shared" si="11"/>
        <v>14589318000</v>
      </c>
      <c r="P58" s="1">
        <f t="shared" si="11"/>
        <v>15244079000</v>
      </c>
      <c r="Q58" s="1">
        <f t="shared" si="11"/>
        <v>20155283000</v>
      </c>
      <c r="R58" s="1">
        <f t="shared" si="11"/>
        <v>16367722000</v>
      </c>
      <c r="S58" s="1">
        <f t="shared" si="11"/>
        <v>17056221000</v>
      </c>
      <c r="T58" s="1">
        <f t="shared" si="11"/>
        <v>17777848000</v>
      </c>
      <c r="U58" s="1">
        <f t="shared" si="11"/>
        <v>18533821000</v>
      </c>
      <c r="V58" s="1">
        <f t="shared" si="11"/>
        <v>19325781000</v>
      </c>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4:47" ht="12.75">
      <c r="D59" s="12"/>
      <c r="E59" s="12"/>
      <c r="F59" s="12"/>
      <c r="G59" s="14"/>
      <c r="H59" s="12"/>
      <c r="I59" s="12"/>
      <c r="J59" s="12"/>
      <c r="K59" s="12"/>
      <c r="L59" s="12"/>
      <c r="M59" s="12"/>
      <c r="N59" s="12"/>
      <c r="O59" s="12"/>
      <c r="P59" s="12"/>
      <c r="Q59" s="12"/>
      <c r="R59" s="12"/>
      <c r="S59" s="12"/>
      <c r="T59" s="12"/>
      <c r="U59" s="12"/>
      <c r="V59" s="12"/>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ht="12.75">
      <c r="A60" t="s">
        <v>9</v>
      </c>
      <c r="C60" s="1">
        <f aca="true" t="shared" si="12" ref="C60:V60">C58-C50</f>
        <v>-22697527624.27746</v>
      </c>
      <c r="D60" s="1">
        <f t="shared" si="12"/>
        <v>-23927887624.27746</v>
      </c>
      <c r="E60" s="1">
        <f t="shared" si="12"/>
        <v>1297608000</v>
      </c>
      <c r="F60" s="1">
        <f t="shared" si="12"/>
        <v>1456844000</v>
      </c>
      <c r="G60" s="1">
        <f t="shared" si="12"/>
        <v>1644439000</v>
      </c>
      <c r="H60" s="1">
        <f t="shared" si="12"/>
        <v>6057851000</v>
      </c>
      <c r="I60" s="1">
        <f t="shared" si="12"/>
        <v>1842813576.1000004</v>
      </c>
      <c r="J60" s="1">
        <f t="shared" si="12"/>
        <v>1974624624.4211102</v>
      </c>
      <c r="K60" s="1">
        <f t="shared" si="12"/>
        <v>2116056930.2382908</v>
      </c>
      <c r="L60" s="1">
        <f t="shared" si="12"/>
        <v>2267477955.389654</v>
      </c>
      <c r="M60" s="1">
        <f t="shared" si="12"/>
        <v>2429399826.923832</v>
      </c>
      <c r="N60" s="1">
        <f t="shared" si="12"/>
        <v>2604593325.348858</v>
      </c>
      <c r="O60" s="1">
        <f t="shared" si="12"/>
        <v>2801864872.468603</v>
      </c>
      <c r="P60" s="1">
        <f t="shared" si="12"/>
        <v>3035554518.7922516</v>
      </c>
      <c r="Q60" s="1">
        <f t="shared" si="12"/>
        <v>7508659930.50186</v>
      </c>
      <c r="R60" s="1">
        <f t="shared" si="12"/>
        <v>3264576375.962475</v>
      </c>
      <c r="S60" s="1">
        <f t="shared" si="12"/>
        <v>3476400711.7587585</v>
      </c>
      <c r="T60" s="1">
        <f t="shared" si="12"/>
        <v>3698349368.2414894</v>
      </c>
      <c r="U60" s="1">
        <f t="shared" si="12"/>
        <v>3929833334.5667667</v>
      </c>
      <c r="V60" s="1">
        <f t="shared" si="12"/>
        <v>4169641143.21006</v>
      </c>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2:47" ht="12.75">
      <c r="B61" t="s">
        <v>10</v>
      </c>
      <c r="C61" s="13">
        <f>IRR(C60:V60,0.01)</f>
        <v>0.015993238408732235</v>
      </c>
      <c r="D61" s="12"/>
      <c r="E61" s="12"/>
      <c r="F61" s="12"/>
      <c r="G61" s="14"/>
      <c r="H61" s="12"/>
      <c r="I61" s="12"/>
      <c r="J61" s="12"/>
      <c r="K61" s="12"/>
      <c r="L61" s="12"/>
      <c r="M61" s="12"/>
      <c r="N61" s="12"/>
      <c r="O61" s="12"/>
      <c r="P61" s="12"/>
      <c r="Q61" s="12"/>
      <c r="R61" s="12"/>
      <c r="S61" s="12"/>
      <c r="T61" s="12"/>
      <c r="U61" s="12"/>
      <c r="V61" s="12"/>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4:47" ht="12.75">
      <c r="D62" s="12"/>
      <c r="E62" s="12"/>
      <c r="F62" s="12"/>
      <c r="G62" s="14"/>
      <c r="H62" s="12"/>
      <c r="I62" s="12"/>
      <c r="J62" s="12"/>
      <c r="K62" s="12"/>
      <c r="L62" s="12"/>
      <c r="M62" s="12"/>
      <c r="N62" s="12"/>
      <c r="O62" s="12"/>
      <c r="P62" s="12"/>
      <c r="Q62" s="12"/>
      <c r="R62" s="12"/>
      <c r="S62" s="12"/>
      <c r="T62" s="12"/>
      <c r="U62" s="12"/>
      <c r="V62" s="12"/>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4:47" ht="12.75">
      <c r="D63" s="12"/>
      <c r="E63" s="12"/>
      <c r="F63" s="12"/>
      <c r="G63" s="14"/>
      <c r="H63" s="12"/>
      <c r="I63" s="12"/>
      <c r="J63" s="12"/>
      <c r="K63" s="12"/>
      <c r="L63" s="12"/>
      <c r="M63" s="12"/>
      <c r="N63" s="12"/>
      <c r="O63" s="12"/>
      <c r="P63" s="12"/>
      <c r="Q63" s="12"/>
      <c r="R63" s="12"/>
      <c r="S63" s="12"/>
      <c r="T63" s="12"/>
      <c r="U63" s="12"/>
      <c r="V63" s="12"/>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6" ht="12.75">
      <c r="A64" t="s">
        <v>11</v>
      </c>
      <c r="C64" t="s">
        <v>18</v>
      </c>
      <c r="D64" s="12"/>
      <c r="E64" s="12"/>
      <c r="F64" s="12"/>
      <c r="G64" s="12"/>
      <c r="H64" s="12"/>
      <c r="I64" s="12"/>
      <c r="J64" s="12"/>
      <c r="K64" s="12"/>
      <c r="L64" s="12"/>
      <c r="M64" s="12"/>
      <c r="N64" s="12"/>
      <c r="O64" s="12"/>
      <c r="P64" s="12"/>
      <c r="Q64" s="12"/>
      <c r="R64" s="12"/>
      <c r="S64" s="12"/>
      <c r="T64" s="12"/>
      <c r="U64" s="12"/>
      <c r="V64" s="12"/>
      <c r="W64" s="1"/>
      <c r="X64" s="1"/>
      <c r="Y64" s="1"/>
      <c r="Z64" s="1"/>
      <c r="AA64" s="1"/>
      <c r="AB64" s="1"/>
      <c r="AC64" s="1"/>
      <c r="AD64" s="1"/>
      <c r="AE64" s="1"/>
      <c r="AF64" s="1"/>
      <c r="AG64" s="1"/>
      <c r="AH64" s="1"/>
      <c r="AI64" s="1"/>
      <c r="AJ64" s="1"/>
      <c r="AK64" s="1"/>
      <c r="AL64" s="1"/>
      <c r="AM64" s="1"/>
      <c r="AN64" s="1"/>
      <c r="AO64" s="1"/>
      <c r="AP64" s="1"/>
      <c r="AQ64" s="1"/>
      <c r="AR64" s="1"/>
      <c r="AS64" s="1"/>
      <c r="AT64" s="1"/>
    </row>
    <row r="65" spans="1:3" ht="12.75">
      <c r="A65" t="s">
        <v>12</v>
      </c>
      <c r="B65">
        <v>19882</v>
      </c>
      <c r="C65" s="7">
        <f>B65*(1.027)^5</f>
        <v>22714.97626989477</v>
      </c>
    </row>
    <row r="66" spans="1:3" ht="12.75">
      <c r="A66" t="s">
        <v>13</v>
      </c>
      <c r="B66">
        <v>46546</v>
      </c>
      <c r="C66" s="7">
        <f>B66*(1.027)^5</f>
        <v>53178.31633932813</v>
      </c>
    </row>
    <row r="67" spans="1:3" ht="12.75">
      <c r="A67" t="s">
        <v>14</v>
      </c>
      <c r="B67">
        <v>10918</v>
      </c>
      <c r="C67" s="7">
        <f>B67*(1.027)^5</f>
        <v>12473.700377965552</v>
      </c>
    </row>
    <row r="68" spans="1:3" ht="12.75">
      <c r="A68" t="s">
        <v>15</v>
      </c>
      <c r="B68">
        <v>5918</v>
      </c>
      <c r="C68" s="7">
        <f>B68*(1.027)^5</f>
        <v>6761.252870196018</v>
      </c>
    </row>
    <row r="69" spans="1:3" ht="12.75">
      <c r="A69" t="s">
        <v>16</v>
      </c>
      <c r="B69" s="5">
        <v>14300</v>
      </c>
      <c r="C69" s="8">
        <f>B69*(1.027)^5</f>
        <v>16337.599872220862</v>
      </c>
    </row>
    <row r="70" spans="2:3" ht="12.75">
      <c r="B70">
        <f>SUM(B65:B69)</f>
        <v>97564</v>
      </c>
      <c r="C70" s="7">
        <f>SUM(C65:C69)</f>
        <v>111465.84572960532</v>
      </c>
    </row>
    <row r="71" ht="12.75">
      <c r="A71" t="s">
        <v>17</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9:V27"/>
  <sheetViews>
    <sheetView zoomScalePageLayoutView="0" workbookViewId="0" topLeftCell="A1">
      <selection activeCell="B26" sqref="B26"/>
    </sheetView>
  </sheetViews>
  <sheetFormatPr defaultColWidth="9.140625" defaultRowHeight="12.75"/>
  <cols>
    <col min="1" max="1" width="29.8515625" style="0" customWidth="1"/>
    <col min="2" max="2" width="10.140625" style="0" customWidth="1"/>
  </cols>
  <sheetData>
    <row r="9" ht="12.75">
      <c r="B9" t="s">
        <v>35</v>
      </c>
    </row>
    <row r="10" spans="1:21" ht="12.75">
      <c r="A10" t="s">
        <v>1</v>
      </c>
      <c r="B10">
        <v>1</v>
      </c>
      <c r="C10">
        <v>2</v>
      </c>
      <c r="D10">
        <v>3</v>
      </c>
      <c r="E10">
        <v>4</v>
      </c>
      <c r="F10">
        <v>5</v>
      </c>
      <c r="G10">
        <v>6</v>
      </c>
      <c r="H10">
        <v>7</v>
      </c>
      <c r="I10">
        <v>8</v>
      </c>
      <c r="J10">
        <v>9</v>
      </c>
      <c r="K10">
        <v>10</v>
      </c>
      <c r="L10">
        <v>11</v>
      </c>
      <c r="M10">
        <v>12</v>
      </c>
      <c r="N10">
        <v>13</v>
      </c>
      <c r="O10">
        <v>14</v>
      </c>
      <c r="P10">
        <v>15</v>
      </c>
      <c r="Q10">
        <v>16</v>
      </c>
      <c r="R10">
        <v>17</v>
      </c>
      <c r="S10">
        <v>18</v>
      </c>
      <c r="T10">
        <v>19</v>
      </c>
      <c r="U10">
        <v>20</v>
      </c>
    </row>
    <row r="11" spans="1:21" ht="12.75">
      <c r="A11" t="s">
        <v>2</v>
      </c>
      <c r="B11">
        <v>2010</v>
      </c>
      <c r="C11">
        <v>2011</v>
      </c>
      <c r="D11">
        <v>2012</v>
      </c>
      <c r="E11">
        <v>2013</v>
      </c>
      <c r="F11">
        <v>2014</v>
      </c>
      <c r="G11">
        <v>2015</v>
      </c>
      <c r="H11">
        <v>2016</v>
      </c>
      <c r="I11">
        <v>2017</v>
      </c>
      <c r="J11">
        <v>2018</v>
      </c>
      <c r="K11">
        <v>2019</v>
      </c>
      <c r="L11">
        <v>2020</v>
      </c>
      <c r="M11">
        <v>2021</v>
      </c>
      <c r="N11">
        <v>2022</v>
      </c>
      <c r="O11">
        <v>2023</v>
      </c>
      <c r="P11">
        <v>2024</v>
      </c>
      <c r="Q11">
        <v>2025</v>
      </c>
      <c r="R11">
        <v>2026</v>
      </c>
      <c r="S11">
        <v>2027</v>
      </c>
      <c r="T11">
        <v>2028</v>
      </c>
      <c r="U11">
        <v>2029</v>
      </c>
    </row>
    <row r="12" ht="12.75">
      <c r="A12" t="s">
        <v>4</v>
      </c>
    </row>
    <row r="13" spans="1:21" ht="12.75">
      <c r="A13" t="s">
        <v>3</v>
      </c>
      <c r="B13" s="1">
        <f>'RT-Nd'!C15+'Nd-Th'!D47</f>
        <v>32544504624.27746</v>
      </c>
      <c r="C13" s="1">
        <f>'RT-Nd'!D15+'Nd-Th'!E47</f>
        <v>9846000000</v>
      </c>
      <c r="D13" s="1">
        <f>'RT-Nd'!E15+'Nd-Th'!F47</f>
        <v>0</v>
      </c>
      <c r="E13" s="1">
        <f>'RT-Nd'!F15+'Nd-Th'!G47</f>
        <v>0</v>
      </c>
      <c r="F13" s="1">
        <f>'RT-Nd'!G15+'Nd-Th'!H47</f>
        <v>0</v>
      </c>
      <c r="G13" s="1">
        <f>'RT-Nd'!H15+'Nd-Th'!I47</f>
        <v>0</v>
      </c>
      <c r="H13" s="1">
        <f>'RT-Nd'!I15+'Nd-Th'!J47</f>
        <v>0</v>
      </c>
      <c r="I13" s="1">
        <f>'RT-Nd'!J15+'Nd-Th'!K47</f>
        <v>0</v>
      </c>
      <c r="J13" s="1">
        <f>'RT-Nd'!K15+'Nd-Th'!L47</f>
        <v>0</v>
      </c>
      <c r="K13" s="1">
        <f>'RT-Nd'!L15+'Nd-Th'!M47</f>
        <v>0</v>
      </c>
      <c r="L13" s="1">
        <f>'RT-Nd'!M15+'Nd-Th'!N47</f>
        <v>0</v>
      </c>
      <c r="M13" s="1">
        <f>'RT-Nd'!N15+'Nd-Th'!O47</f>
        <v>0</v>
      </c>
      <c r="N13" s="1">
        <f>'RT-Nd'!O15+'Nd-Th'!P47</f>
        <v>0</v>
      </c>
      <c r="O13" s="1">
        <f>'RT-Nd'!P15+'Nd-Th'!Q47</f>
        <v>0</v>
      </c>
      <c r="P13" s="1">
        <f>'RT-Nd'!Q15+'Nd-Th'!R47</f>
        <v>0</v>
      </c>
      <c r="Q13" s="1">
        <f>'RT-Nd'!R15+'Nd-Th'!S47</f>
        <v>0</v>
      </c>
      <c r="R13" s="1">
        <f>'RT-Nd'!S15+'Nd-Th'!T47</f>
        <v>0</v>
      </c>
      <c r="S13" s="1">
        <f>'RT-Nd'!T15+'Nd-Th'!U47</f>
        <v>0</v>
      </c>
      <c r="T13" s="1">
        <f>'RT-Nd'!U15+'Nd-Th'!V47</f>
        <v>0</v>
      </c>
      <c r="U13" s="1">
        <f>'RT-Nd'!V15+'Nd-Th'!W47</f>
        <v>0</v>
      </c>
    </row>
    <row r="14" spans="1:21" ht="12.75">
      <c r="A14" t="s">
        <v>6</v>
      </c>
      <c r="B14" s="1">
        <f>'RT-Nd'!C16+'Nd-Th'!D48</f>
        <v>23272911000</v>
      </c>
      <c r="C14" s="1">
        <f>'RT-Nd'!D16+'Nd-Th'!E48</f>
        <v>23846865000</v>
      </c>
      <c r="D14" s="1">
        <f>'RT-Nd'!E16+'Nd-Th'!F48</f>
        <v>20990796000</v>
      </c>
      <c r="E14" s="1">
        <f>'RT-Nd'!F16+'Nd-Th'!G48</f>
        <v>21736148000</v>
      </c>
      <c r="F14" s="1">
        <f>'RT-Nd'!G16+'Nd-Th'!H48</f>
        <v>22502678000</v>
      </c>
      <c r="G14" s="1">
        <f>'RT-Nd'!H16+'Nd-Th'!I48</f>
        <v>23296806000</v>
      </c>
      <c r="H14" s="1">
        <f>'RT-Nd'!I16+'Nd-Th'!J48</f>
        <v>24119704000</v>
      </c>
      <c r="I14" s="1">
        <f>'RT-Nd'!J16+'Nd-Th'!K48</f>
        <v>24972670000</v>
      </c>
      <c r="J14" s="1">
        <f>'RT-Nd'!K16+'Nd-Th'!L48</f>
        <v>25857162000</v>
      </c>
      <c r="K14" s="1">
        <f>'RT-Nd'!L16+'Nd-Th'!M48</f>
        <v>26774859000</v>
      </c>
      <c r="L14" s="1">
        <f>'RT-Nd'!M16+'Nd-Th'!N48</f>
        <v>27727747000</v>
      </c>
      <c r="M14" s="1">
        <f>'RT-Nd'!N16+'Nd-Th'!O48</f>
        <v>28718200000</v>
      </c>
      <c r="N14" s="1">
        <f>'RT-Nd'!O16+'Nd-Th'!P48</f>
        <v>29749156000</v>
      </c>
      <c r="O14" s="1">
        <f>'RT-Nd'!P16+'Nd-Th'!Q48</f>
        <v>30824315000</v>
      </c>
      <c r="P14" s="1">
        <f>'RT-Nd'!Q16+'Nd-Th'!R48</f>
        <v>31948473000</v>
      </c>
      <c r="Q14" s="1">
        <f>'RT-Nd'!R16+'Nd-Th'!S48</f>
        <v>33127922000</v>
      </c>
      <c r="R14" s="1">
        <f>'RT-Nd'!S16+'Nd-Th'!T48</f>
        <v>34373175000</v>
      </c>
      <c r="S14" s="1">
        <f>'RT-Nd'!T16+'Nd-Th'!U48</f>
        <v>35688486000</v>
      </c>
      <c r="T14" s="1">
        <f>'RT-Nd'!U16+'Nd-Th'!V48</f>
        <v>37063985000</v>
      </c>
      <c r="U14" s="1">
        <f>'RT-Nd'!V16+'Nd-Th'!W48</f>
        <v>23125750000</v>
      </c>
    </row>
    <row r="15" spans="1:21" ht="12.75">
      <c r="A15" t="s">
        <v>7</v>
      </c>
      <c r="B15" s="4">
        <f>'RT-Nd'!C17+'Nd-Th'!D49</f>
        <v>663390000</v>
      </c>
      <c r="C15" s="4">
        <f>'RT-Nd'!D17+'Nd-Th'!E49</f>
        <v>583893000</v>
      </c>
      <c r="D15" s="4">
        <f>'RT-Nd'!E17+'Nd-Th'!F49</f>
        <v>423974000</v>
      </c>
      <c r="E15" s="4">
        <f>'RT-Nd'!F17+'Nd-Th'!G49</f>
        <v>438878000</v>
      </c>
      <c r="F15" s="4">
        <f>'RT-Nd'!G17+'Nd-Th'!H49</f>
        <v>454275000</v>
      </c>
      <c r="G15" s="4">
        <f>'RT-Nd'!H17+'Nd-Th'!I49</f>
        <v>470218423.9</v>
      </c>
      <c r="H15" s="4">
        <f>'RT-Nd'!I17+'Nd-Th'!J49</f>
        <v>486723090.57888997</v>
      </c>
      <c r="I15" s="4">
        <f>'RT-Nd'!J17+'Nd-Th'!K49</f>
        <v>503807071.05820894</v>
      </c>
      <c r="J15" s="4">
        <f>'RT-Nd'!K17+'Nd-Th'!L49</f>
        <v>521490699.252352</v>
      </c>
      <c r="K15" s="4">
        <f>'RT-Nd'!L17+'Nd-Th'!M49</f>
        <v>539795022.7961096</v>
      </c>
      <c r="L15" s="4">
        <f>'RT-Nd'!M17+'Nd-Th'!N49</f>
        <v>558741828.0962529</v>
      </c>
      <c r="M15" s="4">
        <f>'RT-Nd'!N17+'Nd-Th'!O49</f>
        <v>578353666.2624313</v>
      </c>
      <c r="N15" s="4">
        <f>'RT-Nd'!O17+'Nd-Th'!P49</f>
        <v>598653879.9482425</v>
      </c>
      <c r="O15" s="4">
        <f>'RT-Nd'!P17+'Nd-Th'!Q49</f>
        <v>619666631.1344258</v>
      </c>
      <c r="P15" s="4">
        <f>'RT-Nd'!Q17+'Nd-Th'!R49</f>
        <v>641416929.887244</v>
      </c>
      <c r="Q15" s="4">
        <f>'RT-Nd'!R17+'Nd-Th'!S49</f>
        <v>663930664.1262863</v>
      </c>
      <c r="R15" s="4">
        <f>'RT-Nd'!S17+'Nd-Th'!T49</f>
        <v>687234630.4371189</v>
      </c>
      <c r="S15" s="4">
        <f>'RT-Nd'!T17+'Nd-Th'!U49</f>
        <v>711356565.9654617</v>
      </c>
      <c r="T15" s="4">
        <f>'RT-Nd'!U17+'Nd-Th'!V49</f>
        <v>736325181.4308493</v>
      </c>
      <c r="U15" s="4">
        <f>'RT-Nd'!V17+'Nd-Th'!W49</f>
        <v>404654049.23580533</v>
      </c>
    </row>
    <row r="16" spans="2:22" ht="12.75">
      <c r="B16" s="1">
        <f>SUM(B13:B15)</f>
        <v>56480805624.27746</v>
      </c>
      <c r="C16" s="1">
        <f aca="true" t="shared" si="0" ref="C16:T16">SUM(C13:C15)</f>
        <v>34276758000</v>
      </c>
      <c r="D16" s="1">
        <f t="shared" si="0"/>
        <v>21414770000</v>
      </c>
      <c r="E16" s="1">
        <f t="shared" si="0"/>
        <v>22175026000</v>
      </c>
      <c r="F16" s="1">
        <f t="shared" si="0"/>
        <v>22956953000</v>
      </c>
      <c r="G16" s="1">
        <f t="shared" si="0"/>
        <v>23767024423.9</v>
      </c>
      <c r="H16" s="1">
        <f t="shared" si="0"/>
        <v>24606427090.57889</v>
      </c>
      <c r="I16" s="1">
        <f t="shared" si="0"/>
        <v>25476477071.05821</v>
      </c>
      <c r="J16" s="1">
        <f t="shared" si="0"/>
        <v>26378652699.252354</v>
      </c>
      <c r="K16" s="1">
        <f t="shared" si="0"/>
        <v>27314654022.79611</v>
      </c>
      <c r="L16" s="1">
        <f t="shared" si="0"/>
        <v>28286488828.096252</v>
      </c>
      <c r="M16" s="1">
        <f t="shared" si="0"/>
        <v>29296553666.262432</v>
      </c>
      <c r="N16" s="1">
        <f t="shared" si="0"/>
        <v>30347809879.948242</v>
      </c>
      <c r="O16" s="1">
        <f t="shared" si="0"/>
        <v>31443981631.134426</v>
      </c>
      <c r="P16" s="1">
        <f t="shared" si="0"/>
        <v>32589889929.887245</v>
      </c>
      <c r="Q16" s="1">
        <f t="shared" si="0"/>
        <v>33791852664.126286</v>
      </c>
      <c r="R16" s="1">
        <f t="shared" si="0"/>
        <v>35060409630.43712</v>
      </c>
      <c r="S16" s="1">
        <f t="shared" si="0"/>
        <v>36399842565.96546</v>
      </c>
      <c r="T16" s="1">
        <f t="shared" si="0"/>
        <v>37800310181.43085</v>
      </c>
      <c r="U16" s="1">
        <f>SUM(U13:U15)-5013889000</f>
        <v>18516515049.235806</v>
      </c>
      <c r="V16" s="1">
        <f>SUM(B16:U16)</f>
        <v>598381201958.3872</v>
      </c>
    </row>
    <row r="17" ht="12.75">
      <c r="A17" t="s">
        <v>34</v>
      </c>
    </row>
    <row r="18" ht="12.75">
      <c r="A18" t="s">
        <v>5</v>
      </c>
    </row>
    <row r="19" spans="1:21" ht="12.75">
      <c r="A19" t="s">
        <v>3</v>
      </c>
      <c r="B19" s="1">
        <f>'RT-Nd'!C21+'Nd-Th'!D53</f>
        <v>0</v>
      </c>
      <c r="C19" s="1">
        <f>'RT-Nd'!D21+'Nd-Th'!E53</f>
        <v>0</v>
      </c>
      <c r="D19" s="1">
        <f>'RT-Nd'!E21+'Nd-Th'!F53</f>
        <v>0</v>
      </c>
      <c r="E19" s="1">
        <f>'RT-Nd'!F21+'Nd-Th'!G53</f>
        <v>0</v>
      </c>
      <c r="F19" s="1">
        <f>'RT-Nd'!G21+'Nd-Th'!H53</f>
        <v>0</v>
      </c>
      <c r="G19" s="1">
        <f>'RT-Nd'!H21+'Nd-Th'!I53</f>
        <v>2885065000</v>
      </c>
      <c r="H19" s="1">
        <f>'RT-Nd'!I21+'Nd-Th'!J53</f>
        <v>0</v>
      </c>
      <c r="I19" s="1">
        <f>'RT-Nd'!J21+'Nd-Th'!K53</f>
        <v>0</v>
      </c>
      <c r="J19" s="1">
        <f>'RT-Nd'!K21+'Nd-Th'!L53</f>
        <v>0</v>
      </c>
      <c r="K19" s="1">
        <f>'RT-Nd'!L21+'Nd-Th'!M53</f>
        <v>0</v>
      </c>
      <c r="L19" s="1">
        <f>'RT-Nd'!M21+'Nd-Th'!N53</f>
        <v>0</v>
      </c>
      <c r="M19" s="1">
        <f>'RT-Nd'!N21+'Nd-Th'!O53</f>
        <v>5760000000</v>
      </c>
      <c r="N19" s="1">
        <f>'RT-Nd'!O21+'Nd-Th'!P53</f>
        <v>0</v>
      </c>
      <c r="O19" s="1">
        <f>'RT-Nd'!P21+'Nd-Th'!Q53</f>
        <v>0</v>
      </c>
      <c r="P19" s="1">
        <f>'RT-Nd'!Q21+'Nd-Th'!R53</f>
        <v>0</v>
      </c>
      <c r="Q19" s="1">
        <f>'RT-Nd'!R21+'Nd-Th'!S53</f>
        <v>0</v>
      </c>
      <c r="R19" s="1">
        <f>'RT-Nd'!S21+'Nd-Th'!T53</f>
        <v>0</v>
      </c>
      <c r="S19" s="1">
        <f>'RT-Nd'!T21+'Nd-Th'!U53</f>
        <v>0</v>
      </c>
      <c r="T19" s="1">
        <f>'RT-Nd'!U21+'Nd-Th'!V53</f>
        <v>0</v>
      </c>
      <c r="U19" s="1">
        <f>'RT-Nd'!V21+'Nd-Th'!W53</f>
        <v>0</v>
      </c>
    </row>
    <row r="20" spans="1:21" ht="12.75">
      <c r="A20" t="s">
        <v>8</v>
      </c>
      <c r="B20" s="1">
        <f>'RT-Nd'!C22+'Nd-Th'!D54</f>
        <v>840000</v>
      </c>
      <c r="C20" s="1">
        <f>'RT-Nd'!D22+'Nd-Th'!E54</f>
        <v>840000</v>
      </c>
      <c r="D20" s="1">
        <f>'RT-Nd'!E22+'Nd-Th'!F54</f>
        <v>840000</v>
      </c>
      <c r="E20" s="1">
        <f>'RT-Nd'!F22+'Nd-Th'!G54</f>
        <v>840000</v>
      </c>
      <c r="F20" s="1">
        <f>'RT-Nd'!G22+'Nd-Th'!H54</f>
        <v>4185840000</v>
      </c>
      <c r="G20" s="1">
        <f>'RT-Nd'!H22+'Nd-Th'!I54</f>
        <v>5065000</v>
      </c>
      <c r="H20" s="1">
        <f>'RT-Nd'!I22+'Nd-Th'!J54</f>
        <v>0</v>
      </c>
      <c r="I20" s="1">
        <f>'RT-Nd'!J22+'Nd-Th'!K54</f>
        <v>0</v>
      </c>
      <c r="J20" s="1">
        <f>'RT-Nd'!K22+'Nd-Th'!L54</f>
        <v>0</v>
      </c>
      <c r="K20" s="1">
        <f>'RT-Nd'!L22+'Nd-Th'!M54</f>
        <v>0</v>
      </c>
      <c r="L20" s="1">
        <f>'RT-Nd'!M22+'Nd-Th'!N54</f>
        <v>0</v>
      </c>
      <c r="M20" s="1">
        <f>'RT-Nd'!N22+'Nd-Th'!O54</f>
        <v>0</v>
      </c>
      <c r="N20" s="1">
        <f>'RT-Nd'!O22+'Nd-Th'!P54</f>
        <v>0</v>
      </c>
      <c r="O20" s="1">
        <f>'RT-Nd'!P22+'Nd-Th'!Q54</f>
        <v>4185000000</v>
      </c>
      <c r="P20" s="1">
        <f>'RT-Nd'!Q22+'Nd-Th'!R54</f>
        <v>0</v>
      </c>
      <c r="Q20" s="1">
        <f>'RT-Nd'!R22+'Nd-Th'!S54</f>
        <v>0</v>
      </c>
      <c r="R20" s="1">
        <f>'RT-Nd'!S22+'Nd-Th'!T54</f>
        <v>0</v>
      </c>
      <c r="S20" s="1">
        <f>'RT-Nd'!T22+'Nd-Th'!U54</f>
        <v>0</v>
      </c>
      <c r="T20" s="1">
        <f>'RT-Nd'!U22+'Nd-Th'!V54</f>
        <v>0</v>
      </c>
      <c r="U20" s="1">
        <f>'RT-Nd'!V22+'Nd-Th'!W54</f>
        <v>0</v>
      </c>
    </row>
    <row r="21" spans="1:21" ht="12.75">
      <c r="A21" t="s">
        <v>6</v>
      </c>
      <c r="B21" s="1">
        <f>'RT-Nd'!C23+'Nd-Th'!D55</f>
        <v>13203382000</v>
      </c>
      <c r="C21" s="1">
        <f>'RT-Nd'!D23+'Nd-Th'!E55</f>
        <v>13884461000</v>
      </c>
      <c r="D21" s="1">
        <f>'RT-Nd'!E23+'Nd-Th'!F55</f>
        <v>14624209000</v>
      </c>
      <c r="E21" s="1">
        <f>'RT-Nd'!F23+'Nd-Th'!G55</f>
        <v>15424395000</v>
      </c>
      <c r="F21" s="1">
        <f>'RT-Nd'!G23+'Nd-Th'!H55</f>
        <v>16342099000</v>
      </c>
      <c r="G21" s="1">
        <f>'RT-Nd'!H23+'Nd-Th'!I55</f>
        <v>17403509000</v>
      </c>
      <c r="H21" s="1">
        <f>'RT-Nd'!I23+'Nd-Th'!J55</f>
        <v>18018550000</v>
      </c>
      <c r="I21" s="1">
        <f>'RT-Nd'!J23+'Nd-Th'!K55</f>
        <v>18794330000</v>
      </c>
      <c r="J21" s="1">
        <f>'RT-Nd'!K23+'Nd-Th'!L55</f>
        <v>19609868000</v>
      </c>
      <c r="K21" s="1">
        <f>'RT-Nd'!L23+'Nd-Th'!M55</f>
        <v>20466563000</v>
      </c>
      <c r="L21" s="1">
        <f>'RT-Nd'!M23+'Nd-Th'!N55</f>
        <v>21366569000</v>
      </c>
      <c r="M21" s="1">
        <f>'RT-Nd'!N23+'Nd-Th'!O55</f>
        <v>22315966000</v>
      </c>
      <c r="N21" s="1">
        <f>'RT-Nd'!O23+'Nd-Th'!P55</f>
        <v>16263018000</v>
      </c>
      <c r="O21" s="1">
        <f>'RT-Nd'!P23+'Nd-Th'!Q55</f>
        <v>16848480000</v>
      </c>
      <c r="P21" s="1">
        <f>'RT-Nd'!Q23+'Nd-Th'!R55</f>
        <v>17454275000</v>
      </c>
      <c r="Q21" s="1">
        <f>'RT-Nd'!R23+'Nd-Th'!S55</f>
        <v>18086945000</v>
      </c>
      <c r="R21" s="1">
        <f>'RT-Nd'!S23+'Nd-Th'!T55</f>
        <v>18748056000</v>
      </c>
      <c r="S21" s="1">
        <f>'RT-Nd'!T23+'Nd-Th'!U55</f>
        <v>19439927000</v>
      </c>
      <c r="T21" s="1">
        <f>'RT-Nd'!U23+'Nd-Th'!V55</f>
        <v>20164266000</v>
      </c>
      <c r="U21" s="1">
        <f>'RT-Nd'!V23+'Nd-Th'!W55</f>
        <v>20917211000</v>
      </c>
    </row>
    <row r="22" spans="1:21" ht="12.75">
      <c r="A22" t="s">
        <v>7</v>
      </c>
      <c r="B22" s="4">
        <f>'RT-Nd'!C24+'Nd-Th'!D56</f>
        <v>9211285000</v>
      </c>
      <c r="C22" s="4">
        <f>'RT-Nd'!D24+'Nd-Th'!E56</f>
        <v>9659930000</v>
      </c>
      <c r="D22" s="4">
        <f>'RT-Nd'!E24+'Nd-Th'!F56</f>
        <v>10118351000</v>
      </c>
      <c r="E22" s="4">
        <f>'RT-Nd'!F24+'Nd-Th'!G56</f>
        <v>10613126000</v>
      </c>
      <c r="F22" s="4">
        <f>'RT-Nd'!G24+'Nd-Th'!H56</f>
        <v>11157662000</v>
      </c>
      <c r="G22" s="4">
        <f>'RT-Nd'!H24+'Nd-Th'!I56</f>
        <v>11476069000</v>
      </c>
      <c r="H22" s="4">
        <f>'RT-Nd'!I24+'Nd-Th'!J56</f>
        <v>11945904000</v>
      </c>
      <c r="I22" s="4">
        <f>'RT-Nd'!J24+'Nd-Th'!K56</f>
        <v>12441900000</v>
      </c>
      <c r="J22" s="4">
        <f>'RT-Nd'!K24+'Nd-Th'!L56</f>
        <v>12961085000</v>
      </c>
      <c r="K22" s="4">
        <f>'RT-Nd'!L24+'Nd-Th'!M56</f>
        <v>13504613000</v>
      </c>
      <c r="L22" s="4">
        <f>'RT-Nd'!M24+'Nd-Th'!N56</f>
        <v>14075915000</v>
      </c>
      <c r="M22" s="4">
        <f>'RT-Nd'!N24+'Nd-Th'!O56</f>
        <v>14684459000</v>
      </c>
      <c r="N22" s="4">
        <f>'RT-Nd'!O24+'Nd-Th'!P56</f>
        <v>15256449000</v>
      </c>
      <c r="O22" s="4">
        <f>'RT-Nd'!P24+'Nd-Th'!Q56</f>
        <v>15975899000</v>
      </c>
      <c r="P22" s="4">
        <f>'RT-Nd'!Q24+'Nd-Th'!R56</f>
        <v>16379833000</v>
      </c>
      <c r="Q22" s="4">
        <f>'RT-Nd'!R24+'Nd-Th'!S56</f>
        <v>17064377000</v>
      </c>
      <c r="R22" s="4">
        <f>'RT-Nd'!S24+'Nd-Th'!T56</f>
        <v>17781475000</v>
      </c>
      <c r="S22" s="4">
        <f>'RT-Nd'!T24+'Nd-Th'!U56</f>
        <v>18532294000</v>
      </c>
      <c r="T22" s="4">
        <f>'RT-Nd'!U24+'Nd-Th'!V56</f>
        <v>19318423000</v>
      </c>
      <c r="U22" s="4">
        <f>'RT-Nd'!V24+'Nd-Th'!W56</f>
        <v>623388000</v>
      </c>
    </row>
    <row r="23" spans="2:22" ht="12.75">
      <c r="B23" s="1">
        <f>SUM(B19:B22)</f>
        <v>22415507000</v>
      </c>
      <c r="C23" s="1">
        <f aca="true" t="shared" si="1" ref="C23:U23">SUM(C19:C22)</f>
        <v>23545231000</v>
      </c>
      <c r="D23" s="1">
        <f t="shared" si="1"/>
        <v>24743400000</v>
      </c>
      <c r="E23" s="1">
        <f t="shared" si="1"/>
        <v>26038361000</v>
      </c>
      <c r="F23" s="1">
        <f t="shared" si="1"/>
        <v>31685601000</v>
      </c>
      <c r="G23" s="1">
        <f t="shared" si="1"/>
        <v>31769708000</v>
      </c>
      <c r="H23" s="1">
        <f t="shared" si="1"/>
        <v>29964454000</v>
      </c>
      <c r="I23" s="1">
        <f t="shared" si="1"/>
        <v>31236230000</v>
      </c>
      <c r="J23" s="1">
        <f t="shared" si="1"/>
        <v>32570953000</v>
      </c>
      <c r="K23" s="1">
        <f t="shared" si="1"/>
        <v>33971176000</v>
      </c>
      <c r="L23" s="1">
        <f t="shared" si="1"/>
        <v>35442484000</v>
      </c>
      <c r="M23" s="1">
        <f t="shared" si="1"/>
        <v>42760425000</v>
      </c>
      <c r="N23" s="1">
        <f t="shared" si="1"/>
        <v>31519467000</v>
      </c>
      <c r="O23" s="1">
        <f t="shared" si="1"/>
        <v>37009379000</v>
      </c>
      <c r="P23" s="1">
        <f t="shared" si="1"/>
        <v>33834108000</v>
      </c>
      <c r="Q23" s="1">
        <f t="shared" si="1"/>
        <v>35151322000</v>
      </c>
      <c r="R23" s="1">
        <f t="shared" si="1"/>
        <v>36529531000</v>
      </c>
      <c r="S23" s="1">
        <f t="shared" si="1"/>
        <v>37972221000</v>
      </c>
      <c r="T23" s="1">
        <f t="shared" si="1"/>
        <v>39482689000</v>
      </c>
      <c r="U23" s="1">
        <f t="shared" si="1"/>
        <v>21540599000</v>
      </c>
      <c r="V23" s="1">
        <f>SUM(B23:U23)</f>
        <v>639182846000</v>
      </c>
    </row>
    <row r="25" spans="1:21" ht="12.75">
      <c r="A25" t="s">
        <v>9</v>
      </c>
      <c r="B25" s="1">
        <f>B23-B16</f>
        <v>-34065298624.27746</v>
      </c>
      <c r="C25" s="1">
        <f aca="true" t="shared" si="2" ref="C25:U25">C23-C16</f>
        <v>-10731527000</v>
      </c>
      <c r="D25" s="1">
        <f t="shared" si="2"/>
        <v>3328630000</v>
      </c>
      <c r="E25" s="1">
        <f t="shared" si="2"/>
        <v>3863335000</v>
      </c>
      <c r="F25" s="1">
        <f t="shared" si="2"/>
        <v>8728648000</v>
      </c>
      <c r="G25" s="1">
        <f t="shared" si="2"/>
        <v>8002683576.099998</v>
      </c>
      <c r="H25" s="1">
        <f t="shared" si="2"/>
        <v>5358026909.421108</v>
      </c>
      <c r="I25" s="1">
        <f t="shared" si="2"/>
        <v>5759752928.941792</v>
      </c>
      <c r="J25" s="1">
        <f t="shared" si="2"/>
        <v>6192300300.747646</v>
      </c>
      <c r="K25" s="1">
        <f t="shared" si="2"/>
        <v>6656521977.203892</v>
      </c>
      <c r="L25" s="1">
        <f t="shared" si="2"/>
        <v>7155995171.903748</v>
      </c>
      <c r="M25" s="1">
        <f t="shared" si="2"/>
        <v>13463871333.737568</v>
      </c>
      <c r="N25" s="1">
        <f t="shared" si="2"/>
        <v>1171657120.0517578</v>
      </c>
      <c r="O25" s="1">
        <f t="shared" si="2"/>
        <v>5565397368.865574</v>
      </c>
      <c r="P25" s="1">
        <f t="shared" si="2"/>
        <v>1244218070.1127548</v>
      </c>
      <c r="Q25" s="1">
        <f t="shared" si="2"/>
        <v>1359469335.8737144</v>
      </c>
      <c r="R25" s="1">
        <f t="shared" si="2"/>
        <v>1469121369.5628815</v>
      </c>
      <c r="S25" s="1">
        <f t="shared" si="2"/>
        <v>1572378434.0345383</v>
      </c>
      <c r="T25" s="1">
        <f t="shared" si="2"/>
        <v>1682378818.5691528</v>
      </c>
      <c r="U25" s="1">
        <f t="shared" si="2"/>
        <v>3024083950.7641945</v>
      </c>
    </row>
    <row r="26" spans="1:2" ht="12.75">
      <c r="A26" t="s">
        <v>10</v>
      </c>
      <c r="B26" s="16">
        <f>IRR(B25:U25,0.1)</f>
        <v>0.08537762207201127</v>
      </c>
    </row>
    <row r="27" spans="1:2" ht="12.75">
      <c r="A27" t="s">
        <v>37</v>
      </c>
      <c r="B27" s="1">
        <f>NPV(0.1,B25:U25)</f>
        <v>-3636975199.361296</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tabColor indexed="44"/>
  </sheetPr>
  <dimension ref="B1:AF43"/>
  <sheetViews>
    <sheetView zoomScalePageLayoutView="0" workbookViewId="0" topLeftCell="A1">
      <selection activeCell="D10" sqref="D10"/>
    </sheetView>
  </sheetViews>
  <sheetFormatPr defaultColWidth="9.140625" defaultRowHeight="12.75"/>
  <cols>
    <col min="1" max="1" width="9.140625" style="38" customWidth="1"/>
    <col min="2" max="2" width="0.85546875" style="35" customWidth="1"/>
    <col min="3" max="3" width="42.28125" style="35" customWidth="1"/>
    <col min="4" max="4" width="12.8515625" style="35" customWidth="1"/>
    <col min="5" max="5" width="0.71875" style="35" customWidth="1"/>
    <col min="6" max="6" width="9.7109375" style="35" bestFit="1" customWidth="1"/>
    <col min="7" max="7" width="9.7109375" style="35" customWidth="1"/>
    <col min="8" max="8" width="9.7109375" style="35" bestFit="1" customWidth="1"/>
    <col min="9" max="9" width="10.00390625" style="35" bestFit="1" customWidth="1"/>
    <col min="10" max="10" width="1.1484375" style="35" customWidth="1"/>
    <col min="11" max="11" width="12.421875" style="38" bestFit="1" customWidth="1"/>
    <col min="12" max="12" width="9.421875" style="38" customWidth="1"/>
    <col min="13" max="16384" width="9.140625" style="38" customWidth="1"/>
  </cols>
  <sheetData>
    <row r="1" spans="3:9" ht="12.75">
      <c r="C1" s="36"/>
      <c r="E1" s="37"/>
      <c r="F1" s="36"/>
      <c r="G1" s="36"/>
      <c r="H1" s="36"/>
      <c r="I1" s="36"/>
    </row>
    <row r="2" spans="3:9" ht="15.75">
      <c r="C2" s="36"/>
      <c r="E2" s="39"/>
      <c r="F2" s="36"/>
      <c r="G2" s="36"/>
      <c r="H2" s="36"/>
      <c r="I2" s="36"/>
    </row>
    <row r="3" spans="2:3" ht="16.5" customHeight="1">
      <c r="B3" s="37"/>
      <c r="C3" s="37"/>
    </row>
    <row r="4" spans="2:10" ht="16.5" customHeight="1">
      <c r="B4" s="37"/>
      <c r="C4" s="37"/>
      <c r="D4" s="326" t="s">
        <v>102</v>
      </c>
      <c r="E4" s="326"/>
      <c r="F4" s="326"/>
      <c r="G4" s="326"/>
      <c r="H4" s="326"/>
      <c r="I4" s="326"/>
      <c r="J4" s="326"/>
    </row>
    <row r="5" spans="3:9" ht="15.75">
      <c r="C5" s="36"/>
      <c r="D5" s="327"/>
      <c r="E5" s="327"/>
      <c r="F5" s="327"/>
      <c r="G5" s="327"/>
      <c r="H5" s="327"/>
      <c r="I5" s="327"/>
    </row>
    <row r="6" spans="3:9" ht="15.75">
      <c r="C6" s="36"/>
      <c r="D6" s="40"/>
      <c r="E6" s="41"/>
      <c r="F6" s="37"/>
      <c r="G6" s="42"/>
      <c r="H6" s="42"/>
      <c r="I6" s="42"/>
    </row>
    <row r="7" spans="3:9" ht="15.75">
      <c r="C7" s="328" t="s">
        <v>0</v>
      </c>
      <c r="D7" s="328"/>
      <c r="E7" s="328"/>
      <c r="F7" s="328"/>
      <c r="G7" s="328"/>
      <c r="H7" s="328"/>
      <c r="I7" s="328"/>
    </row>
    <row r="8" spans="3:9" ht="24" customHeight="1" thickBot="1">
      <c r="C8" s="329" t="s">
        <v>134</v>
      </c>
      <c r="D8" s="329"/>
      <c r="E8" s="329"/>
      <c r="F8" s="329"/>
      <c r="G8" s="329"/>
      <c r="H8" s="329"/>
      <c r="I8" s="329"/>
    </row>
    <row r="9" spans="2:10" ht="12.75">
      <c r="B9" s="43"/>
      <c r="C9" s="44"/>
      <c r="D9" s="45"/>
      <c r="E9" s="46"/>
      <c r="F9" s="46"/>
      <c r="G9" s="46"/>
      <c r="H9" s="46"/>
      <c r="I9" s="46"/>
      <c r="J9" s="47"/>
    </row>
    <row r="10" spans="2:10" ht="12.75" customHeight="1">
      <c r="B10" s="48"/>
      <c r="C10" s="49" t="s">
        <v>147</v>
      </c>
      <c r="D10" s="50">
        <f>'RT-Nd'!B148</f>
        <v>72326776.85950413</v>
      </c>
      <c r="E10" s="51"/>
      <c r="F10" s="330" t="s">
        <v>103</v>
      </c>
      <c r="G10" s="330"/>
      <c r="H10" s="330"/>
      <c r="I10" s="50">
        <f>'RT-Nd'!B148</f>
        <v>72326776.85950413</v>
      </c>
      <c r="J10" s="52"/>
    </row>
    <row r="11" spans="2:10" ht="12.75">
      <c r="B11" s="48"/>
      <c r="C11" s="49" t="s">
        <v>104</v>
      </c>
      <c r="D11" s="53">
        <f>'RT-Nd'!C60</f>
        <v>0.10933311656180056</v>
      </c>
      <c r="E11" s="51"/>
      <c r="F11" s="51"/>
      <c r="G11" s="51"/>
      <c r="H11" s="51"/>
      <c r="I11" s="51"/>
      <c r="J11" s="52"/>
    </row>
    <row r="12" spans="2:10" ht="12.75" customHeight="1">
      <c r="B12" s="48"/>
      <c r="C12" s="49" t="s">
        <v>105</v>
      </c>
      <c r="D12" s="50">
        <f>'RT-Nd'!B109</f>
        <v>128258616.93862781</v>
      </c>
      <c r="E12" s="51"/>
      <c r="F12" s="51"/>
      <c r="G12" s="51"/>
      <c r="H12" s="51"/>
      <c r="I12" s="51"/>
      <c r="J12" s="52"/>
    </row>
    <row r="13" spans="2:10" ht="15.75" customHeight="1">
      <c r="B13" s="48"/>
      <c r="C13" s="54"/>
      <c r="D13" s="55"/>
      <c r="E13" s="55"/>
      <c r="F13" s="325" t="s">
        <v>106</v>
      </c>
      <c r="G13" s="325"/>
      <c r="H13" s="325"/>
      <c r="I13" s="325"/>
      <c r="J13" s="52"/>
    </row>
    <row r="14" spans="2:10" ht="13.5">
      <c r="B14" s="48"/>
      <c r="C14" s="56" t="s">
        <v>107</v>
      </c>
      <c r="D14" s="57" t="s">
        <v>32</v>
      </c>
      <c r="E14" s="58"/>
      <c r="F14" s="57" t="s">
        <v>108</v>
      </c>
      <c r="G14" s="57" t="s">
        <v>109</v>
      </c>
      <c r="H14" s="57" t="s">
        <v>110</v>
      </c>
      <c r="I14" s="57" t="s">
        <v>111</v>
      </c>
      <c r="J14" s="52"/>
    </row>
    <row r="15" spans="2:10" ht="6.75" customHeight="1">
      <c r="B15" s="48"/>
      <c r="C15" s="59"/>
      <c r="D15" s="60"/>
      <c r="E15" s="61"/>
      <c r="F15" s="60"/>
      <c r="G15" s="60"/>
      <c r="H15" s="60"/>
      <c r="I15" s="60"/>
      <c r="J15" s="52"/>
    </row>
    <row r="16" spans="2:10" ht="12.75">
      <c r="B16" s="48"/>
      <c r="C16" s="51" t="s">
        <v>112</v>
      </c>
      <c r="D16" s="62">
        <f>ROUND(AF36,-3)</f>
        <v>21000</v>
      </c>
      <c r="E16" s="63"/>
      <c r="F16" s="64"/>
      <c r="G16" s="64"/>
      <c r="H16" s="64"/>
      <c r="I16" s="64"/>
      <c r="J16" s="52"/>
    </row>
    <row r="17" spans="2:12" ht="12.75">
      <c r="B17" s="48"/>
      <c r="C17" s="65" t="s">
        <v>113</v>
      </c>
      <c r="D17" s="62">
        <f>ROUND(AF37,-3)</f>
        <v>251000</v>
      </c>
      <c r="E17" s="63"/>
      <c r="F17" s="66"/>
      <c r="G17" s="66"/>
      <c r="H17" s="66"/>
      <c r="I17" s="66"/>
      <c r="J17" s="52"/>
      <c r="L17" s="67" t="s">
        <v>114</v>
      </c>
    </row>
    <row r="18" spans="2:10" ht="13.5">
      <c r="B18" s="48"/>
      <c r="C18" s="65" t="s">
        <v>115</v>
      </c>
      <c r="D18" s="68">
        <f>AF34</f>
        <v>23361294.929205507</v>
      </c>
      <c r="E18" s="63"/>
      <c r="F18" s="69"/>
      <c r="G18" s="69"/>
      <c r="H18" s="69"/>
      <c r="I18" s="69"/>
      <c r="J18" s="52"/>
    </row>
    <row r="19" spans="2:10" ht="6" customHeight="1">
      <c r="B19" s="48"/>
      <c r="C19" s="65"/>
      <c r="D19" s="70"/>
      <c r="E19" s="63"/>
      <c r="F19" s="69"/>
      <c r="G19" s="69"/>
      <c r="H19" s="69"/>
      <c r="I19" s="69"/>
      <c r="J19" s="52"/>
    </row>
    <row r="20" spans="2:10" ht="12.75">
      <c r="B20" s="48"/>
      <c r="C20" s="65" t="s">
        <v>116</v>
      </c>
      <c r="D20" s="63"/>
      <c r="E20" s="63"/>
      <c r="F20" s="71">
        <f>'RT-Nd'!B106</f>
        <v>0.3041377952755906</v>
      </c>
      <c r="G20" s="71">
        <f>'RT-Nd'!C106+F20</f>
        <v>0.5479927559055119</v>
      </c>
      <c r="H20" s="71">
        <f>'RT-Nd'!D106</f>
        <v>0.31720362204724406</v>
      </c>
      <c r="I20" s="71">
        <f>'RT-Nd'!E106</f>
        <v>0.13480362204724405</v>
      </c>
      <c r="J20" s="72"/>
    </row>
    <row r="21" spans="2:10" ht="13.5">
      <c r="B21" s="48"/>
      <c r="C21" s="73" t="s">
        <v>117</v>
      </c>
      <c r="D21" s="74"/>
      <c r="E21" s="74"/>
      <c r="F21" s="75">
        <v>0.335</v>
      </c>
      <c r="G21" s="75">
        <f>F21+26.86%</f>
        <v>0.6036</v>
      </c>
      <c r="H21" s="75">
        <v>0.2894</v>
      </c>
      <c r="I21" s="75">
        <v>0.10699999999999998</v>
      </c>
      <c r="J21" s="52"/>
    </row>
    <row r="22" spans="2:10" ht="12.75">
      <c r="B22" s="76"/>
      <c r="C22" s="77"/>
      <c r="D22" s="78"/>
      <c r="E22" s="79"/>
      <c r="F22" s="80"/>
      <c r="G22" s="81"/>
      <c r="H22" s="81"/>
      <c r="I22" s="81"/>
      <c r="J22" s="52"/>
    </row>
    <row r="23" spans="2:10" ht="12.75">
      <c r="B23" s="48"/>
      <c r="C23" s="56" t="s">
        <v>118</v>
      </c>
      <c r="D23" s="57"/>
      <c r="E23" s="58"/>
      <c r="F23" s="57"/>
      <c r="G23" s="57"/>
      <c r="H23" s="57"/>
      <c r="I23" s="57"/>
      <c r="J23" s="52"/>
    </row>
    <row r="24" spans="2:10" ht="6.75" customHeight="1">
      <c r="B24" s="48"/>
      <c r="C24" s="59"/>
      <c r="D24" s="60"/>
      <c r="E24" s="61"/>
      <c r="F24" s="60"/>
      <c r="G24" s="60"/>
      <c r="H24" s="60"/>
      <c r="I24" s="60"/>
      <c r="J24" s="52"/>
    </row>
    <row r="25" spans="2:14" ht="12.75">
      <c r="B25" s="48"/>
      <c r="C25" s="65" t="s">
        <v>119</v>
      </c>
      <c r="D25" s="82">
        <f>SUMPRODUCT(G25:I25,G20:I20)</f>
        <v>871.157573225352</v>
      </c>
      <c r="E25" s="83"/>
      <c r="F25" s="84">
        <f>'RT-Nd'!B128</f>
        <v>871.157573225352</v>
      </c>
      <c r="G25" s="84">
        <f>'RT-Nd'!C128</f>
        <v>871.1575732253522</v>
      </c>
      <c r="H25" s="84">
        <f>'RT-Nd'!D128</f>
        <v>871.1575732253519</v>
      </c>
      <c r="I25" s="84">
        <f>'RT-Nd'!E128</f>
        <v>871.1575732253519</v>
      </c>
      <c r="J25" s="85"/>
      <c r="K25" s="86"/>
      <c r="L25" s="86"/>
      <c r="M25" s="86"/>
      <c r="N25" s="86"/>
    </row>
    <row r="26" spans="2:14" ht="13.5" customHeight="1">
      <c r="B26" s="48"/>
      <c r="C26" s="87" t="s">
        <v>120</v>
      </c>
      <c r="D26" s="88">
        <f>SUMPRODUCT(G26:I26,G20:I20)</f>
        <v>0.13269583913212998</v>
      </c>
      <c r="E26" s="89"/>
      <c r="F26" s="75">
        <f>'RT-Nd'!B145</f>
        <v>0.22439877558949883</v>
      </c>
      <c r="G26" s="75">
        <f>'RT-Nd'!C145</f>
        <v>0.17251985950484555</v>
      </c>
      <c r="H26" s="75">
        <f>'RT-Nd'!D145</f>
        <v>0.09344825723179134</v>
      </c>
      <c r="I26" s="75">
        <f>'RT-Nd'!E145</f>
        <v>0.06315913531408894</v>
      </c>
      <c r="J26" s="52"/>
      <c r="K26" s="90"/>
      <c r="L26" s="90"/>
      <c r="M26" s="90"/>
      <c r="N26" s="90"/>
    </row>
    <row r="27" spans="2:10" ht="12.75">
      <c r="B27" s="48"/>
      <c r="C27" s="91"/>
      <c r="D27" s="78"/>
      <c r="E27" s="78"/>
      <c r="F27" s="92"/>
      <c r="G27" s="92"/>
      <c r="H27" s="92"/>
      <c r="I27" s="92"/>
      <c r="J27" s="52"/>
    </row>
    <row r="28" spans="2:10" ht="12.75">
      <c r="B28" s="48"/>
      <c r="C28" s="56" t="s">
        <v>121</v>
      </c>
      <c r="D28" s="93"/>
      <c r="E28" s="93"/>
      <c r="F28" s="94"/>
      <c r="G28" s="94"/>
      <c r="H28" s="94"/>
      <c r="I28" s="94"/>
      <c r="J28" s="52"/>
    </row>
    <row r="29" spans="2:10" ht="5.25" customHeight="1">
      <c r="B29" s="48"/>
      <c r="C29" s="54"/>
      <c r="D29" s="95"/>
      <c r="E29" s="95"/>
      <c r="F29" s="96"/>
      <c r="G29" s="96"/>
      <c r="H29" s="96"/>
      <c r="I29" s="96"/>
      <c r="J29" s="52"/>
    </row>
    <row r="30" spans="2:14" ht="12.75">
      <c r="B30" s="48"/>
      <c r="C30" s="73" t="s">
        <v>122</v>
      </c>
      <c r="D30" s="97">
        <f>$D$12/D10</f>
        <v>1.7733213411095607</v>
      </c>
      <c r="E30" s="98"/>
      <c r="F30" s="99">
        <f>'RT-Nd'!B152</f>
        <v>0.5393340430002154</v>
      </c>
      <c r="G30" s="99">
        <f>'RT-Nd'!C152</f>
        <v>0.9717672488206865</v>
      </c>
      <c r="H30" s="99">
        <f>'RT-Nd'!D152</f>
        <v>0.562503952453629</v>
      </c>
      <c r="I30" s="99">
        <f>'RT-Nd'!E152</f>
        <v>0.23905013983524517</v>
      </c>
      <c r="J30" s="52"/>
      <c r="K30" s="86"/>
      <c r="L30" s="100" t="s">
        <v>123</v>
      </c>
      <c r="M30" s="86"/>
      <c r="N30" s="86"/>
    </row>
    <row r="31" spans="2:32" ht="12.75">
      <c r="B31" s="48"/>
      <c r="C31" s="91"/>
      <c r="D31" s="78"/>
      <c r="E31" s="78"/>
      <c r="F31" s="92"/>
      <c r="G31" s="92"/>
      <c r="H31" s="92"/>
      <c r="I31" s="92"/>
      <c r="J31" s="52"/>
      <c r="M31" s="38">
        <v>1</v>
      </c>
      <c r="N31" s="38">
        <v>2</v>
      </c>
      <c r="O31" s="38">
        <v>3</v>
      </c>
      <c r="P31" s="38">
        <v>4</v>
      </c>
      <c r="Q31" s="38">
        <v>5</v>
      </c>
      <c r="R31" s="38">
        <v>6</v>
      </c>
      <c r="S31" s="38">
        <v>7</v>
      </c>
      <c r="T31" s="38">
        <v>8</v>
      </c>
      <c r="U31" s="38">
        <v>9</v>
      </c>
      <c r="V31" s="38">
        <v>10</v>
      </c>
      <c r="W31" s="38">
        <v>11</v>
      </c>
      <c r="X31" s="38">
        <v>12</v>
      </c>
      <c r="Y31" s="38">
        <v>13</v>
      </c>
      <c r="Z31" s="38">
        <v>14</v>
      </c>
      <c r="AA31" s="38">
        <v>15</v>
      </c>
      <c r="AB31" s="38">
        <v>16</v>
      </c>
      <c r="AC31" s="38">
        <v>17</v>
      </c>
      <c r="AD31" s="38">
        <v>18</v>
      </c>
      <c r="AE31" s="38">
        <v>19</v>
      </c>
      <c r="AF31" s="38">
        <v>20</v>
      </c>
    </row>
    <row r="32" spans="2:32" ht="24">
      <c r="B32" s="48"/>
      <c r="C32" s="49" t="s">
        <v>124</v>
      </c>
      <c r="D32" s="101">
        <v>0.50641134319889</v>
      </c>
      <c r="E32" s="102"/>
      <c r="F32" s="103"/>
      <c r="G32" s="103"/>
      <c r="H32" s="103"/>
      <c r="I32" s="103"/>
      <c r="J32" s="52"/>
      <c r="K32" s="86"/>
      <c r="L32" s="104">
        <v>2009</v>
      </c>
      <c r="M32" s="104">
        <v>2010</v>
      </c>
      <c r="N32" s="104">
        <v>2011</v>
      </c>
      <c r="O32" s="104">
        <v>2012</v>
      </c>
      <c r="P32" s="104">
        <v>2013</v>
      </c>
      <c r="Q32" s="104">
        <v>2014</v>
      </c>
      <c r="R32" s="104">
        <v>2015</v>
      </c>
      <c r="S32" s="104">
        <v>2016</v>
      </c>
      <c r="T32" s="104">
        <v>2017</v>
      </c>
      <c r="U32" s="104">
        <v>2018</v>
      </c>
      <c r="V32" s="104">
        <v>2019</v>
      </c>
      <c r="W32" s="104">
        <v>2020</v>
      </c>
      <c r="X32" s="104">
        <v>2021</v>
      </c>
      <c r="Y32" s="104">
        <v>2022</v>
      </c>
      <c r="Z32" s="104">
        <v>2023</v>
      </c>
      <c r="AA32" s="104">
        <v>2024</v>
      </c>
      <c r="AB32" s="104">
        <v>2025</v>
      </c>
      <c r="AC32" s="104">
        <v>2026</v>
      </c>
      <c r="AD32" s="104">
        <v>2027</v>
      </c>
      <c r="AE32" s="104">
        <v>2028</v>
      </c>
      <c r="AF32" s="104">
        <v>2029</v>
      </c>
    </row>
    <row r="33" spans="2:14" ht="12.75">
      <c r="B33" s="48"/>
      <c r="C33" s="65"/>
      <c r="D33" s="105"/>
      <c r="E33" s="102"/>
      <c r="F33" s="103"/>
      <c r="G33" s="103"/>
      <c r="H33" s="103"/>
      <c r="I33" s="103"/>
      <c r="J33" s="52"/>
      <c r="K33" s="86"/>
      <c r="L33" s="106">
        <v>0.027</v>
      </c>
      <c r="M33" s="86" t="s">
        <v>125</v>
      </c>
      <c r="N33" s="86"/>
    </row>
    <row r="34" spans="2:32" ht="13.5">
      <c r="B34" s="48"/>
      <c r="C34" s="65" t="s">
        <v>126</v>
      </c>
      <c r="D34" s="107">
        <v>820</v>
      </c>
      <c r="E34" s="51"/>
      <c r="F34" s="51"/>
      <c r="G34" s="51"/>
      <c r="H34" s="51"/>
      <c r="I34" s="51"/>
      <c r="J34" s="52"/>
      <c r="L34" s="108">
        <f>D35</f>
        <v>13711597</v>
      </c>
      <c r="M34" s="108">
        <f>L34*(1+$L33)</f>
        <v>14081810.118999999</v>
      </c>
      <c r="N34" s="108">
        <f aca="true" t="shared" si="0" ref="N34:AF34">M34*(1+$L33)</f>
        <v>14462018.992212998</v>
      </c>
      <c r="O34" s="108">
        <f t="shared" si="0"/>
        <v>14852493.505002748</v>
      </c>
      <c r="P34" s="108">
        <f t="shared" si="0"/>
        <v>15253510.829637822</v>
      </c>
      <c r="Q34" s="108">
        <f t="shared" si="0"/>
        <v>15665355.622038042</v>
      </c>
      <c r="R34" s="108">
        <f t="shared" si="0"/>
        <v>16088320.223833067</v>
      </c>
      <c r="S34" s="108">
        <f t="shared" si="0"/>
        <v>16522704.869876558</v>
      </c>
      <c r="T34" s="108">
        <f t="shared" si="0"/>
        <v>16968817.901363224</v>
      </c>
      <c r="U34" s="108">
        <f t="shared" si="0"/>
        <v>17426975.984700028</v>
      </c>
      <c r="V34" s="108">
        <f t="shared" si="0"/>
        <v>17897504.33628693</v>
      </c>
      <c r="W34" s="108">
        <f t="shared" si="0"/>
        <v>18380736.953366674</v>
      </c>
      <c r="X34" s="108">
        <f t="shared" si="0"/>
        <v>18877016.85110757</v>
      </c>
      <c r="Y34" s="108">
        <f t="shared" si="0"/>
        <v>19386696.306087475</v>
      </c>
      <c r="Z34" s="108">
        <f t="shared" si="0"/>
        <v>19910137.106351834</v>
      </c>
      <c r="AA34" s="108">
        <f t="shared" si="0"/>
        <v>20447710.808223333</v>
      </c>
      <c r="AB34" s="108">
        <f t="shared" si="0"/>
        <v>20999799.000045363</v>
      </c>
      <c r="AC34" s="108">
        <f t="shared" si="0"/>
        <v>21566793.573046587</v>
      </c>
      <c r="AD34" s="108">
        <f t="shared" si="0"/>
        <v>22149096.999518845</v>
      </c>
      <c r="AE34" s="108">
        <f t="shared" si="0"/>
        <v>22747122.61850585</v>
      </c>
      <c r="AF34" s="108">
        <f t="shared" si="0"/>
        <v>23361294.929205507</v>
      </c>
    </row>
    <row r="35" spans="2:10" ht="12.75">
      <c r="B35" s="48"/>
      <c r="C35" s="109" t="s">
        <v>127</v>
      </c>
      <c r="D35" s="68">
        <v>13711597</v>
      </c>
      <c r="E35" s="110"/>
      <c r="F35" s="110"/>
      <c r="G35" s="110"/>
      <c r="H35" s="110"/>
      <c r="I35" s="110"/>
      <c r="J35" s="52"/>
    </row>
    <row r="36" spans="2:32" ht="12.75">
      <c r="B36" s="48"/>
      <c r="C36" s="65"/>
      <c r="D36" s="111"/>
      <c r="E36" s="51"/>
      <c r="F36" s="51"/>
      <c r="G36" s="51"/>
      <c r="H36" s="51"/>
      <c r="I36" s="51"/>
      <c r="J36" s="52"/>
      <c r="L36" s="112">
        <f>'RT-Nd'!B118</f>
        <v>12539.907644580599</v>
      </c>
      <c r="M36" s="104">
        <f>L36*(1+$L$33)</f>
        <v>12878.485150984274</v>
      </c>
      <c r="N36" s="104">
        <f aca="true" t="shared" si="1" ref="N36:AF37">M36*(1+$L$33)</f>
        <v>13226.204250060848</v>
      </c>
      <c r="O36" s="104">
        <f t="shared" si="1"/>
        <v>13583.31176481249</v>
      </c>
      <c r="P36" s="104">
        <f t="shared" si="1"/>
        <v>13950.061182462427</v>
      </c>
      <c r="Q36" s="104">
        <f t="shared" si="1"/>
        <v>14326.71283438891</v>
      </c>
      <c r="R36" s="104">
        <f t="shared" si="1"/>
        <v>14713.53408091741</v>
      </c>
      <c r="S36" s="104">
        <f t="shared" si="1"/>
        <v>15110.79950110218</v>
      </c>
      <c r="T36" s="104">
        <f t="shared" si="1"/>
        <v>15518.791087631937</v>
      </c>
      <c r="U36" s="104">
        <f t="shared" si="1"/>
        <v>15937.798446997998</v>
      </c>
      <c r="V36" s="104">
        <f t="shared" si="1"/>
        <v>16368.119005066943</v>
      </c>
      <c r="W36" s="104">
        <f t="shared" si="1"/>
        <v>16810.05821820375</v>
      </c>
      <c r="X36" s="104">
        <f t="shared" si="1"/>
        <v>17263.92979009525</v>
      </c>
      <c r="Y36" s="104">
        <f t="shared" si="1"/>
        <v>17730.05589442782</v>
      </c>
      <c r="Z36" s="104">
        <f t="shared" si="1"/>
        <v>18208.76740357737</v>
      </c>
      <c r="AA36" s="104">
        <f t="shared" si="1"/>
        <v>18700.40412347396</v>
      </c>
      <c r="AB36" s="104">
        <f t="shared" si="1"/>
        <v>19205.315034807754</v>
      </c>
      <c r="AC36" s="104">
        <f t="shared" si="1"/>
        <v>19723.858540747562</v>
      </c>
      <c r="AD36" s="104">
        <f t="shared" si="1"/>
        <v>20256.402721347746</v>
      </c>
      <c r="AE36" s="104">
        <f t="shared" si="1"/>
        <v>20803.32559482413</v>
      </c>
      <c r="AF36" s="104">
        <f t="shared" si="1"/>
        <v>21365.01538588438</v>
      </c>
    </row>
    <row r="37" spans="2:32" ht="12.75">
      <c r="B37" s="48"/>
      <c r="C37" s="113" t="s">
        <v>128</v>
      </c>
      <c r="D37" s="114"/>
      <c r="E37" s="51"/>
      <c r="F37" s="115"/>
      <c r="G37" s="115"/>
      <c r="H37" s="115"/>
      <c r="I37" s="115"/>
      <c r="J37" s="52"/>
      <c r="L37" s="112">
        <f>'RT-Nd'!B119</f>
        <v>147227.8045678537</v>
      </c>
      <c r="M37" s="104">
        <f>L37*(1+$L$33)</f>
        <v>151202.95529118573</v>
      </c>
      <c r="N37" s="104">
        <f t="shared" si="1"/>
        <v>155285.43508404773</v>
      </c>
      <c r="O37" s="104">
        <f t="shared" si="1"/>
        <v>159478.141831317</v>
      </c>
      <c r="P37" s="104">
        <f t="shared" si="1"/>
        <v>163784.05166076255</v>
      </c>
      <c r="Q37" s="104">
        <f t="shared" si="1"/>
        <v>168206.22105560312</v>
      </c>
      <c r="R37" s="104">
        <f t="shared" si="1"/>
        <v>172747.7890241044</v>
      </c>
      <c r="S37" s="104">
        <f t="shared" si="1"/>
        <v>177411.9793277552</v>
      </c>
      <c r="T37" s="104">
        <f t="shared" si="1"/>
        <v>182202.10276960456</v>
      </c>
      <c r="U37" s="104">
        <f t="shared" si="1"/>
        <v>187121.55954438387</v>
      </c>
      <c r="V37" s="104">
        <f t="shared" si="1"/>
        <v>192173.84165208222</v>
      </c>
      <c r="W37" s="104">
        <f t="shared" si="1"/>
        <v>197362.53537668844</v>
      </c>
      <c r="X37" s="104">
        <f t="shared" si="1"/>
        <v>202691.32383185902</v>
      </c>
      <c r="Y37" s="104">
        <f t="shared" si="1"/>
        <v>208163.9895753192</v>
      </c>
      <c r="Z37" s="104">
        <f t="shared" si="1"/>
        <v>213784.4172938528</v>
      </c>
      <c r="AA37" s="104">
        <f t="shared" si="1"/>
        <v>219556.59656078683</v>
      </c>
      <c r="AB37" s="104">
        <f t="shared" si="1"/>
        <v>225484.62466792806</v>
      </c>
      <c r="AC37" s="104">
        <f t="shared" si="1"/>
        <v>231572.7095339621</v>
      </c>
      <c r="AD37" s="104">
        <f t="shared" si="1"/>
        <v>237825.17269137906</v>
      </c>
      <c r="AE37" s="104">
        <f t="shared" si="1"/>
        <v>244246.45235404628</v>
      </c>
      <c r="AF37" s="104">
        <f t="shared" si="1"/>
        <v>250841.10656760552</v>
      </c>
    </row>
    <row r="38" spans="2:32" ht="12.75">
      <c r="B38" s="48"/>
      <c r="C38" s="116" t="s">
        <v>129</v>
      </c>
      <c r="D38" s="114"/>
      <c r="E38" s="51"/>
      <c r="F38" s="115"/>
      <c r="G38" s="115"/>
      <c r="H38" s="115"/>
      <c r="I38" s="115"/>
      <c r="J38" s="52"/>
      <c r="M38" s="104"/>
      <c r="N38" s="104"/>
      <c r="O38" s="104"/>
      <c r="P38" s="104"/>
      <c r="Q38" s="104"/>
      <c r="R38" s="104"/>
      <c r="S38" s="104"/>
      <c r="T38" s="104"/>
      <c r="U38" s="104"/>
      <c r="V38" s="104"/>
      <c r="W38" s="104"/>
      <c r="X38" s="104"/>
      <c r="Y38" s="104"/>
      <c r="Z38" s="104"/>
      <c r="AA38" s="104"/>
      <c r="AB38" s="104"/>
      <c r="AC38" s="104"/>
      <c r="AD38" s="104"/>
      <c r="AE38" s="104"/>
      <c r="AF38" s="104"/>
    </row>
    <row r="39" spans="2:10" ht="12.75">
      <c r="B39" s="48"/>
      <c r="C39" s="117" t="s">
        <v>130</v>
      </c>
      <c r="D39" s="114"/>
      <c r="E39" s="51"/>
      <c r="F39" s="115"/>
      <c r="G39" s="115"/>
      <c r="H39" s="115"/>
      <c r="I39" s="115"/>
      <c r="J39" s="52"/>
    </row>
    <row r="40" spans="2:10" ht="12.75">
      <c r="B40" s="48"/>
      <c r="C40" s="117" t="s">
        <v>131</v>
      </c>
      <c r="D40" s="36"/>
      <c r="E40" s="36"/>
      <c r="F40" s="36"/>
      <c r="G40" s="36"/>
      <c r="H40" s="36"/>
      <c r="I40" s="36"/>
      <c r="J40" s="52"/>
    </row>
    <row r="41" spans="2:10" s="119" customFormat="1" ht="12.75">
      <c r="B41" s="48"/>
      <c r="C41" s="118" t="s">
        <v>132</v>
      </c>
      <c r="D41" s="36"/>
      <c r="E41" s="36"/>
      <c r="F41" s="36"/>
      <c r="G41" s="36"/>
      <c r="H41" s="36"/>
      <c r="I41" s="36"/>
      <c r="J41" s="52"/>
    </row>
    <row r="42" spans="2:10" s="119" customFormat="1" ht="13.5" thickBot="1">
      <c r="B42" s="120"/>
      <c r="C42" s="121" t="s">
        <v>133</v>
      </c>
      <c r="D42" s="122"/>
      <c r="E42" s="122"/>
      <c r="F42" s="122"/>
      <c r="G42" s="122"/>
      <c r="H42" s="122"/>
      <c r="I42" s="122"/>
      <c r="J42" s="123"/>
    </row>
    <row r="43" ht="12.75">
      <c r="B43" s="36"/>
    </row>
  </sheetData>
  <sheetProtection/>
  <mergeCells count="6">
    <mergeCell ref="F13:I13"/>
    <mergeCell ref="D4:J4"/>
    <mergeCell ref="D5:I5"/>
    <mergeCell ref="C7:I7"/>
    <mergeCell ref="C8:I8"/>
    <mergeCell ref="F10:H10"/>
  </mergeCells>
  <printOptions horizontalCentered="1"/>
  <pageMargins left="0.75" right="0.75" top="1" bottom="1" header="0.5" footer="0.5"/>
  <pageSetup horizontalDpi="600" verticalDpi="600" orientation="portrait" scale="74" r:id="rId4"/>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V155"/>
  <sheetViews>
    <sheetView zoomScalePageLayoutView="0" workbookViewId="0" topLeftCell="A1">
      <selection activeCell="A43" sqref="A43"/>
    </sheetView>
  </sheetViews>
  <sheetFormatPr defaultColWidth="9.140625" defaultRowHeight="12.75"/>
  <cols>
    <col min="1" max="1" width="63.421875" style="0" customWidth="1"/>
    <col min="3" max="3" width="10.00390625" style="0" bestFit="1" customWidth="1"/>
  </cols>
  <sheetData>
    <row r="1" ht="15">
      <c r="A1" s="23" t="s">
        <v>99</v>
      </c>
    </row>
    <row r="2" ht="15">
      <c r="A2" s="23" t="s">
        <v>0</v>
      </c>
    </row>
    <row r="3" ht="15">
      <c r="A3" s="23" t="s">
        <v>100</v>
      </c>
    </row>
    <row r="4" ht="15">
      <c r="A4" s="23" t="s">
        <v>1</v>
      </c>
    </row>
    <row r="5" ht="15">
      <c r="A5" s="23" t="s">
        <v>101</v>
      </c>
    </row>
    <row r="7" ht="12.75">
      <c r="A7" t="s">
        <v>136</v>
      </c>
    </row>
    <row r="10" ht="12.75">
      <c r="A10" t="s">
        <v>137</v>
      </c>
    </row>
    <row r="11" ht="12.75">
      <c r="A11" t="s">
        <v>26</v>
      </c>
    </row>
    <row r="12" ht="12.75">
      <c r="A12" t="s">
        <v>41</v>
      </c>
    </row>
    <row r="13" spans="1:5" ht="12.75">
      <c r="A13" s="19" t="s">
        <v>141</v>
      </c>
      <c r="B13" s="17">
        <v>47570000</v>
      </c>
      <c r="C13" s="18">
        <f>B13/B$18</f>
        <v>0.5707395498392283</v>
      </c>
      <c r="D13" s="10">
        <v>1</v>
      </c>
      <c r="E13" s="17">
        <f>B13*D13</f>
        <v>47570000</v>
      </c>
    </row>
    <row r="14" spans="1:5" ht="12.75">
      <c r="A14" t="s">
        <v>28</v>
      </c>
      <c r="B14" s="17">
        <v>3799000</v>
      </c>
      <c r="C14" s="18">
        <f>B14/B$18</f>
        <v>0.0455799779238854</v>
      </c>
      <c r="D14" s="10">
        <f>D13</f>
        <v>1</v>
      </c>
      <c r="E14" s="17">
        <f>B14*D14</f>
        <v>3799000</v>
      </c>
    </row>
    <row r="15" spans="1:5" ht="12.75">
      <c r="A15" t="s">
        <v>29</v>
      </c>
      <c r="B15" s="17">
        <f>B14</f>
        <v>3799000</v>
      </c>
      <c r="C15" s="18">
        <f>B15/B$18</f>
        <v>0.0455799779238854</v>
      </c>
      <c r="D15" s="10">
        <f>D14</f>
        <v>1</v>
      </c>
      <c r="E15" s="17">
        <f>B15*D15</f>
        <v>3799000</v>
      </c>
    </row>
    <row r="16" spans="1:5" ht="12.75">
      <c r="A16" t="s">
        <v>30</v>
      </c>
      <c r="B16" s="1">
        <v>0</v>
      </c>
      <c r="C16" s="18">
        <f>B16/B$18</f>
        <v>0</v>
      </c>
      <c r="D16" s="10">
        <f>D15</f>
        <v>1</v>
      </c>
      <c r="E16" s="1">
        <f>B16*D16</f>
        <v>0</v>
      </c>
    </row>
    <row r="17" spans="1:5" ht="12.75">
      <c r="A17" t="s">
        <v>31</v>
      </c>
      <c r="B17" s="4">
        <v>28180000</v>
      </c>
      <c r="C17" s="124">
        <f>B17/B$18</f>
        <v>0.33810049431300093</v>
      </c>
      <c r="D17" s="10">
        <f>D16</f>
        <v>1</v>
      </c>
      <c r="E17" s="4">
        <f>B17*D17</f>
        <v>28180000</v>
      </c>
    </row>
    <row r="18" spans="1:7" ht="12.75">
      <c r="A18" t="s">
        <v>32</v>
      </c>
      <c r="B18" s="1">
        <f>SUM(B13:B17)</f>
        <v>83348000</v>
      </c>
      <c r="C18" s="18">
        <f>SUM(C13:C17)</f>
        <v>0.9999999999999999</v>
      </c>
      <c r="E18" s="1">
        <f>SUM(E13:E17)</f>
        <v>83348000</v>
      </c>
      <c r="F18" s="18"/>
      <c r="G18" s="10"/>
    </row>
    <row r="19" spans="2:6" ht="12.75">
      <c r="B19" s="1"/>
      <c r="C19" s="18"/>
      <c r="E19" s="1"/>
      <c r="F19" s="18"/>
    </row>
    <row r="20" spans="1:6" ht="12.75">
      <c r="A20" t="s">
        <v>142</v>
      </c>
      <c r="B20" s="17">
        <v>7800000</v>
      </c>
      <c r="C20" s="18"/>
      <c r="E20" s="1"/>
      <c r="F20" s="18"/>
    </row>
    <row r="22" spans="1:2" ht="12.75">
      <c r="A22" t="s">
        <v>33</v>
      </c>
      <c r="B22" s="7">
        <f>B18/'RT-Nd'!B8</f>
        <v>694566.6666666666</v>
      </c>
    </row>
    <row r="23" spans="1:2" ht="12.75">
      <c r="A23" s="19" t="s">
        <v>140</v>
      </c>
      <c r="B23" s="9">
        <v>1</v>
      </c>
    </row>
    <row r="24" ht="12.75">
      <c r="B24" s="7"/>
    </row>
    <row r="25" spans="1:2" ht="12.75">
      <c r="A25" t="s">
        <v>51</v>
      </c>
      <c r="B25" s="7"/>
    </row>
    <row r="26" spans="2:22" ht="12.75">
      <c r="B26" s="7"/>
      <c r="C26">
        <v>1</v>
      </c>
      <c r="D26">
        <v>2</v>
      </c>
      <c r="E26">
        <v>3</v>
      </c>
      <c r="F26">
        <v>4</v>
      </c>
      <c r="G26">
        <v>5</v>
      </c>
      <c r="H26">
        <v>6</v>
      </c>
      <c r="I26">
        <v>7</v>
      </c>
      <c r="J26">
        <v>8</v>
      </c>
      <c r="K26">
        <v>9</v>
      </c>
      <c r="L26">
        <v>10</v>
      </c>
      <c r="M26">
        <v>11</v>
      </c>
      <c r="N26">
        <v>12</v>
      </c>
      <c r="O26">
        <v>13</v>
      </c>
      <c r="P26">
        <v>14</v>
      </c>
      <c r="Q26">
        <v>15</v>
      </c>
      <c r="R26">
        <v>16</v>
      </c>
      <c r="S26">
        <v>17</v>
      </c>
      <c r="T26">
        <v>18</v>
      </c>
      <c r="U26">
        <v>19</v>
      </c>
      <c r="V26">
        <v>20</v>
      </c>
    </row>
    <row r="27" spans="1:22" ht="12.75">
      <c r="A27" s="19" t="s">
        <v>2</v>
      </c>
      <c r="B27" s="7"/>
      <c r="C27" s="5">
        <v>2010</v>
      </c>
      <c r="D27" s="5">
        <v>2011</v>
      </c>
      <c r="E27" s="5">
        <v>2012</v>
      </c>
      <c r="F27" s="5">
        <v>2013</v>
      </c>
      <c r="G27" s="5">
        <v>2014</v>
      </c>
      <c r="H27" s="5">
        <v>2015</v>
      </c>
      <c r="I27" s="5">
        <v>2016</v>
      </c>
      <c r="J27" s="5">
        <v>2017</v>
      </c>
      <c r="K27" s="5">
        <v>2018</v>
      </c>
      <c r="L27" s="5">
        <v>2019</v>
      </c>
      <c r="M27" s="5">
        <v>2020</v>
      </c>
      <c r="N27" s="5">
        <v>2021</v>
      </c>
      <c r="O27" s="5">
        <v>2022</v>
      </c>
      <c r="P27" s="5">
        <v>2023</v>
      </c>
      <c r="Q27" s="5">
        <v>2024</v>
      </c>
      <c r="R27" s="5">
        <v>2025</v>
      </c>
      <c r="S27" s="5">
        <v>2026</v>
      </c>
      <c r="T27" s="5">
        <v>2027</v>
      </c>
      <c r="U27" s="5">
        <v>2028</v>
      </c>
      <c r="V27" s="5">
        <v>2029</v>
      </c>
    </row>
    <row r="28" spans="1:4" ht="12.75">
      <c r="A28" s="19" t="s">
        <v>3</v>
      </c>
      <c r="B28" s="7"/>
      <c r="C28" s="1">
        <f>0.5*$E18*485</f>
        <v>20211890000</v>
      </c>
      <c r="D28" s="1">
        <f>0.5*$E18*485</f>
        <v>20211890000</v>
      </c>
    </row>
    <row r="29" spans="1:22" ht="12.75">
      <c r="A29" s="19" t="s">
        <v>138</v>
      </c>
      <c r="B29" s="7"/>
      <c r="C29" s="4">
        <f>'RT-Nd'!C58*$B23</f>
        <v>0</v>
      </c>
      <c r="D29" s="4">
        <f>'RT-Nd'!D58*$B23</f>
        <v>0</v>
      </c>
      <c r="E29" s="4">
        <f>'RT-Nd'!E58*$B23</f>
        <v>4147146000</v>
      </c>
      <c r="F29" s="4">
        <f>'RT-Nd'!F58*$B23</f>
        <v>4599558000</v>
      </c>
      <c r="G29" s="4">
        <f>'RT-Nd'!G58*$B23</f>
        <v>5168139000</v>
      </c>
      <c r="H29" s="4">
        <f>'RT-Nd'!H58*$B23</f>
        <v>9496331250</v>
      </c>
      <c r="I29" s="4">
        <f>'RT-Nd'!I58*$B23</f>
        <v>6098300000</v>
      </c>
      <c r="J29" s="4">
        <f>'RT-Nd'!J58*$B23</f>
        <v>6467337000</v>
      </c>
      <c r="K29" s="4">
        <f>'RT-Nd'!K58*$B23</f>
        <v>6862339000</v>
      </c>
      <c r="L29" s="4">
        <f>'RT-Nd'!L58*$B23</f>
        <v>7283883000</v>
      </c>
      <c r="M29" s="4">
        <f>'RT-Nd'!M58*$B23</f>
        <v>7733155000</v>
      </c>
      <c r="N29" s="4">
        <f>'RT-Nd'!N58*$B23</f>
        <v>15415000000</v>
      </c>
      <c r="O29" s="4">
        <f>'RT-Nd'!O58*$B23</f>
        <v>1053114000</v>
      </c>
      <c r="P29" s="4">
        <f>'RT-Nd'!P58*$B23</f>
        <v>1085743000</v>
      </c>
      <c r="Q29" s="4">
        <f>'RT-Nd'!Q58*$B23</f>
        <v>1111581000</v>
      </c>
      <c r="R29" s="4">
        <f>'RT-Nd'!R58*$B23</f>
        <v>1133414000</v>
      </c>
      <c r="S29" s="4">
        <f>'RT-Nd'!S58*$B23</f>
        <v>1145748000</v>
      </c>
      <c r="T29" s="4">
        <f>'RT-Nd'!T58*$B23</f>
        <v>1148790000</v>
      </c>
      <c r="U29" s="4">
        <f>'RT-Nd'!U58*$B23</f>
        <v>1156260000</v>
      </c>
      <c r="V29" s="4">
        <f>'RT-Nd'!V58*$B23</f>
        <v>7406000000</v>
      </c>
    </row>
    <row r="30" spans="1:22" ht="12.75">
      <c r="A30" s="19" t="s">
        <v>139</v>
      </c>
      <c r="B30" s="7"/>
      <c r="C30" s="1">
        <f>C29-C28</f>
        <v>-20211890000</v>
      </c>
      <c r="D30" s="1">
        <f aca="true" t="shared" si="0" ref="D30:V30">D29-D28</f>
        <v>-20211890000</v>
      </c>
      <c r="E30" s="1">
        <f t="shared" si="0"/>
        <v>4147146000</v>
      </c>
      <c r="F30" s="1">
        <f t="shared" si="0"/>
        <v>4599558000</v>
      </c>
      <c r="G30" s="1">
        <f t="shared" si="0"/>
        <v>5168139000</v>
      </c>
      <c r="H30" s="1">
        <f t="shared" si="0"/>
        <v>9496331250</v>
      </c>
      <c r="I30" s="1">
        <f t="shared" si="0"/>
        <v>6098300000</v>
      </c>
      <c r="J30" s="1">
        <f t="shared" si="0"/>
        <v>6467337000</v>
      </c>
      <c r="K30" s="1">
        <f t="shared" si="0"/>
        <v>6862339000</v>
      </c>
      <c r="L30" s="1">
        <f t="shared" si="0"/>
        <v>7283883000</v>
      </c>
      <c r="M30" s="1">
        <f t="shared" si="0"/>
        <v>7733155000</v>
      </c>
      <c r="N30" s="1">
        <f t="shared" si="0"/>
        <v>15415000000</v>
      </c>
      <c r="O30" s="1">
        <f t="shared" si="0"/>
        <v>1053114000</v>
      </c>
      <c r="P30" s="1">
        <f t="shared" si="0"/>
        <v>1085743000</v>
      </c>
      <c r="Q30" s="1">
        <f t="shared" si="0"/>
        <v>1111581000</v>
      </c>
      <c r="R30" s="1">
        <f t="shared" si="0"/>
        <v>1133414000</v>
      </c>
      <c r="S30" s="1">
        <f t="shared" si="0"/>
        <v>1145748000</v>
      </c>
      <c r="T30" s="1">
        <f t="shared" si="0"/>
        <v>1148790000</v>
      </c>
      <c r="U30" s="1">
        <f t="shared" si="0"/>
        <v>1156260000</v>
      </c>
      <c r="V30" s="1">
        <f t="shared" si="0"/>
        <v>7406000000</v>
      </c>
    </row>
    <row r="31" spans="2:4" ht="12.75">
      <c r="B31" t="s">
        <v>10</v>
      </c>
      <c r="C31" s="2">
        <f>IRR(C30:V30,0.01)</f>
        <v>0.10933311656180056</v>
      </c>
      <c r="D31" t="s">
        <v>143</v>
      </c>
    </row>
    <row r="33" spans="1:7" ht="12.75">
      <c r="A33" t="s">
        <v>144</v>
      </c>
      <c r="C33" s="1">
        <f>1/9*$B20*485</f>
        <v>420333333.3333333</v>
      </c>
      <c r="D33" s="1">
        <f>2/9*$B20*485</f>
        <v>840666666.6666666</v>
      </c>
      <c r="E33" s="1">
        <f>2/9*$B20*485</f>
        <v>840666666.6666666</v>
      </c>
      <c r="F33" s="1">
        <f>2/9*$B20*485</f>
        <v>840666666.6666666</v>
      </c>
      <c r="G33" s="1">
        <f>2/9*$B20*485</f>
        <v>840666666.6666666</v>
      </c>
    </row>
    <row r="34" spans="1:22" ht="12.75">
      <c r="A34" s="19"/>
      <c r="C34" s="1">
        <f>C30-C33</f>
        <v>-20632223333.333332</v>
      </c>
      <c r="D34" s="1">
        <f aca="true" t="shared" si="1" ref="D34:V34">D30-D33</f>
        <v>-21052556666.666668</v>
      </c>
      <c r="E34" s="1">
        <f t="shared" si="1"/>
        <v>3306479333.3333335</v>
      </c>
      <c r="F34" s="1">
        <f t="shared" si="1"/>
        <v>3758891333.3333335</v>
      </c>
      <c r="G34" s="1">
        <f t="shared" si="1"/>
        <v>4327472333.333333</v>
      </c>
      <c r="H34" s="1">
        <f t="shared" si="1"/>
        <v>9496331250</v>
      </c>
      <c r="I34" s="1">
        <f t="shared" si="1"/>
        <v>6098300000</v>
      </c>
      <c r="J34" s="1">
        <f t="shared" si="1"/>
        <v>6467337000</v>
      </c>
      <c r="K34" s="1">
        <f t="shared" si="1"/>
        <v>6862339000</v>
      </c>
      <c r="L34" s="1">
        <f t="shared" si="1"/>
        <v>7283883000</v>
      </c>
      <c r="M34" s="1">
        <f t="shared" si="1"/>
        <v>7733155000</v>
      </c>
      <c r="N34" s="1">
        <f t="shared" si="1"/>
        <v>15415000000</v>
      </c>
      <c r="O34" s="1">
        <f t="shared" si="1"/>
        <v>1053114000</v>
      </c>
      <c r="P34" s="1">
        <f t="shared" si="1"/>
        <v>1085743000</v>
      </c>
      <c r="Q34" s="1">
        <f t="shared" si="1"/>
        <v>1111581000</v>
      </c>
      <c r="R34" s="1">
        <f t="shared" si="1"/>
        <v>1133414000</v>
      </c>
      <c r="S34" s="1">
        <f t="shared" si="1"/>
        <v>1145748000</v>
      </c>
      <c r="T34" s="1">
        <f t="shared" si="1"/>
        <v>1148790000</v>
      </c>
      <c r="U34" s="1">
        <f t="shared" si="1"/>
        <v>1156260000</v>
      </c>
      <c r="V34" s="1">
        <f t="shared" si="1"/>
        <v>7406000000</v>
      </c>
    </row>
    <row r="35" spans="2:4" ht="12.75">
      <c r="B35" t="s">
        <v>10</v>
      </c>
      <c r="C35" s="2">
        <f>IRR(C34:V34,0.01)</f>
        <v>0.0967697740288811</v>
      </c>
      <c r="D35" t="s">
        <v>145</v>
      </c>
    </row>
    <row r="36" ht="12.75">
      <c r="A36" s="19"/>
    </row>
    <row r="37" ht="12.75">
      <c r="B37" s="1"/>
    </row>
    <row r="38" ht="12.75">
      <c r="B38" s="1"/>
    </row>
    <row r="40" ht="12.75">
      <c r="A40" s="19"/>
    </row>
    <row r="41" ht="12.75">
      <c r="A41" s="19"/>
    </row>
    <row r="42" ht="12.75">
      <c r="A42" s="19"/>
    </row>
    <row r="43" ht="12.75">
      <c r="A43" s="19"/>
    </row>
    <row r="45" ht="12.75">
      <c r="A45" s="19"/>
    </row>
    <row r="46" ht="12.75">
      <c r="A46" s="24"/>
    </row>
    <row r="58" ht="12.75">
      <c r="A58" s="19"/>
    </row>
    <row r="62" ht="12.75">
      <c r="A62" s="19"/>
    </row>
    <row r="76" ht="12.75">
      <c r="A76" s="19"/>
    </row>
    <row r="77" ht="12.75">
      <c r="A77" s="19"/>
    </row>
    <row r="78" ht="12.75">
      <c r="A78" s="19"/>
    </row>
    <row r="79" ht="12.75">
      <c r="A79" s="19"/>
    </row>
    <row r="81" ht="12.75">
      <c r="A81" s="19"/>
    </row>
    <row r="82" ht="12.75">
      <c r="A82" s="19"/>
    </row>
    <row r="98" ht="15">
      <c r="A98" s="23"/>
    </row>
    <row r="100" ht="12.75">
      <c r="A100" s="24"/>
    </row>
    <row r="102" ht="15">
      <c r="A102" s="23"/>
    </row>
    <row r="103" ht="12.75">
      <c r="A103" s="24"/>
    </row>
    <row r="105" ht="12.75">
      <c r="A105" s="24"/>
    </row>
    <row r="106" ht="12.75">
      <c r="A106" s="24"/>
    </row>
    <row r="107" ht="12.75">
      <c r="A107" s="24"/>
    </row>
    <row r="108" ht="12.75">
      <c r="A108" s="24"/>
    </row>
    <row r="109" ht="12.75">
      <c r="A109" s="24"/>
    </row>
    <row r="111" ht="12.75">
      <c r="A111" s="24"/>
    </row>
    <row r="112" ht="12.75">
      <c r="A112" s="24"/>
    </row>
    <row r="114" ht="12.75">
      <c r="A114" s="24"/>
    </row>
    <row r="115" ht="12.75">
      <c r="A115" s="24"/>
    </row>
    <row r="116" ht="12.75">
      <c r="A116" s="24"/>
    </row>
    <row r="117" ht="12.75">
      <c r="A117" s="24"/>
    </row>
    <row r="118" ht="12.75">
      <c r="A118" s="24"/>
    </row>
    <row r="119" ht="12.75">
      <c r="A119" s="24"/>
    </row>
    <row r="120" ht="12.75">
      <c r="A120" s="26"/>
    </row>
    <row r="121" ht="12.75">
      <c r="A121" s="24"/>
    </row>
    <row r="122" ht="12.75">
      <c r="A122" s="24"/>
    </row>
    <row r="124" ht="12.75">
      <c r="A124" s="24"/>
    </row>
    <row r="125" ht="12.75">
      <c r="A125" s="24"/>
    </row>
    <row r="129" ht="12.75">
      <c r="A129" s="24"/>
    </row>
    <row r="130" ht="12.75">
      <c r="A130" s="24"/>
    </row>
    <row r="131" ht="12.75">
      <c r="A131" s="24"/>
    </row>
    <row r="133" ht="12.75">
      <c r="A133" s="24"/>
    </row>
    <row r="138" ht="12.75">
      <c r="A138" s="19"/>
    </row>
    <row r="139" ht="12.75">
      <c r="A139" s="29"/>
    </row>
    <row r="140" ht="12.75">
      <c r="A140" s="29"/>
    </row>
    <row r="141" ht="12.75">
      <c r="A141" s="30"/>
    </row>
    <row r="142" ht="12.75">
      <c r="A142" s="29"/>
    </row>
    <row r="146" ht="12.75">
      <c r="A146" s="19"/>
    </row>
    <row r="147" ht="12.75">
      <c r="A147" s="19"/>
    </row>
    <row r="148" ht="12.75">
      <c r="A148" s="24"/>
    </row>
    <row r="150" ht="12.75">
      <c r="A150" s="24"/>
    </row>
    <row r="151" ht="12.75">
      <c r="A151" s="24"/>
    </row>
    <row r="155" ht="12.75">
      <c r="A155"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Deren</dc:creator>
  <cp:keywords/>
  <dc:description/>
  <cp:lastModifiedBy>Block, Marissa L (DPE/EE-EA/PSC)</cp:lastModifiedBy>
  <dcterms:created xsi:type="dcterms:W3CDTF">2009-06-28T16:57:21Z</dcterms:created>
  <dcterms:modified xsi:type="dcterms:W3CDTF">2015-03-27T16:17:57Z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