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135" windowWidth="9705" windowHeight="8250" tabRatio="690" firstSheet="1" activeTab="3"/>
  </bookViews>
  <sheets>
    <sheet name="disc rate" sheetId="1" state="hidden" r:id="rId1"/>
    <sheet name="User's Guide" sheetId="2" r:id="rId2"/>
    <sheet name="Project Description" sheetId="3" r:id="rId3"/>
    <sheet name="ERR &amp; Sensitivity Analysis" sheetId="4" r:id="rId4"/>
    <sheet name="Combined Cost-Benefit" sheetId="5" r:id="rId5"/>
    <sheet name="Project Benefits and Unit Costs" sheetId="6" r:id="rId6"/>
    <sheet name="PHF" sheetId="7" r:id="rId7"/>
    <sheet name="Roads" sheetId="8" r:id="rId8"/>
    <sheet name="Water" sheetId="9" r:id="rId9"/>
    <sheet name="BHS" sheetId="10" r:id="rId10"/>
    <sheet name="School" sheetId="11" r:id="rId11"/>
    <sheet name="Day Care" sheetId="12" r:id="rId12"/>
    <sheet name="Assumptions &amp; Data" sheetId="13" r:id="rId13"/>
    <sheet name="Subproject Data" sheetId="14" r:id="rId14"/>
    <sheet name="irrig" sheetId="15" state="hidden" r:id="rId15"/>
    <sheet name="summary" sheetId="16" state="hidden" r:id="rId16"/>
    <sheet name="ssf-KR2" sheetId="17" state="hidden" r:id="rId17"/>
    <sheet name="cost" sheetId="18" state="hidden" r:id="rId18"/>
    <sheet name="Notes" sheetId="19" r:id="rId19"/>
  </sheets>
  <definedNames>
    <definedName name="_Regression_Int" localSheetId="0" hidden="1">1</definedName>
    <definedName name="_xlnm.Print_Area" localSheetId="9">'BHS'!$A$6:$C$54</definedName>
    <definedName name="_xlnm.Print_Area" localSheetId="0">'disc rate'!$A$1:$I$46</definedName>
    <definedName name="_xlnm.Print_Area" localSheetId="14">'irrig'!$A$2:$E$53</definedName>
    <definedName name="_xlnm.Print_Area" localSheetId="6">'PHF'!$A$6:$F$43</definedName>
    <definedName name="_xlnm.Print_Area" localSheetId="7">'Roads'!$A$6:$D$60</definedName>
    <definedName name="_xlnm.Print_Area" localSheetId="10">'School'!$A$6:$E$34</definedName>
    <definedName name="_xlnm.Print_Area" localSheetId="15">'summary'!$L$3:$N$14</definedName>
    <definedName name="_xlnm.Print_Area" localSheetId="8">'Water'!$A$6:$C$82</definedName>
    <definedName name="Print_Area_MI" localSheetId="0">'disc rate'!$A$1:$I$46</definedName>
    <definedName name="TABLE" localSheetId="14">'irrig'!$I$60:$M$60</definedName>
    <definedName name="TABLE_2" localSheetId="14">'irrig'!$I$60:$M$60</definedName>
    <definedName name="TABLE_3" localSheetId="14">'irrig'!$I$60:$M$60</definedName>
  </definedNames>
  <calcPr fullCalcOnLoad="1"/>
</workbook>
</file>

<file path=xl/comments10.xml><?xml version="1.0" encoding="utf-8"?>
<comments xmlns="http://schemas.openxmlformats.org/spreadsheetml/2006/main">
  <authors>
    <author>edwardsan</author>
  </authors>
  <commentList>
    <comment ref="A16" authorId="0">
      <text>
        <r>
          <rPr>
            <sz val="8"/>
            <rFont val="Tahoma"/>
            <family val="2"/>
          </rPr>
          <t>Note:
2006 SP Benefits Survey, Health Center tab.</t>
        </r>
      </text>
    </comment>
    <comment ref="A17" authorId="0">
      <text>
        <r>
          <rPr>
            <sz val="8"/>
            <rFont val="Tahoma"/>
            <family val="2"/>
          </rPr>
          <t>Note:
AH 17</t>
        </r>
      </text>
    </comment>
    <comment ref="A18" authorId="0">
      <text>
        <r>
          <rPr>
            <sz val="8"/>
            <rFont val="Tahoma"/>
            <family val="2"/>
          </rPr>
          <t>Note:
Non-incremental (i.e., WOP) visits only</t>
        </r>
      </text>
    </comment>
    <comment ref="A19" authorId="0">
      <text>
        <r>
          <rPr>
            <sz val="8"/>
            <rFont val="Tahoma"/>
            <family val="2"/>
          </rPr>
          <t>Note:
Conservatively, no quality improvement is assumed for non-incremental patient-visits</t>
        </r>
      </text>
    </comment>
    <comment ref="A22" authorId="0">
      <text>
        <r>
          <rPr>
            <sz val="8"/>
            <rFont val="Tahoma"/>
            <family val="2"/>
          </rPr>
          <t>Note:
AH 16:
Midwife = PHP 26,000/y;
Nurse = PHP 10,800/y;
Inflate to 2009 PHP</t>
        </r>
      </text>
    </comment>
    <comment ref="A24" authorId="0">
      <text>
        <r>
          <rPr>
            <sz val="8"/>
            <rFont val="Tahoma"/>
            <family val="2"/>
          </rPr>
          <t>Note:
AH 14:
WP: PHP 10,000/y;
WOP: PHP 2,500/y (only minor repairs)
(a/o 2006)</t>
        </r>
      </text>
    </comment>
    <comment ref="A25" authorId="0">
      <text>
        <r>
          <rPr>
            <sz val="8"/>
            <rFont val="Tahoma"/>
            <family val="2"/>
          </rPr>
          <t xml:space="preserve">Note:
PHP 6480 per year (AH 16) (a/o 2006); 
12 months/y. </t>
        </r>
      </text>
    </comment>
    <comment ref="A42" authorId="0">
      <text>
        <r>
          <rPr>
            <sz val="8"/>
            <rFont val="Tahoma"/>
            <family val="2"/>
          </rPr>
          <t xml:space="preserve">Note:
2006 SP Benefits Survey, Health Center tab. </t>
        </r>
      </text>
    </comment>
    <comment ref="A46" authorId="0">
      <text>
        <r>
          <rPr>
            <sz val="8"/>
            <rFont val="Tahoma"/>
            <family val="2"/>
          </rPr>
          <t>Note:
* 2 for round-trips
* 1.5 for accompanying family members per patient-visitor</t>
        </r>
      </text>
    </comment>
    <comment ref="A47" authorId="0">
      <text>
        <r>
          <rPr>
            <sz val="8"/>
            <rFont val="Tahoma"/>
            <family val="2"/>
          </rPr>
          <t>Note:
* 2 for round-trips
* 1.5 for accompanying family members per patient-visitor</t>
        </r>
      </text>
    </comment>
    <comment ref="A48" authorId="0">
      <text>
        <r>
          <rPr>
            <sz val="8"/>
            <rFont val="Tahoma"/>
            <family val="2"/>
          </rPr>
          <t>Note:
AH 16, 17.  Factor of 70% for conservatism and to net out assumed portion of health care WTP that is motivated by non-pecuniary factors such as avoided pain and discomfort. 
See also Benguet General Hospital case below from NEDA manual for supporting evidence.</t>
        </r>
      </text>
    </comment>
  </commentList>
</comments>
</file>

<file path=xl/comments11.xml><?xml version="1.0" encoding="utf-8"?>
<comments xmlns="http://schemas.openxmlformats.org/spreadsheetml/2006/main">
  <authors>
    <author>edwardsan</author>
  </authors>
  <commentList>
    <comment ref="G8" authorId="0">
      <text>
        <r>
          <rPr>
            <sz val="8"/>
            <rFont val="Tahoma"/>
            <family val="2"/>
          </rPr>
          <t>Note:
Related to average student age (col. to the right) and labor force participation</t>
        </r>
      </text>
    </comment>
    <comment ref="H8" authorId="0">
      <text>
        <r>
          <rPr>
            <sz val="8"/>
            <rFont val="Tahoma"/>
            <family val="2"/>
          </rPr>
          <t>Note:
From structure of enrollment over time</t>
        </r>
      </text>
    </comment>
    <comment ref="J8" authorId="0">
      <text>
        <r>
          <rPr>
            <sz val="8"/>
            <rFont val="Tahoma"/>
            <family val="2"/>
          </rPr>
          <t>Note:
Average age for child beginning program in project year 1 
(as a simplification).</t>
        </r>
      </text>
    </comment>
    <comment ref="K8" authorId="0">
      <text>
        <r>
          <rPr>
            <sz val="8"/>
            <rFont val="Tahoma"/>
            <family val="2"/>
          </rPr>
          <t>Note:
That is, project year</t>
        </r>
      </text>
    </comment>
    <comment ref="A10" authorId="0">
      <text>
        <r>
          <rPr>
            <sz val="8"/>
            <rFont val="Tahoma"/>
            <family val="2"/>
          </rPr>
          <t>Note:
Two classrooms</t>
        </r>
      </text>
    </comment>
    <comment ref="A14" authorId="0">
      <text>
        <r>
          <rPr>
            <sz val="8"/>
            <rFont val="Tahoma"/>
            <family val="2"/>
          </rPr>
          <t>Note:
That is, average no. of households in KC barangays that implement school projects (AH 14).</t>
        </r>
      </text>
    </comment>
    <comment ref="D17" authorId="0">
      <text>
        <r>
          <rPr>
            <sz val="8"/>
            <rFont val="Tahoma"/>
            <family val="2"/>
          </rPr>
          <t>Note:
AH 14 assumes enrollment WP reaches national average.  This includes effect on dropout rate, which is expected to fall from 20% to 10% in going from WOP to WP scenarios (baseline dropout rates 10.3% for grade 1; 60.6% for grade 6).</t>
        </r>
      </text>
    </comment>
    <comment ref="A18" authorId="0">
      <text>
        <r>
          <rPr>
            <sz val="8"/>
            <rFont val="Tahoma"/>
            <family val="2"/>
          </rPr>
          <t>Note:
Return is Son (2007)'s return to primary education converted to per-year-of-schooling basis. 
Assume that these returns apply to preschool as well; 
http://go.worldbank.org/2A7YQDVXL0 suggests that this is conservative.  
Assume that since these returns are estimated from HH survey data, they already account for labor force participation rates and opportunity costs.</t>
        </r>
      </text>
    </comment>
    <comment ref="B18" authorId="0">
      <text>
        <r>
          <rPr>
            <sz val="8"/>
            <rFont val="Tahoma"/>
            <family val="2"/>
          </rPr>
          <t>Note:
That is, real labor household income per hour</t>
        </r>
      </text>
    </comment>
    <comment ref="A19" authorId="0">
      <text>
        <r>
          <rPr>
            <sz val="8"/>
            <rFont val="Tahoma"/>
            <family val="2"/>
          </rPr>
          <t>Note:
In applicable project years in table at right</t>
        </r>
      </text>
    </comment>
    <comment ref="A20" authorId="0">
      <text>
        <r>
          <rPr>
            <sz val="8"/>
            <rFont val="Tahoma"/>
            <family val="2"/>
          </rPr>
          <t>Note:
AH 14 for all</t>
        </r>
      </text>
    </comment>
    <comment ref="A21" authorId="0">
      <text>
        <r>
          <rPr>
            <sz val="8"/>
            <rFont val="Tahoma"/>
            <family val="2"/>
          </rPr>
          <t>Note:
2 teachers@ 10,000 PHP/mo (a/o 2006), 13 months salary</t>
        </r>
      </text>
    </comment>
    <comment ref="A22" authorId="0">
      <text>
        <r>
          <rPr>
            <sz val="8"/>
            <rFont val="Tahoma"/>
            <family val="2"/>
          </rPr>
          <t>Note:
10% of teachers' salary</t>
        </r>
      </text>
    </comment>
    <comment ref="C23" authorId="0">
      <text>
        <r>
          <rPr>
            <sz val="8"/>
            <rFont val="Tahoma"/>
            <family val="2"/>
          </rPr>
          <t>Note:
Minor repairs only</t>
        </r>
      </text>
    </comment>
    <comment ref="A24" authorId="0">
      <text>
        <r>
          <rPr>
            <sz val="8"/>
            <rFont val="Tahoma"/>
            <family val="2"/>
          </rPr>
          <t>Note:
PHP 1000 per month (AH 14) (a/o 2006); 12 months/y. 
Assume here that this amount holds for WOP; scale WP figure by # of students</t>
        </r>
      </text>
    </comment>
    <comment ref="D24" authorId="0">
      <text>
        <r>
          <rPr>
            <sz val="8"/>
            <rFont val="Tahoma"/>
            <family val="2"/>
          </rPr>
          <t>Note:
Same as WOP scenario, except water use is scaled up for larger # of students</t>
        </r>
      </text>
    </comment>
    <comment ref="H33" authorId="0">
      <text>
        <r>
          <rPr>
            <sz val="8"/>
            <rFont val="Tahoma"/>
            <family val="2"/>
          </rPr>
          <t>Note:
From structure of enrollment over time</t>
        </r>
      </text>
    </comment>
    <comment ref="A38" authorId="0">
      <text>
        <r>
          <rPr>
            <sz val="8"/>
            <rFont val="Tahoma"/>
            <family val="2"/>
          </rPr>
          <t>Note:
AH 14 (based on 2002 PSY)</t>
        </r>
      </text>
    </comment>
    <comment ref="A39" authorId="0">
      <text>
        <r>
          <rPr>
            <sz val="8"/>
            <rFont val="Tahoma"/>
            <family val="2"/>
          </rPr>
          <t>Note:
40h/wk; 46 wks/y (assume no paid holidays, for conservatism)</t>
        </r>
      </text>
    </comment>
    <comment ref="A40" authorId="0">
      <text>
        <r>
          <rPr>
            <sz val="8"/>
            <rFont val="Tahoma"/>
            <family val="2"/>
          </rPr>
          <t>Note:
WDI, Nov 09 (2007 data)</t>
        </r>
      </text>
    </comment>
    <comment ref="A41" authorId="0">
      <text>
        <r>
          <rPr>
            <sz val="8"/>
            <rFont val="Tahoma"/>
            <family val="2"/>
          </rPr>
          <t>Note:
Estimated from table "Shares of educational attainment" on wks "day care"</t>
        </r>
      </text>
    </comment>
    <comment ref="A42" authorId="0">
      <text>
        <r>
          <rPr>
            <sz val="8"/>
            <rFont val="Tahoma"/>
            <family val="2"/>
          </rPr>
          <t>Note:
See, for example, http://www.watsonwyatt.com/asia-pacific/localsites/philippines/news/retirement_maylene.asp</t>
        </r>
      </text>
    </comment>
    <comment ref="A44" authorId="0">
      <text>
        <r>
          <rPr>
            <sz val="8"/>
            <rFont val="Tahoma"/>
            <family val="2"/>
          </rPr>
          <t>Note:
Simple average of enrollment rates in KC regions (Source: PSY, p. 10-6, Table 10.2 on net participation rates in elementary schools (data for 2006-07)).
KC regions are IV-B, V, VI, VII, VIII, CAR</t>
        </r>
      </text>
    </comment>
    <comment ref="A45" authorId="0">
      <text>
        <r>
          <rPr>
            <sz val="8"/>
            <rFont val="Tahoma"/>
            <family val="2"/>
          </rPr>
          <t>Note:
Source: PSY, p. 10-6, Table 10.2 on net participation rates in elementary schools (data for 2006-07).</t>
        </r>
      </text>
    </comment>
    <comment ref="A46" authorId="0">
      <text>
        <r>
          <rPr>
            <sz val="8"/>
            <rFont val="Tahoma"/>
            <family val="2"/>
          </rPr>
          <t>Note:
AH 14 assumes improvement in enrollment from 85% WOP to the then-national-average rate of 96.4% WP (= a closing of gap btw the WOP figure and 100% by 76% (computed at right)).</t>
        </r>
      </text>
    </comment>
    <comment ref="A47" authorId="0">
      <text>
        <r>
          <rPr>
            <sz val="8"/>
            <rFont val="Tahoma"/>
            <family val="2"/>
          </rPr>
          <t xml:space="preserve">Note:
For conservatism, assume half of the progress toward full enrollment starting from the present WOP situation assumed by AH (p. 14). </t>
        </r>
      </text>
    </comment>
  </commentList>
</comments>
</file>

<file path=xl/comments12.xml><?xml version="1.0" encoding="utf-8"?>
<comments xmlns="http://schemas.openxmlformats.org/spreadsheetml/2006/main">
  <authors>
    <author>edwardsan</author>
  </authors>
  <commentList>
    <comment ref="G8" authorId="0">
      <text>
        <r>
          <rPr>
            <sz val="8"/>
            <rFont val="Tahoma"/>
            <family val="2"/>
          </rPr>
          <t>Note:
Related to average student age (col. to the right) and labor force participation</t>
        </r>
      </text>
    </comment>
    <comment ref="I8" authorId="0">
      <text>
        <r>
          <rPr>
            <sz val="8"/>
            <rFont val="Tahoma"/>
            <family val="2"/>
          </rPr>
          <t>Note:
Average age for child beginning program in project year 1 
(as a simplification).</t>
        </r>
      </text>
    </comment>
    <comment ref="J8" authorId="0">
      <text>
        <r>
          <rPr>
            <sz val="8"/>
            <rFont val="Tahoma"/>
            <family val="2"/>
          </rPr>
          <t>Note:
That is, project year</t>
        </r>
      </text>
    </comment>
    <comment ref="A10" authorId="0">
      <text>
        <r>
          <rPr>
            <sz val="8"/>
            <rFont val="Tahoma"/>
            <family val="2"/>
          </rPr>
          <t>Note:
Two classrooms</t>
        </r>
      </text>
    </comment>
    <comment ref="A14" authorId="0">
      <text>
        <r>
          <rPr>
            <sz val="8"/>
            <rFont val="Tahoma"/>
            <family val="2"/>
          </rPr>
          <t>Note:
AH, 19</t>
        </r>
      </text>
    </comment>
    <comment ref="A15" authorId="0">
      <text>
        <r>
          <rPr>
            <sz val="8"/>
            <rFont val="Tahoma"/>
            <family val="2"/>
          </rPr>
          <t>Note:
Due, say, to delayed drop-out date.  AH, 17 uses 0.33; use 0.2 for conservatism</t>
        </r>
      </text>
    </comment>
    <comment ref="A16" authorId="0">
      <text>
        <r>
          <rPr>
            <sz val="8"/>
            <rFont val="Tahoma"/>
            <family val="2"/>
          </rPr>
          <t>Note:
Assumtion of 2 is a conservative simplification - first affected cohort starts with 1 year preschool; subsequent cohorts receive 1 more year per year, up to 4 years</t>
        </r>
      </text>
    </comment>
    <comment ref="A17" authorId="0">
      <text>
        <r>
          <rPr>
            <sz val="8"/>
            <rFont val="Tahoma"/>
            <family val="2"/>
          </rPr>
          <t>Note:
Returns are from Son (2007), averaged over primary, secondary and tertiary education using table at right on shares of educational attainment levels (assume shares hold for 2009) and converted to per-year-of-schooling basis. 
Assume that these returns apply to preschool as well; 
http://go.worldbank.org/2A7YQDVXL0 suggests that this is conservative.  
Assume that since these returns are estimated from HH survey data, they already account for labor force participation rates and opportunity costs.</t>
        </r>
      </text>
    </comment>
    <comment ref="B17" authorId="0">
      <text>
        <r>
          <rPr>
            <sz val="8"/>
            <rFont val="Tahoma"/>
            <family val="2"/>
          </rPr>
          <t>Note:
That is, real labor household income per hour</t>
        </r>
      </text>
    </comment>
    <comment ref="A18" authorId="0">
      <text>
        <r>
          <rPr>
            <sz val="8"/>
            <rFont val="Tahoma"/>
            <family val="2"/>
          </rPr>
          <t>Note:
Return is Son (2007)'s return to primary education converted to per-year-of-schooling basis. 
Assume that these returns apply to preschool as well; 
http://go.worldbank.org/2A7YQDVXL0 suggests that this is conservative.  
Assume that since these returns are estimated from HH survey data, they already account for labor force participation rates and opportunity costs.</t>
        </r>
      </text>
    </comment>
    <comment ref="B18" authorId="0">
      <text>
        <r>
          <rPr>
            <sz val="8"/>
            <rFont val="Tahoma"/>
            <family val="2"/>
          </rPr>
          <t>Note:
That is, real labor household income per hour</t>
        </r>
      </text>
    </comment>
    <comment ref="A19" authorId="0">
      <text>
        <r>
          <rPr>
            <sz val="8"/>
            <rFont val="Tahoma"/>
            <family val="2"/>
          </rPr>
          <t>Note:
In applicable project years in table at right</t>
        </r>
      </text>
    </comment>
    <comment ref="A20" authorId="0">
      <text>
        <r>
          <rPr>
            <sz val="8"/>
            <rFont val="Tahoma"/>
            <family val="2"/>
          </rPr>
          <t>Note:
In applicable project years in table at right</t>
        </r>
      </text>
    </comment>
    <comment ref="A21" authorId="0">
      <text>
        <r>
          <rPr>
            <sz val="8"/>
            <rFont val="Tahoma"/>
            <family val="2"/>
          </rPr>
          <t>Note:
In applicable project years in table at right</t>
        </r>
      </text>
    </comment>
    <comment ref="A22" authorId="0">
      <text>
        <r>
          <rPr>
            <sz val="8"/>
            <rFont val="Tahoma"/>
            <family val="2"/>
          </rPr>
          <t>Note:
AH 18 for all</t>
        </r>
      </text>
    </comment>
    <comment ref="A23" authorId="0">
      <text>
        <r>
          <rPr>
            <sz val="8"/>
            <rFont val="Tahoma"/>
            <family val="2"/>
          </rPr>
          <t>Note:
1,800 PHP/mo (a/o 2006), 13 months salary</t>
        </r>
      </text>
    </comment>
    <comment ref="C23" authorId="0">
      <text>
        <r>
          <rPr>
            <sz val="8"/>
            <rFont val="Tahoma"/>
            <family val="2"/>
          </rPr>
          <t>Note:
Assume 1 teacher</t>
        </r>
      </text>
    </comment>
    <comment ref="D23" authorId="0">
      <text>
        <r>
          <rPr>
            <sz val="8"/>
            <rFont val="Tahoma"/>
            <family val="2"/>
          </rPr>
          <t>Note:
Assume 2.5 teachers</t>
        </r>
      </text>
    </comment>
    <comment ref="A24" authorId="0">
      <text>
        <r>
          <rPr>
            <sz val="8"/>
            <rFont val="Tahoma"/>
            <family val="2"/>
          </rPr>
          <t>Note:
250 PHP/child-y (a/o 2006)</t>
        </r>
      </text>
    </comment>
    <comment ref="C25" authorId="0">
      <text>
        <r>
          <rPr>
            <sz val="8"/>
            <rFont val="Tahoma"/>
            <family val="2"/>
          </rPr>
          <t>Note:
Minor repairs only</t>
        </r>
      </text>
    </comment>
    <comment ref="P25" authorId="0">
      <text>
        <r>
          <rPr>
            <sz val="8"/>
            <rFont val="Tahoma"/>
            <family val="2"/>
          </rPr>
          <t>Note:
PSY 2008, p. 10-18.  Shares data as of 2000.</t>
        </r>
      </text>
    </comment>
    <comment ref="A26" authorId="0">
      <text>
        <r>
          <rPr>
            <sz val="8"/>
            <rFont val="Tahoma"/>
            <family val="2"/>
          </rPr>
          <t>Note:
30 l water @ 1 PHP/l per operating day;
# operating days given below;
300 PHP/mo for electricity;
(all a/o 2006)</t>
        </r>
      </text>
    </comment>
    <comment ref="D26" authorId="0">
      <text>
        <r>
          <rPr>
            <sz val="8"/>
            <rFont val="Tahoma"/>
            <family val="2"/>
          </rPr>
          <t>Note:
Same as WOP scenario, except water use is scaled up for larger # of students</t>
        </r>
      </text>
    </comment>
    <comment ref="U26" authorId="0">
      <text>
        <r>
          <rPr>
            <sz val="8"/>
            <rFont val="Tahoma"/>
            <family val="2"/>
          </rPr>
          <t>Note:
From Son (2007), using 2003 data.  In PHP/h incremental wages per year of schooling at the indicated level (inflated to 2009 constant PHP/h).</t>
        </r>
      </text>
    </comment>
    <comment ref="T28" authorId="0">
      <text>
        <r>
          <rPr>
            <sz val="8"/>
            <rFont val="Tahoma"/>
            <family val="2"/>
          </rPr>
          <t>Note:
Elementary only, for compatibility with Son's data.</t>
        </r>
      </text>
    </comment>
    <comment ref="A39" authorId="0">
      <text>
        <r>
          <rPr>
            <sz val="8"/>
            <rFont val="Tahoma"/>
            <family val="2"/>
          </rPr>
          <t>Note:
40h/wk; 46 wks/y (assume no paid holidays, for conservatism)</t>
        </r>
      </text>
    </comment>
    <comment ref="A40" authorId="0">
      <text>
        <r>
          <rPr>
            <sz val="8"/>
            <rFont val="Tahoma"/>
            <family val="2"/>
          </rPr>
          <t>Note:
WDI, Nov 09 (2007 data)</t>
        </r>
      </text>
    </comment>
    <comment ref="A41" authorId="0">
      <text>
        <r>
          <rPr>
            <sz val="8"/>
            <rFont val="Tahoma"/>
            <family val="2"/>
          </rPr>
          <t>Note:
AH, 17. 22 days/mo; 12 mo/y</t>
        </r>
      </text>
    </comment>
    <comment ref="A42" authorId="0">
      <text>
        <r>
          <rPr>
            <sz val="8"/>
            <rFont val="Tahoma"/>
            <family val="2"/>
          </rPr>
          <t>Note:
Assumption</t>
        </r>
      </text>
    </comment>
    <comment ref="A43" authorId="0">
      <text>
        <r>
          <rPr>
            <sz val="8"/>
            <rFont val="Tahoma"/>
            <family val="2"/>
          </rPr>
          <t>Note:
AH, 17-18.  AH also indicates that this time was generally used productively</t>
        </r>
      </text>
    </comment>
    <comment ref="A44" authorId="0">
      <text>
        <r>
          <rPr>
            <sz val="8"/>
            <rFont val="Tahoma"/>
            <family val="2"/>
          </rPr>
          <t>Note:
AH, 18</t>
        </r>
      </text>
    </comment>
    <comment ref="A45" authorId="0">
      <text>
        <r>
          <rPr>
            <sz val="8"/>
            <rFont val="Tahoma"/>
            <family val="2"/>
          </rPr>
          <t>Note:
AH 18, inflated to 2009 constant PHP.  Valued at unskilled wage incorporating economic conversion factor to account for underemployment</t>
        </r>
      </text>
    </comment>
    <comment ref="A46" authorId="0">
      <text>
        <r>
          <rPr>
            <sz val="8"/>
            <rFont val="Tahoma"/>
            <family val="2"/>
          </rPr>
          <t>Note:
Estimated from table "Shares of educational attainment" at right</t>
        </r>
      </text>
    </comment>
    <comment ref="A47" authorId="0">
      <text>
        <r>
          <rPr>
            <sz val="8"/>
            <rFont val="Tahoma"/>
            <family val="2"/>
          </rPr>
          <t>Note:
See, for example, http://www.watsonwyatt.com/asia-pacific/localsites/philippines/news/retirement_maylene.asp</t>
        </r>
      </text>
    </comment>
    <comment ref="I76" authorId="0">
      <text>
        <r>
          <rPr>
            <sz val="8"/>
            <rFont val="Tahoma"/>
            <family val="2"/>
          </rPr>
          <t>Note:
First cohort retires this year.</t>
        </r>
      </text>
    </comment>
  </commentList>
</comments>
</file>

<file path=xl/comments13.xml><?xml version="1.0" encoding="utf-8"?>
<comments xmlns="http://schemas.openxmlformats.org/spreadsheetml/2006/main">
  <authors>
    <author>edwardsan</author>
  </authors>
  <commentList>
    <comment ref="A9" authorId="0">
      <text>
        <r>
          <rPr>
            <sz val="8"/>
            <rFont val="Tahoma"/>
            <family val="2"/>
          </rPr>
          <t>Note:
Inflates original cost and benefit streams to constant 2009 PHP based on PHL GDP deflator on wks Aassumptions &amp; Data</t>
        </r>
      </text>
    </comment>
    <comment ref="A18" authorId="0">
      <text>
        <r>
          <rPr>
            <sz val="8"/>
            <rFont val="Tahoma"/>
            <family val="2"/>
          </rPr>
          <t>Note:
Here, "total project cost" excludes MCC admin annd controls costs</t>
        </r>
      </text>
    </comment>
    <comment ref="B19" authorId="0">
      <text>
        <r>
          <rPr>
            <sz val="8"/>
            <rFont val="Tahoma"/>
            <family val="2"/>
          </rPr>
          <t>Note:
Economic cost of construction (incl. supervision)</t>
        </r>
      </text>
    </comment>
    <comment ref="L21" authorId="0">
      <text>
        <r>
          <rPr>
            <sz val="8"/>
            <rFont val="Tahoma"/>
            <family val="2"/>
          </rPr>
          <t>Note:
Cost from AH, 3, inflated and scaled down by average # of social preparation processes per realized SP</t>
        </r>
      </text>
    </comment>
    <comment ref="L22" authorId="0">
      <text>
        <r>
          <rPr>
            <sz val="8"/>
            <rFont val="Tahoma"/>
            <family val="2"/>
          </rPr>
          <t>Note:
Cost from AH, 3, inflated.  Assumed necessary for each SP realization</t>
        </r>
      </text>
    </comment>
    <comment ref="L23" authorId="0">
      <text>
        <r>
          <rPr>
            <sz val="8"/>
            <rFont val="Tahoma"/>
            <family val="2"/>
          </rPr>
          <t>Note:
Cost from AH, 3, inflated.  Assumed necessary for each SP realization</t>
        </r>
      </text>
    </comment>
    <comment ref="I25" authorId="0">
      <text>
        <r>
          <rPr>
            <sz val="8"/>
            <rFont val="Tahoma"/>
            <family val="2"/>
          </rPr>
          <t>Note: 
That is, percentage of MCC project costs</t>
        </r>
      </text>
    </comment>
    <comment ref="A26" authorId="0">
      <text>
        <r>
          <rPr>
            <sz val="8"/>
            <rFont val="Tahoma"/>
            <family val="2"/>
          </rPr>
          <t>Note:
Assume amount for "new" munis for budgeting purposes
does not count LCC funds for kc-1 and new muniipalities.</t>
        </r>
      </text>
    </comment>
    <comment ref="I26" authorId="0">
      <text>
        <r>
          <rPr>
            <sz val="8"/>
            <rFont val="Tahoma"/>
            <family val="2"/>
          </rPr>
          <t>Note:
Figure in 2010 budget is PHP465,000 - inflate from this year</t>
        </r>
      </text>
    </comment>
    <comment ref="J26" authorId="0">
      <text>
        <r>
          <rPr>
            <sz val="8"/>
            <rFont val="Tahoma"/>
            <family val="2"/>
          </rPr>
          <t>Note:
Not used in computations; model relies on AH (2007) and Araral (2009) costs</t>
        </r>
      </text>
    </comment>
    <comment ref="J27" authorId="0">
      <text>
        <r>
          <rPr>
            <sz val="8"/>
            <rFont val="Tahoma"/>
            <family val="2"/>
          </rPr>
          <t>Note:
Not used in computations; model relies on AH (2007) and Araral (2009) costs</t>
        </r>
      </text>
    </comment>
    <comment ref="J28" authorId="0">
      <text>
        <r>
          <rPr>
            <sz val="8"/>
            <rFont val="Tahoma"/>
            <family val="2"/>
          </rPr>
          <t>Note:
Not used in computations; model relies on AH (2007) and Araral (2009) costs</t>
        </r>
      </text>
    </comment>
    <comment ref="J29" authorId="0">
      <text>
        <r>
          <rPr>
            <sz val="8"/>
            <rFont val="Tahoma"/>
            <family val="2"/>
          </rPr>
          <t>Note:
Not used in computations; model relies on AH (2007) and Araral (2009) costs</t>
        </r>
      </text>
    </comment>
    <comment ref="J34" authorId="0">
      <text>
        <r>
          <rPr>
            <sz val="8"/>
            <rFont val="Tahoma"/>
            <family val="2"/>
          </rPr>
          <t>Note:
Because of multiple SPs/brgy, will be larger than above percentage</t>
        </r>
      </text>
    </comment>
    <comment ref="J35" authorId="0">
      <text>
        <r>
          <rPr>
            <sz val="8"/>
            <rFont val="Tahoma"/>
            <family val="2"/>
          </rPr>
          <t>Note:
Actual # is endogenous - will need to verify</t>
        </r>
      </text>
    </comment>
    <comment ref="J36" authorId="0">
      <text>
        <r>
          <rPr>
            <sz val="8"/>
            <rFont val="Tahoma"/>
            <family val="2"/>
          </rPr>
          <t>Note:
Use this to scale down per-SP costs of social preparation / capacity building</t>
        </r>
      </text>
    </comment>
    <comment ref="A38" authorId="0">
      <text>
        <r>
          <rPr>
            <sz val="8"/>
            <rFont val="Tahoma"/>
            <family val="2"/>
          </rPr>
          <t>Note:
AH, 14</t>
        </r>
      </text>
    </comment>
    <comment ref="A39" authorId="0">
      <text>
        <r>
          <rPr>
            <sz val="8"/>
            <rFont val="Tahoma"/>
            <family val="2"/>
          </rPr>
          <t>Note:
Standard conversion factor for unskilled labor = 0.6
AH 5, 18</t>
        </r>
      </text>
    </comment>
    <comment ref="B43" authorId="0">
      <text>
        <r>
          <rPr>
            <sz val="8"/>
            <rFont val="Tahoma"/>
            <family val="2"/>
          </rPr>
          <t>Note:
Training and Technical Support, Facilitation/Salaries, Social Accountability</t>
        </r>
      </text>
    </comment>
    <comment ref="B44" authorId="0">
      <text>
        <r>
          <rPr>
            <sz val="8"/>
            <rFont val="Tahoma"/>
            <family val="2"/>
          </rPr>
          <t>Note:
Barangay grants, planning grants</t>
        </r>
      </text>
    </comment>
    <comment ref="B45" authorId="0">
      <text>
        <r>
          <rPr>
            <sz val="8"/>
            <rFont val="Tahoma"/>
            <family val="2"/>
          </rPr>
          <t>Note:
Project management</t>
        </r>
      </text>
    </comment>
    <comment ref="B47" authorId="0">
      <text>
        <r>
          <rPr>
            <sz val="8"/>
            <rFont val="Tahoma"/>
            <family val="2"/>
          </rPr>
          <t>Note:
Training and Technical Support, Facilitation/Salaries, Social Accountability</t>
        </r>
      </text>
    </comment>
    <comment ref="B48" authorId="0">
      <text>
        <r>
          <rPr>
            <sz val="8"/>
            <rFont val="Tahoma"/>
            <family val="2"/>
          </rPr>
          <t>Note:
Barangay grants, planning grants</t>
        </r>
      </text>
    </comment>
    <comment ref="B49" authorId="0">
      <text>
        <r>
          <rPr>
            <sz val="8"/>
            <rFont val="Tahoma"/>
            <family val="2"/>
          </rPr>
          <t>Note:
Project management</t>
        </r>
      </text>
    </comment>
    <comment ref="Q55" authorId="0">
      <text>
        <r>
          <rPr>
            <sz val="8"/>
            <rFont val="Tahoma"/>
            <family val="2"/>
          </rPr>
          <t xml:space="preserve">Note:
Compact Implementation Funds (CIF)
</t>
        </r>
      </text>
    </comment>
    <comment ref="R55" authorId="0">
      <text>
        <r>
          <rPr>
            <sz val="8"/>
            <rFont val="Tahoma"/>
            <family val="2"/>
          </rPr>
          <t>Note:
EIF = 2011 Q2</t>
        </r>
      </text>
    </comment>
    <comment ref="A56" authorId="0">
      <text>
        <r>
          <rPr>
            <sz val="8"/>
            <rFont val="Tahoma"/>
            <family val="2"/>
          </rPr>
          <t>Note:
WDI Nov 09</t>
        </r>
      </text>
    </comment>
    <comment ref="P56" authorId="0">
      <text>
        <r>
          <rPr>
            <sz val="8"/>
            <rFont val="Tahoma"/>
            <family val="2"/>
          </rPr>
          <t>Note:
Reference http://www.xe.com, 
14 Nov 09</t>
        </r>
      </text>
    </comment>
    <comment ref="A57" authorId="0">
      <text>
        <r>
          <rPr>
            <sz val="8"/>
            <rFont val="Tahoma"/>
            <family val="2"/>
          </rPr>
          <t>Note:
In constant PHP GDP
WDI, Nov 09
Forecasts 2009 - 14 IMF Art IV (Feb 2009, 27) &amp; WEO (Oct 09); 2015 - set at 2014 fcst growth</t>
        </r>
      </text>
    </comment>
    <comment ref="P57" authorId="0">
      <text>
        <r>
          <rPr>
            <sz val="8"/>
            <rFont val="Tahoma"/>
            <family val="2"/>
          </rPr>
          <t>Note:
Reference "Business World Deficit warning raised by IMF."</t>
        </r>
      </text>
    </comment>
    <comment ref="Q57" authorId="0">
      <text>
        <r>
          <rPr>
            <sz val="8"/>
            <rFont val="Tahoma"/>
            <family val="2"/>
          </rPr>
          <t>Note:
Reference document "Business World Deficit warning raised by IMF."</t>
        </r>
      </text>
    </comment>
    <comment ref="A58" authorId="0">
      <text>
        <r>
          <rPr>
            <sz val="8"/>
            <rFont val="Tahoma"/>
            <family val="2"/>
          </rPr>
          <t>Note:
WDI Nov 09</t>
        </r>
      </text>
    </comment>
    <comment ref="A59" authorId="0">
      <text>
        <r>
          <rPr>
            <sz val="8"/>
            <rFont val="Tahoma"/>
            <family val="2"/>
          </rPr>
          <t>Note:
Through 2008:WDI Nov 09
2009-13 IMF WEO (using CPI growth rate as proxy for GDP deflator growth rate)</t>
        </r>
      </text>
    </comment>
    <comment ref="U59" authorId="0">
      <text>
        <r>
          <rPr>
            <sz val="8"/>
            <rFont val="Tahoma"/>
            <family val="2"/>
          </rPr>
          <t xml:space="preserve">Note:
Const inflation assumed from 2014 onward. </t>
        </r>
      </text>
    </comment>
    <comment ref="A60" authorId="0">
      <text>
        <r>
          <rPr>
            <sz val="8"/>
            <rFont val="Tahoma"/>
            <family val="2"/>
          </rPr>
          <t>Note:
WDI Nov 09</t>
        </r>
      </text>
    </comment>
    <comment ref="H61" authorId="0">
      <text>
        <r>
          <rPr>
            <sz val="8"/>
            <rFont val="Tahoma"/>
            <family val="2"/>
          </rPr>
          <t>Note:
Using official exchange rate</t>
        </r>
      </text>
    </comment>
    <comment ref="N61" authorId="0">
      <text>
        <r>
          <rPr>
            <sz val="8"/>
            <rFont val="Tahoma"/>
            <family val="2"/>
          </rPr>
          <t>Note:
Cf. PHL at a Glance GNI for 2007 of $142.6 bn</t>
        </r>
      </text>
    </comment>
    <comment ref="A62" authorId="0">
      <text>
        <r>
          <rPr>
            <sz val="8"/>
            <rFont val="Tahoma"/>
            <family val="2"/>
          </rPr>
          <t>Note:
WDI Nov 09 for USA
Forecasts 2009-14 from IMF WEO Oct 2009, 177.</t>
        </r>
      </text>
    </comment>
    <comment ref="U62" authorId="0">
      <text>
        <r>
          <rPr>
            <sz val="8"/>
            <rFont val="Tahoma"/>
            <family val="2"/>
          </rPr>
          <t xml:space="preserve">Note:
Const inflation assumed from 2014 onward. </t>
        </r>
      </text>
    </comment>
    <comment ref="A65" authorId="0">
      <text>
        <r>
          <rPr>
            <sz val="8"/>
            <rFont val="Tahoma"/>
            <family val="2"/>
          </rPr>
          <t>Note:
MCC FY2010 country scorecard for Philippines; WDI makes clear it is 2008</t>
        </r>
      </text>
    </comment>
    <comment ref="A66" authorId="0">
      <text>
        <r>
          <rPr>
            <sz val="8"/>
            <rFont val="Tahoma"/>
            <family val="2"/>
          </rPr>
          <t>Note:
WDI, Nov 09</t>
        </r>
      </text>
    </comment>
    <comment ref="O67" authorId="0">
      <text>
        <r>
          <rPr>
            <sz val="8"/>
            <rFont val="Tahoma"/>
            <family val="2"/>
          </rPr>
          <t>Note:
Computed in Fiscal ERR computation from WDI, Nov 09 data</t>
        </r>
      </text>
    </comment>
    <comment ref="A68" authorId="0">
      <text>
        <r>
          <rPr>
            <sz val="8"/>
            <rFont val="Tahoma"/>
            <family val="2"/>
          </rPr>
          <t>Note:
WDI, Nov 09</t>
        </r>
      </text>
    </comment>
    <comment ref="B71" authorId="0">
      <text>
        <r>
          <rPr>
            <sz val="8"/>
            <rFont val="Tahoma"/>
            <family val="2"/>
          </rPr>
          <t>Note:
IMF.Art IV.Feb 09.pdf, p. 27 (Tab. 5).</t>
        </r>
      </text>
    </comment>
    <comment ref="U71" authorId="0">
      <text>
        <r>
          <rPr>
            <sz val="8"/>
            <rFont val="Tahoma"/>
            <family val="2"/>
          </rPr>
          <t>Note:
Assume that growth rate of preceding 4 y is sustained through 2030.</t>
        </r>
      </text>
    </comment>
    <comment ref="B74" authorId="0">
      <text>
        <r>
          <rPr>
            <sz val="8"/>
            <rFont val="Tahoma"/>
            <family val="2"/>
          </rPr>
          <t>Note:
WDI Nov 09</t>
        </r>
      </text>
    </comment>
    <comment ref="P74" authorId="0">
      <text>
        <r>
          <rPr>
            <sz val="8"/>
            <rFont val="Tahoma"/>
            <family val="2"/>
          </rPr>
          <t>Note:
Assume figure for 2009  and onward is average of 1998-2008</t>
        </r>
      </text>
    </comment>
    <comment ref="B77" authorId="0">
      <text>
        <r>
          <rPr>
            <sz val="8"/>
            <rFont val="Tahoma"/>
            <family val="2"/>
          </rPr>
          <t>Note:
WDI Nov 09</t>
        </r>
      </text>
    </comment>
    <comment ref="B78" authorId="0">
      <text>
        <r>
          <rPr>
            <sz val="8"/>
            <rFont val="Tahoma"/>
            <family val="2"/>
          </rPr>
          <t>Note:
WDI Nov 09</t>
        </r>
      </text>
    </comment>
    <comment ref="P78" authorId="0">
      <text>
        <r>
          <rPr>
            <sz val="8"/>
            <rFont val="Tahoma"/>
            <family val="2"/>
          </rPr>
          <t>Note:
Extrapolated using PPP exchange rate from 2009 onward</t>
        </r>
      </text>
    </comment>
    <comment ref="C79" authorId="0">
      <text>
        <r>
          <rPr>
            <sz val="8"/>
            <rFont val="Tahoma"/>
            <family val="2"/>
          </rPr>
          <t>Note:
Used to extrapolate GDPcp beyond 2008</t>
        </r>
      </text>
    </comment>
    <comment ref="B80" authorId="0">
      <text>
        <r>
          <rPr>
            <sz val="8"/>
            <rFont val="Tahoma"/>
            <family val="2"/>
          </rPr>
          <t>Note:
WDI Nov 09, PPP conversion factor, GDP (LCU per international $) for 2005 const PHP</t>
        </r>
      </text>
    </comment>
    <comment ref="P80" authorId="0">
      <text>
        <r>
          <rPr>
            <sz val="8"/>
            <rFont val="Tahoma"/>
            <family val="2"/>
          </rPr>
          <t>Note:
Remains constant until PPP base year redefined</t>
        </r>
      </text>
    </comment>
    <comment ref="B81" authorId="0">
      <text>
        <r>
          <rPr>
            <sz val="8"/>
            <rFont val="Tahoma"/>
            <family val="2"/>
          </rPr>
          <t>Note:
WDI Nov 09</t>
        </r>
      </text>
    </comment>
    <comment ref="B83" authorId="0">
      <text>
        <r>
          <rPr>
            <sz val="8"/>
            <rFont val="Tahoma"/>
            <family val="2"/>
          </rPr>
          <t>Note:
Convert ERR benefits with this series</t>
        </r>
      </text>
    </comment>
    <comment ref="A93" authorId="0">
      <text>
        <r>
          <rPr>
            <sz val="8"/>
            <rFont val="Tahoma"/>
            <family val="2"/>
          </rPr>
          <t>Note:
Where project lives exceed MCC's standard benefits horizon of 20y, a salvage value is assumed</t>
        </r>
      </text>
    </comment>
  </commentList>
</comments>
</file>

<file path=xl/comments14.xml><?xml version="1.0" encoding="utf-8"?>
<comments xmlns="http://schemas.openxmlformats.org/spreadsheetml/2006/main">
  <authors>
    <author>edwardsan</author>
  </authors>
  <commentList>
    <comment ref="D11" authorId="0">
      <text>
        <r>
          <rPr>
            <sz val="8"/>
            <rFont val="Tahoma"/>
            <family val="2"/>
          </rPr>
          <t>Note:
Average length of road SPs (AH 10)</t>
        </r>
      </text>
    </comment>
    <comment ref="D12" authorId="0">
      <text>
        <r>
          <rPr>
            <sz val="8"/>
            <rFont val="Tahoma"/>
            <family val="2"/>
          </rPr>
          <t>Note:
Average length of road SPs (AH 10)</t>
        </r>
      </text>
    </comment>
    <comment ref="C13" authorId="0">
      <text>
        <r>
          <rPr>
            <sz val="8"/>
            <rFont val="Tahoma"/>
            <family val="2"/>
          </rPr>
          <t>Note:
Use data on AH 9 since they differentiate two kinds of water systems</t>
        </r>
      </text>
    </comment>
    <comment ref="F13" authorId="0">
      <text>
        <r>
          <rPr>
            <sz val="8"/>
            <rFont val="Tahoma"/>
            <family val="2"/>
          </rPr>
          <t>Note:
242 HH in barangay, of which 50% assumed to benefit (AH 55)</t>
        </r>
      </text>
    </comment>
    <comment ref="C14" authorId="0">
      <text>
        <r>
          <rPr>
            <sz val="8"/>
            <rFont val="Tahoma"/>
            <family val="2"/>
          </rPr>
          <t>Note:
Use data on AH 9 since they differentiate two kinds of water systems</t>
        </r>
      </text>
    </comment>
    <comment ref="F14" authorId="0">
      <text>
        <r>
          <rPr>
            <sz val="8"/>
            <rFont val="Tahoma"/>
            <family val="2"/>
          </rPr>
          <t>Note:
242 HH in barangay, of which 50% assumed to benefit (AH 55)</t>
        </r>
      </text>
    </comment>
    <comment ref="E17" authorId="0">
      <text>
        <r>
          <rPr>
            <sz val="8"/>
            <rFont val="Tahoma"/>
            <family val="2"/>
          </rPr>
          <t>Note:
AH, 19 has total economic cost of construction of PHP 334,710, inflated to 114% of this value is 380,880</t>
        </r>
      </text>
    </comment>
    <comment ref="A45" authorId="0">
      <text>
        <r>
          <rPr>
            <sz val="8"/>
            <rFont val="Tahoma"/>
            <family val="2"/>
          </rPr>
          <t>Note:
This is appropriate since it will be a transfer in ERR terms</t>
        </r>
      </text>
    </comment>
    <comment ref="A50" authorId="0">
      <text>
        <r>
          <rPr>
            <sz val="8"/>
            <rFont val="Tahoma"/>
            <family val="2"/>
          </rPr>
          <t>Note:
Inflates original cost and benefit streams to constant 2009 PHP based on PHL GDP deflator on wks Assumptions &amp; Data</t>
        </r>
      </text>
    </comment>
  </commentList>
</comments>
</file>

<file path=xl/comments15.xml><?xml version="1.0" encoding="utf-8"?>
<comments xmlns="http://schemas.openxmlformats.org/spreadsheetml/2006/main">
  <authors>
    <author>edwardsan</author>
  </authors>
  <commentList>
    <comment ref="A18" authorId="0">
      <text>
        <r>
          <rPr>
            <sz val="8"/>
            <rFont val="Tahoma"/>
            <family val="2"/>
          </rPr>
          <t>Note:
Need to manually adjust salvage value table at right to reflect project life</t>
        </r>
      </text>
    </comment>
    <comment ref="K21" authorId="0">
      <text>
        <r>
          <rPr>
            <sz val="8"/>
            <rFont val="Tahoma"/>
            <family val="2"/>
          </rPr>
          <t>Note:
See data table at left.</t>
        </r>
      </text>
    </comment>
    <comment ref="M24" authorId="0">
      <text>
        <r>
          <rPr>
            <sz val="8"/>
            <rFont val="Tahoma"/>
            <family val="2"/>
          </rPr>
          <t>Note:
Present worth factor</t>
        </r>
      </text>
    </comment>
    <comment ref="P24" authorId="0">
      <text>
        <r>
          <rPr>
            <sz val="8"/>
            <rFont val="Tahoma"/>
            <family val="2"/>
          </rPr>
          <t>Note:
Present worth factor</t>
        </r>
      </text>
    </comment>
    <comment ref="A39" authorId="0">
      <text>
        <r>
          <rPr>
            <sz val="8"/>
            <rFont val="Tahoma"/>
            <family val="2"/>
          </rPr>
          <t>Note:
Need to manually adjust salvage value table at right to reflect project life</t>
        </r>
      </text>
    </comment>
    <comment ref="A47" authorId="0">
      <text>
        <r>
          <rPr>
            <sz val="8"/>
            <rFont val="Tahoma"/>
            <family val="2"/>
          </rPr>
          <t>Note:
Inflates original cost and benefit streams to constant 2009 PHP from 2002 current PHP based on PHL GDP deflator</t>
        </r>
      </text>
    </comment>
  </commentList>
</comments>
</file>

<file path=xl/comments5.xml><?xml version="1.0" encoding="utf-8"?>
<comments xmlns="http://schemas.openxmlformats.org/spreadsheetml/2006/main">
  <authors>
    <author>edwardsan</author>
  </authors>
  <commentList>
    <comment ref="J14" authorId="0">
      <text>
        <r>
          <rPr>
            <sz val="8"/>
            <rFont val="Tahoma"/>
            <family val="2"/>
          </rPr>
          <t xml:space="preserve">Note:
By SP type.
Assumed constant for each investment year of 2011, 2012, 2013. </t>
        </r>
      </text>
    </comment>
    <comment ref="C15" authorId="0">
      <text>
        <r>
          <rPr>
            <sz val="8"/>
            <rFont val="Tahoma"/>
            <family val="2"/>
          </rPr>
          <t>Note:
Includes MCC admin &amp; controls costs; see "Assumptions" below</t>
        </r>
      </text>
    </comment>
    <comment ref="D15" authorId="0">
      <text>
        <r>
          <rPr>
            <sz val="8"/>
            <rFont val="Tahoma"/>
            <family val="2"/>
          </rPr>
          <t>Note:
Excludes MCC admin &amp; controls costs; see "Assumptions" below</t>
        </r>
      </text>
    </comment>
    <comment ref="AL15" authorId="0">
      <text>
        <r>
          <rPr>
            <sz val="8"/>
            <rFont val="Tahoma"/>
            <family val="2"/>
          </rPr>
          <t>Note:
"Component 2" of project activity budget</t>
        </r>
      </text>
    </comment>
    <comment ref="AQ15" authorId="0">
      <text>
        <r>
          <rPr>
            <sz val="8"/>
            <rFont val="Tahoma"/>
            <family val="2"/>
          </rPr>
          <t>Note:
Includes MCC admin &amp; controls costs; see "Assumptions" below</t>
        </r>
      </text>
    </comment>
    <comment ref="E16" authorId="0">
      <text>
        <r>
          <rPr>
            <sz val="8"/>
            <rFont val="Tahoma"/>
            <family val="2"/>
          </rPr>
          <t>Note:
Excludes MCC admin &amp; controls costs; see "Assumptions" below</t>
        </r>
      </text>
    </comment>
    <comment ref="AO16" authorId="0">
      <text>
        <r>
          <rPr>
            <sz val="8"/>
            <rFont val="Tahoma"/>
            <family val="2"/>
          </rPr>
          <t>Note:
Excludes MCC admin &amp; controls costs; see "Assumptions" below</t>
        </r>
      </text>
    </comment>
    <comment ref="AP16" authorId="0">
      <text>
        <r>
          <rPr>
            <sz val="8"/>
            <rFont val="Tahoma"/>
            <family val="2"/>
          </rPr>
          <t>Note:
Includes MCC admin &amp; controls costs; see "Assumptions" below</t>
        </r>
      </text>
    </comment>
    <comment ref="AZ16" authorId="0">
      <text>
        <r>
          <rPr>
            <sz val="8"/>
            <rFont val="Tahoma"/>
            <family val="2"/>
          </rPr>
          <t>Note:
Excludes MCC admin &amp; controls costs; see "Assumptions" below</t>
        </r>
      </text>
    </comment>
    <comment ref="BA16" authorId="0">
      <text>
        <r>
          <rPr>
            <sz val="8"/>
            <rFont val="Tahoma"/>
            <family val="2"/>
          </rPr>
          <t>Note:
Includes MCC admin &amp; controls costs; see "Assumptions" below</t>
        </r>
      </text>
    </comment>
    <comment ref="B18" authorId="0">
      <text>
        <r>
          <rPr>
            <sz val="8"/>
            <rFont val="Tahoma"/>
            <family val="2"/>
          </rPr>
          <t>Note:
Planning and preparation only</t>
        </r>
      </text>
    </comment>
    <comment ref="B19" authorId="0">
      <text>
        <r>
          <rPr>
            <sz val="8"/>
            <rFont val="Tahoma"/>
            <family val="2"/>
          </rPr>
          <t>Note:
SPs implemented</t>
        </r>
      </text>
    </comment>
    <comment ref="B20" authorId="0">
      <text>
        <r>
          <rPr>
            <sz val="8"/>
            <rFont val="Tahoma"/>
            <family val="2"/>
          </rPr>
          <t>Note:
SPs implemented</t>
        </r>
      </text>
    </comment>
    <comment ref="B21" authorId="0">
      <text>
        <r>
          <rPr>
            <sz val="8"/>
            <rFont val="Tahoma"/>
            <family val="2"/>
          </rPr>
          <t>Note:
SPs implemented</t>
        </r>
      </text>
    </comment>
    <comment ref="B22" authorId="0">
      <text>
        <r>
          <rPr>
            <sz val="8"/>
            <rFont val="Tahoma"/>
            <family val="2"/>
          </rPr>
          <t>Note:
No new SPs --&gt; no benefits</t>
        </r>
      </text>
    </comment>
    <comment ref="B23" authorId="0">
      <text>
        <r>
          <rPr>
            <sz val="8"/>
            <rFont val="Tahoma"/>
            <family val="2"/>
          </rPr>
          <t>Note:
No new SPs --&gt; no benefits</t>
        </r>
      </text>
    </comment>
    <comment ref="BA45" authorId="0">
      <text>
        <r>
          <rPr>
            <sz val="8"/>
            <rFont val="Tahoma"/>
            <family val="2"/>
          </rPr>
          <t>Note:
See conventions underlying the "Poverty Scorecard" in MCC's Beneficiary Analysis Guidance</t>
        </r>
      </text>
    </comment>
    <comment ref="A47" authorId="0">
      <text>
        <r>
          <rPr>
            <sz val="8"/>
            <rFont val="Tahoma"/>
            <family val="2"/>
          </rPr>
          <t>Note:
Where Project Year 1 is defined as the year in which the investment is made in the project.</t>
        </r>
      </text>
    </comment>
    <comment ref="K47" authorId="0">
      <text>
        <r>
          <rPr>
            <sz val="8"/>
            <rFont val="Tahoma"/>
            <family val="2"/>
          </rPr>
          <t>Note:
Where Project Year 1 is defined as the year in which the investment is made in the project.</t>
        </r>
      </text>
    </comment>
    <comment ref="A68" authorId="0">
      <text>
        <r>
          <rPr>
            <sz val="8"/>
            <rFont val="Tahoma"/>
            <family val="2"/>
          </rPr>
          <t>Note:
Excluding MCC admin &amp; controls costs</t>
        </r>
      </text>
    </comment>
    <comment ref="A70" authorId="0">
      <text>
        <r>
          <rPr>
            <sz val="8"/>
            <rFont val="Tahoma"/>
            <family val="2"/>
          </rPr>
          <t>Note:
(Discounts PY20 benefits for projects begun in 2012, and PY19 &amp; PY20 benefits for projects begun in 2013 back to Compact Year 20 using project-level ERRs above)</t>
        </r>
      </text>
    </comment>
    <comment ref="A72" authorId="0">
      <text>
        <r>
          <rPr>
            <sz val="8"/>
            <rFont val="Tahoma"/>
            <family val="2"/>
          </rPr>
          <t>Note:
That is, investments begun in 2012 and 2013.</t>
        </r>
      </text>
    </comment>
    <comment ref="A80" authorId="0">
      <text>
        <r>
          <rPr>
            <sz val="8"/>
            <rFont val="Tahoma"/>
            <family val="2"/>
          </rPr>
          <t>Note:
Inflates original cost and benefit streams to constant 2009 PHP based on PHL GDP deflator on wks Assumptions &amp; Data</t>
        </r>
      </text>
    </comment>
    <comment ref="A91" authorId="0">
      <text>
        <r>
          <rPr>
            <sz val="8"/>
            <rFont val="Tahoma"/>
            <family val="2"/>
          </rPr>
          <t>Note:
This permits proper allocation of the MCC admin &amp; controls cost</t>
        </r>
      </text>
    </comment>
    <comment ref="K45" authorId="0">
      <text>
        <r>
          <rPr>
            <sz val="8"/>
            <rFont val="Tahoma"/>
            <family val="2"/>
          </rPr>
          <t>Note:
For BA</t>
        </r>
      </text>
    </comment>
    <comment ref="F16" authorId="0">
      <text>
        <r>
          <rPr>
            <sz val="8"/>
            <rFont val="Tahoma"/>
            <family val="2"/>
          </rPr>
          <t xml:space="preserve">Note:
Department of Social Welfare and Development </t>
        </r>
      </text>
    </comment>
    <comment ref="G16" authorId="0">
      <text>
        <r>
          <rPr>
            <sz val="8"/>
            <rFont val="Tahoma"/>
            <family val="2"/>
          </rPr>
          <t>Note:
Local Government Units</t>
        </r>
      </text>
    </comment>
    <comment ref="AM16" authorId="0">
      <text>
        <r>
          <rPr>
            <sz val="8"/>
            <rFont val="Tahoma"/>
            <family val="2"/>
          </rPr>
          <t>Note:
Department of Social Welfare and Development</t>
        </r>
      </text>
    </comment>
    <comment ref="AT16" authorId="0">
      <text>
        <r>
          <rPr>
            <sz val="8"/>
            <rFont val="Tahoma"/>
            <family val="2"/>
          </rPr>
          <t>Note:
Department of Social Welfare and Development</t>
        </r>
      </text>
    </comment>
    <comment ref="AX16" authorId="0">
      <text>
        <r>
          <rPr>
            <sz val="8"/>
            <rFont val="Tahoma"/>
            <family val="2"/>
          </rPr>
          <t>Note:
Department of Social Welfare and Development</t>
        </r>
      </text>
    </comment>
    <comment ref="AN16" authorId="0">
      <text>
        <r>
          <rPr>
            <sz val="8"/>
            <rFont val="Tahoma"/>
            <family val="2"/>
          </rPr>
          <t xml:space="preserve">Note:
Local Government Units
</t>
        </r>
      </text>
    </comment>
    <comment ref="AU16" authorId="0">
      <text>
        <r>
          <rPr>
            <sz val="8"/>
            <rFont val="Tahoma"/>
            <family val="2"/>
          </rPr>
          <t>Note:
Local Government Units</t>
        </r>
      </text>
    </comment>
    <comment ref="AY16" authorId="0">
      <text>
        <r>
          <rPr>
            <sz val="8"/>
            <rFont val="Tahoma"/>
            <family val="2"/>
          </rPr>
          <t>Note:
Local Government Units</t>
        </r>
      </text>
    </comment>
  </commentList>
</comments>
</file>

<file path=xl/comments6.xml><?xml version="1.0" encoding="utf-8"?>
<comments xmlns="http://schemas.openxmlformats.org/spreadsheetml/2006/main">
  <authors>
    <author>edwardsan</author>
  </authors>
  <commentList>
    <comment ref="E8" authorId="0">
      <text>
        <r>
          <rPr>
            <sz val="8"/>
            <rFont val="Tahoma"/>
            <family val="2"/>
          </rPr>
          <t>Note:
Average length of road SPs (AH 10)</t>
        </r>
      </text>
    </comment>
    <comment ref="E9" authorId="0">
      <text>
        <r>
          <rPr>
            <sz val="8"/>
            <rFont val="Tahoma"/>
            <family val="2"/>
          </rPr>
          <t xml:space="preserve">Note:
Average length of road SPs (AH 10)
</t>
        </r>
      </text>
    </comment>
    <comment ref="D10" authorId="0">
      <text>
        <r>
          <rPr>
            <sz val="8"/>
            <rFont val="Tahoma"/>
            <family val="2"/>
          </rPr>
          <t>Note:
Use data on AH 9 since they differentiate two kinds of water systems</t>
        </r>
      </text>
    </comment>
    <comment ref="G10" authorId="0">
      <text>
        <r>
          <rPr>
            <sz val="8"/>
            <rFont val="Tahoma"/>
            <family val="2"/>
          </rPr>
          <t>Note:
242 HH in barangay, of which 50% assumed to benefit (AH 55)</t>
        </r>
      </text>
    </comment>
    <comment ref="D11" authorId="0">
      <text>
        <r>
          <rPr>
            <sz val="8"/>
            <rFont val="Tahoma"/>
            <family val="2"/>
          </rPr>
          <t>Note:
Use data on AH 9 since they differentiate two kinds of water systems</t>
        </r>
      </text>
    </comment>
    <comment ref="G11" authorId="0">
      <text>
        <r>
          <rPr>
            <sz val="8"/>
            <rFont val="Tahoma"/>
            <family val="2"/>
          </rPr>
          <t>Note:
242 HH in barangay, of which 50% assumed to benefit (AH 55)</t>
        </r>
      </text>
    </comment>
  </commentList>
</comments>
</file>

<file path=xl/comments7.xml><?xml version="1.0" encoding="utf-8"?>
<comments xmlns="http://schemas.openxmlformats.org/spreadsheetml/2006/main">
  <authors>
    <author>edwardsan</author>
  </authors>
  <commentList>
    <comment ref="A15" authorId="0">
      <text>
        <r>
          <rPr>
            <sz val="8"/>
            <rFont val="Tahoma"/>
            <family val="2"/>
          </rPr>
          <t>Note:
Araral (2009, 44)</t>
        </r>
      </text>
    </comment>
    <comment ref="A17" authorId="0">
      <text>
        <r>
          <rPr>
            <sz val="8"/>
            <rFont val="Tahoma"/>
            <family val="2"/>
          </rPr>
          <t xml:space="preserve">Note:
FAOSTAT (2008), paddy rice * 75% to deduct for irrigated production, unlikely in KC areas
</t>
        </r>
      </text>
    </comment>
    <comment ref="A18" authorId="0">
      <text>
        <r>
          <rPr>
            <sz val="8"/>
            <rFont val="Tahoma"/>
            <family val="2"/>
          </rPr>
          <t>Note:
75% (for conservatism) of price increase from 2002 WB economic analysis, inflated to 2009.
= ~6% increment over current price (see below).</t>
        </r>
      </text>
    </comment>
    <comment ref="A19" authorId="0">
      <text>
        <r>
          <rPr>
            <sz val="8"/>
            <rFont val="Tahoma"/>
            <family val="2"/>
          </rPr>
          <t>Note:
Araral (2009, 44)</t>
        </r>
      </text>
    </comment>
    <comment ref="A21" authorId="0">
      <text>
        <r>
          <rPr>
            <sz val="8"/>
            <rFont val="Tahoma"/>
            <family val="2"/>
          </rPr>
          <t>Note:
Assumed to be 1% of capital cost (WB PAD 2002)</t>
        </r>
      </text>
    </comment>
    <comment ref="J32" authorId="0">
      <text>
        <r>
          <rPr>
            <sz val="8"/>
            <rFont val="Tahoma"/>
            <family val="2"/>
          </rPr>
          <t>Note:
Present worth factor</t>
        </r>
      </text>
    </comment>
    <comment ref="A39" authorId="0">
      <text>
        <r>
          <rPr>
            <sz val="8"/>
            <rFont val="Tahoma"/>
            <family val="2"/>
          </rPr>
          <t>Note:
FAOSTAT (2007), inflated to 2009</t>
        </r>
      </text>
    </comment>
    <comment ref="I32" authorId="0">
      <text>
        <r>
          <rPr>
            <sz val="8"/>
            <rFont val="Tahoma"/>
            <family val="2"/>
          </rPr>
          <t>Note:
Philippine Peso (PHP)</t>
        </r>
      </text>
    </comment>
    <comment ref="K32" authorId="0">
      <text>
        <r>
          <rPr>
            <sz val="8"/>
            <rFont val="Tahoma"/>
            <family val="2"/>
          </rPr>
          <t>Note:
Philippine Peso (PHP)</t>
        </r>
      </text>
    </comment>
  </commentList>
</comments>
</file>

<file path=xl/comments8.xml><?xml version="1.0" encoding="utf-8"?>
<comments xmlns="http://schemas.openxmlformats.org/spreadsheetml/2006/main">
  <authors>
    <author>edwardsan</author>
  </authors>
  <commentList>
    <comment ref="A14" authorId="0">
      <text>
        <r>
          <rPr>
            <sz val="8"/>
            <rFont val="Tahoma"/>
            <family val="2"/>
          </rPr>
          <t>Note:
Based on 0.75 ha/farming HH
Araral (2009, 46)</t>
        </r>
      </text>
    </comment>
    <comment ref="A15" authorId="0">
      <text>
        <r>
          <rPr>
            <sz val="8"/>
            <rFont val="Tahoma"/>
            <family val="2"/>
          </rPr>
          <t>Note:
2.5km road;
Assumes 20% of the MCC BA standard "influence area" of 5km either side of a road.  
This reduction is appropriate given rough terrain and also that much less than the 5km-determined influence area would actually be planted with rice.</t>
        </r>
      </text>
    </comment>
    <comment ref="A16" authorId="0">
      <text>
        <r>
          <rPr>
            <sz val="8"/>
            <rFont val="Tahoma"/>
            <family val="2"/>
          </rPr>
          <t>Note:
FAOSTAT (2008), paddy rice, * 75% to deduct for irrigated production, unlikely in KC areas</t>
        </r>
      </text>
    </comment>
    <comment ref="B16" authorId="0">
      <text>
        <r>
          <rPr>
            <sz val="8"/>
            <rFont val="Tahoma"/>
            <family val="2"/>
          </rPr>
          <t>Note:
MT = metric ton</t>
        </r>
      </text>
    </comment>
    <comment ref="A17" authorId="0">
      <text>
        <r>
          <rPr>
            <sz val="8"/>
            <rFont val="Tahoma"/>
            <family val="2"/>
          </rPr>
          <t>Note:
Araral (2009, 44)</t>
        </r>
      </text>
    </comment>
    <comment ref="A19" authorId="0">
      <text>
        <r>
          <rPr>
            <sz val="8"/>
            <rFont val="Tahoma"/>
            <family val="2"/>
          </rPr>
          <t>Note:
FAOSTAT (2008)</t>
        </r>
      </text>
    </comment>
    <comment ref="A22" authorId="0">
      <text>
        <r>
          <rPr>
            <sz val="8"/>
            <rFont val="Tahoma"/>
            <family val="2"/>
          </rPr>
          <t>Note:
Valuing own consumption at market prices</t>
        </r>
      </text>
    </comment>
    <comment ref="A24" authorId="0">
      <text>
        <r>
          <rPr>
            <sz val="8"/>
            <rFont val="Tahoma"/>
            <family val="2"/>
          </rPr>
          <t>Note:
Araral (2009, 46)</t>
        </r>
      </text>
    </comment>
    <comment ref="A40" authorId="0">
      <text>
        <r>
          <rPr>
            <sz val="8"/>
            <rFont val="Tahoma"/>
            <family val="2"/>
          </rPr>
          <t xml:space="preserve">Note:
As % of production/y.  Araral (2009, 44) </t>
        </r>
      </text>
    </comment>
    <comment ref="A46" authorId="0">
      <text>
        <r>
          <rPr>
            <sz val="8"/>
            <rFont val="Tahoma"/>
            <family val="2"/>
          </rPr>
          <t>Note:
Araral (2009, 44)</t>
        </r>
      </text>
    </comment>
    <comment ref="C48" authorId="0">
      <text>
        <r>
          <rPr>
            <sz val="8"/>
            <rFont val="Tahoma"/>
            <family val="2"/>
          </rPr>
          <t>Note:
PHP0.72/kg transport cost
(Araral (2009, 46))</t>
        </r>
      </text>
    </comment>
    <comment ref="C49" authorId="0">
      <text>
        <r>
          <rPr>
            <sz val="8"/>
            <rFont val="Tahoma"/>
            <family val="2"/>
          </rPr>
          <t>Note:
PHP0.54/kg transport cost
(Araral (2009, 46))</t>
        </r>
      </text>
    </comment>
    <comment ref="D49" authorId="0">
      <text>
        <r>
          <rPr>
            <sz val="8"/>
            <rFont val="Tahoma"/>
            <family val="2"/>
          </rPr>
          <t>Note:
PHP0.36/kg transport cost
(Araral (2009, 46))</t>
        </r>
      </text>
    </comment>
    <comment ref="C50" authorId="0">
      <text>
        <r>
          <rPr>
            <sz val="8"/>
            <rFont val="Tahoma"/>
            <family val="2"/>
          </rPr>
          <t>Note:
4 sacks fertilizer/ha/season;
41.7 kg/sack fertilizer</t>
        </r>
      </text>
    </comment>
    <comment ref="C52" authorId="0">
      <text>
        <r>
          <rPr>
            <sz val="8"/>
            <rFont val="Tahoma"/>
            <family val="2"/>
          </rPr>
          <t>Note:
PHP0.72/kg transport cost
(Araral (2009, 46))</t>
        </r>
      </text>
    </comment>
    <comment ref="C53" authorId="0">
      <text>
        <r>
          <rPr>
            <sz val="8"/>
            <rFont val="Tahoma"/>
            <family val="2"/>
          </rPr>
          <t>Note:
PHP0.54/kg transport cost
(Araral (2009, 46))</t>
        </r>
      </text>
    </comment>
    <comment ref="D53" authorId="0">
      <text>
        <r>
          <rPr>
            <sz val="8"/>
            <rFont val="Tahoma"/>
            <family val="2"/>
          </rPr>
          <t>Note:
PHP0.36/kg transport cost
(Araral (2009, 46))</t>
        </r>
      </text>
    </comment>
  </commentList>
</comments>
</file>

<file path=xl/comments9.xml><?xml version="1.0" encoding="utf-8"?>
<comments xmlns="http://schemas.openxmlformats.org/spreadsheetml/2006/main">
  <authors>
    <author>edwardsan</author>
  </authors>
  <commentList>
    <comment ref="A14" authorId="0">
      <text>
        <r>
          <rPr>
            <sz val="8"/>
            <rFont val="Tahoma"/>
            <family val="2"/>
          </rPr>
          <t>Note:
242 HH in barangay, of which 50% assumed to benefit (AH 55)</t>
        </r>
      </text>
    </comment>
    <comment ref="A15" authorId="0">
      <text>
        <r>
          <rPr>
            <sz val="8"/>
            <rFont val="Tahoma"/>
            <family val="2"/>
          </rPr>
          <t>Note:
AH 8</t>
        </r>
      </text>
    </comment>
    <comment ref="B15" authorId="0">
      <text>
        <r>
          <rPr>
            <sz val="8"/>
            <rFont val="Tahoma"/>
            <family val="2"/>
          </rPr>
          <t>Note:
That is, liters/day</t>
        </r>
      </text>
    </comment>
    <comment ref="A16" authorId="0">
      <text>
        <r>
          <rPr>
            <sz val="8"/>
            <rFont val="Tahoma"/>
            <family val="2"/>
          </rPr>
          <t>Note:
AH 8</t>
        </r>
      </text>
    </comment>
    <comment ref="B16" authorId="0">
      <text>
        <r>
          <rPr>
            <sz val="8"/>
            <rFont val="Tahoma"/>
            <family val="2"/>
          </rPr>
          <t>Note:
That is, liters/day</t>
        </r>
      </text>
    </comment>
    <comment ref="A19" authorId="0">
      <text>
        <r>
          <rPr>
            <sz val="8"/>
            <rFont val="Tahoma"/>
            <family val="2"/>
          </rPr>
          <t>Note:
Conservative bc estimated for diarrhea only.</t>
        </r>
      </text>
    </comment>
    <comment ref="A20" authorId="0">
      <text>
        <r>
          <rPr>
            <sz val="8"/>
            <rFont val="Tahoma"/>
            <family val="2"/>
          </rPr>
          <t>Note:
Conservative bc estimated for diarrhea only.</t>
        </r>
      </text>
    </comment>
    <comment ref="A22" authorId="0">
      <text>
        <r>
          <rPr>
            <sz val="8"/>
            <rFont val="Tahoma"/>
            <family val="2"/>
          </rPr>
          <t>Note:
AH 8</t>
        </r>
      </text>
    </comment>
    <comment ref="A35" authorId="0">
      <text>
        <r>
          <rPr>
            <sz val="8"/>
            <rFont val="Tahoma"/>
            <family val="2"/>
          </rPr>
          <t>Note:
AH 8</t>
        </r>
      </text>
    </comment>
    <comment ref="B35" authorId="0">
      <text>
        <r>
          <rPr>
            <sz val="8"/>
            <rFont val="Tahoma"/>
            <family val="2"/>
          </rPr>
          <t>Note:
That is, liters/day</t>
        </r>
      </text>
    </comment>
    <comment ref="A36" authorId="0">
      <text>
        <r>
          <rPr>
            <sz val="8"/>
            <rFont val="Tahoma"/>
            <family val="2"/>
          </rPr>
          <t>Note:
AH 8</t>
        </r>
      </text>
    </comment>
    <comment ref="B36" authorId="0">
      <text>
        <r>
          <rPr>
            <sz val="8"/>
            <rFont val="Tahoma"/>
            <family val="2"/>
          </rPr>
          <t>Note:
That is, liters/day</t>
        </r>
      </text>
    </comment>
    <comment ref="A39" authorId="0">
      <text>
        <r>
          <rPr>
            <sz val="8"/>
            <rFont val="Tahoma"/>
            <family val="2"/>
          </rPr>
          <t>Note:
Conservative bc estimated for diarrhea only.</t>
        </r>
      </text>
    </comment>
    <comment ref="A40" authorId="0">
      <text>
        <r>
          <rPr>
            <sz val="8"/>
            <rFont val="Tahoma"/>
            <family val="2"/>
          </rPr>
          <t>Note:
Conservative bc estimated for diarrhea only.</t>
        </r>
      </text>
    </comment>
    <comment ref="A42" authorId="0">
      <text>
        <r>
          <rPr>
            <sz val="8"/>
            <rFont val="Tahoma"/>
            <family val="2"/>
          </rPr>
          <t>Note:
AH 8</t>
        </r>
      </text>
    </comment>
    <comment ref="A59" authorId="0">
      <text>
        <r>
          <rPr>
            <sz val="8"/>
            <rFont val="Tahoma"/>
            <family val="2"/>
          </rPr>
          <t>Note:
Non-incremental = Amount of existing water consumption 
(AH 55).
Conservatively, and consistent with AH 55, no reduction in these costs of fetching are assumed WP.</t>
        </r>
      </text>
    </comment>
    <comment ref="A60" authorId="0">
      <text>
        <r>
          <rPr>
            <sz val="8"/>
            <rFont val="Tahoma"/>
            <family val="2"/>
          </rPr>
          <t>Note:
Non-incremental = Amount of existing water consumption 
(AH 55)</t>
        </r>
      </text>
    </comment>
    <comment ref="A61" authorId="0">
      <text>
        <r>
          <rPr>
            <sz val="8"/>
            <rFont val="Tahoma"/>
            <family val="2"/>
          </rPr>
          <t>Note:
Incremental = Amount of additional water consumption due to project.
AH 55 has these costs somewhat higher, though this is not borne out by 2006 SP Benefits Survey that describe reductions by factors ranging from 2 to 12.  We assume it would be conservative (due, e.g., to scale economies, improved reliability of supply) to use 50% of the unit cost of fetching non-incremental water, and do so here.</t>
        </r>
      </text>
    </comment>
    <comment ref="A63" authorId="0">
      <text>
        <r>
          <rPr>
            <sz val="8"/>
            <rFont val="Tahoma"/>
            <family val="2"/>
          </rPr>
          <t>Note:
Suggestd by SP Benefits Survey data, Water Gravity and Water Pump worksheets.  Denote these as "affected HH."</t>
        </r>
      </text>
    </comment>
    <comment ref="A64" authorId="0">
      <text>
        <r>
          <rPr>
            <sz val="8"/>
            <rFont val="Tahoma"/>
            <family val="2"/>
          </rPr>
          <t>Note:
As a simplification, no distinction is made here between children and adult cases.  Children--particularly the very young--have higher incidence rates, but low to zero lost wages (while  caregivers of ill children may themselves forego wages).  This simplification is assumed to introduce offsetting biases on the true social opportunity cost of disease.</t>
        </r>
      </text>
    </comment>
    <comment ref="A66" authorId="0">
      <text>
        <r>
          <rPr>
            <sz val="8"/>
            <rFont val="Tahoma"/>
            <family val="2"/>
          </rPr>
          <t>Note:
Hutton &amp; Haller (2004, 16).  Hospitalization cases last 3-7d w/average of 5d; assume 4d for these on average less severe cases</t>
        </r>
      </text>
    </comment>
    <comment ref="A68" authorId="0">
      <text>
        <r>
          <rPr>
            <sz val="8"/>
            <rFont val="Tahoma"/>
            <family val="2"/>
          </rPr>
          <t>Note:
Hutton &amp; Haller (2004, 16)</t>
        </r>
      </text>
    </comment>
    <comment ref="A69" authorId="0">
      <text>
        <r>
          <rPr>
            <sz val="8"/>
            <rFont val="Tahoma"/>
            <family val="2"/>
          </rPr>
          <t>Note:
Hutton &amp; Haller (2004, 17) give a range of $10-$23 in 2004.  Use $13 (inflated) toward lower end of this range for PHL as LIC.  Treat this as a total economic cost (i.e., incidence of cost on patient vs. insurers vs. gov't is immaterial).
10% adder for transport costs/value of time for trips to health facility for patient and family members.</t>
        </r>
      </text>
    </comment>
    <comment ref="A70" authorId="0">
      <text>
        <r>
          <rPr>
            <sz val="8"/>
            <rFont val="Tahoma"/>
            <family val="2"/>
          </rPr>
          <t>Note:
AH 55, Opportunity cost of unskilled labor (inflated)</t>
        </r>
      </text>
    </comment>
    <comment ref="A71" authorId="0">
      <text>
        <r>
          <rPr>
            <sz val="8"/>
            <rFont val="Tahoma"/>
            <family val="2"/>
          </rPr>
          <t>Note:
Conservative bc estimated for diarrhea only.</t>
        </r>
      </text>
    </comment>
    <comment ref="A72" authorId="0">
      <text>
        <r>
          <rPr>
            <sz val="8"/>
            <rFont val="Tahoma"/>
            <family val="2"/>
          </rPr>
          <t>Note:
Conservative bc estimated for diarrhea only.</t>
        </r>
      </text>
    </comment>
    <comment ref="A74" authorId="0">
      <text>
        <r>
          <rPr>
            <sz val="8"/>
            <rFont val="Tahoma"/>
            <family val="2"/>
          </rPr>
          <t>Note:
Jalan &amp; Ravallion (2001, 14)</t>
        </r>
      </text>
    </comment>
    <comment ref="A75" authorId="0">
      <text>
        <r>
          <rPr>
            <sz val="8"/>
            <rFont val="Tahoma"/>
            <family val="2"/>
          </rPr>
          <t>Note:
Jalan &amp; Ravallion (2001, 14)</t>
        </r>
      </text>
    </comment>
    <comment ref="A77" authorId="0">
      <text>
        <r>
          <rPr>
            <sz val="8"/>
            <rFont val="Tahoma"/>
            <family val="2"/>
          </rPr>
          <t>Note:
Conservative bc estimated for diarrhea only.</t>
        </r>
      </text>
    </comment>
    <comment ref="A78" authorId="0">
      <text>
        <r>
          <rPr>
            <sz val="8"/>
            <rFont val="Tahoma"/>
            <family val="2"/>
          </rPr>
          <t>Note:
Conservative bc estimated for diarrhea only.</t>
        </r>
      </text>
    </comment>
  </commentList>
</comments>
</file>

<file path=xl/sharedStrings.xml><?xml version="1.0" encoding="utf-8"?>
<sst xmlns="http://schemas.openxmlformats.org/spreadsheetml/2006/main" count="1518" uniqueCount="702">
  <si>
    <t xml:space="preserve">Social Preparation </t>
  </si>
  <si>
    <t xml:space="preserve">Capacity Building </t>
  </si>
  <si>
    <t>Sub-Project Allocation</t>
  </si>
  <si>
    <t>Implementation Support</t>
  </si>
  <si>
    <t>Monitoring and Evaluation</t>
  </si>
  <si>
    <t>ICC -PE Form No. 2</t>
  </si>
  <si>
    <t>SOURCES OF FINANCING</t>
  </si>
  <si>
    <t>SOURCE</t>
  </si>
  <si>
    <t>LOCAL SOURCE (GAA)</t>
  </si>
  <si>
    <t>FOREIGN SOURCE</t>
  </si>
  <si>
    <t>Community Contribution</t>
  </si>
  <si>
    <t>Communal irrigation, constr.</t>
  </si>
  <si>
    <t>Total Capital Cost</t>
  </si>
  <si>
    <t>Total NPV at 15%</t>
  </si>
  <si>
    <t>EIRR</t>
  </si>
  <si>
    <t>Dist.</t>
  </si>
  <si>
    <t>Yield, paddy</t>
  </si>
  <si>
    <t>Incremental NVP</t>
  </si>
  <si>
    <t>Capital Cost/Annual Net NVP</t>
  </si>
  <si>
    <t>Communal Irrigation System (Rehabilitation)</t>
  </si>
  <si>
    <t>3.  Increase in cropping intensity index is 0.5 for rehabilitation, 1.0 for construction.</t>
  </si>
  <si>
    <t>2.  Increase in paddy yield is 1.0 MT/ha for rehabilitation, 2.0 MT/ha for construction.</t>
  </si>
  <si>
    <t>hectares</t>
  </si>
  <si>
    <t>pesos/ha</t>
  </si>
  <si>
    <t>MT/ha</t>
  </si>
  <si>
    <t>pesos/MT</t>
  </si>
  <si>
    <t>times/year</t>
  </si>
  <si>
    <t>pesos</t>
  </si>
  <si>
    <t>pesos/year</t>
  </si>
  <si>
    <t>Project Life</t>
  </si>
  <si>
    <t>Yield, Paddy</t>
  </si>
  <si>
    <t>Total Cost Saving per Year</t>
  </si>
  <si>
    <t>years</t>
  </si>
  <si>
    <t>Discount Factor at 15%</t>
  </si>
  <si>
    <t>6.  For simplicity, full development is assumed at year 1.</t>
  </si>
  <si>
    <t>1.  Average area planted/harvested per farmer is 1.5 has; 100 farmers share the facility.</t>
  </si>
  <si>
    <t>Increase in farmgate paddy price, per MT</t>
  </si>
  <si>
    <t>3.  For conservatism, cropping intensity index is the same, with and without the project.</t>
  </si>
  <si>
    <t>Road Projects</t>
  </si>
  <si>
    <t>Value</t>
  </si>
  <si>
    <t>Units</t>
  </si>
  <si>
    <t>Families in Barangay</t>
  </si>
  <si>
    <t>Barangay Population</t>
  </si>
  <si>
    <t>Children of Age 6-12</t>
  </si>
  <si>
    <t>Children in School</t>
  </si>
  <si>
    <t xml:space="preserve">   Materials and Supplies</t>
  </si>
  <si>
    <t xml:space="preserve">   Midwife/Nurse</t>
  </si>
  <si>
    <t>Gross Annual Benefits</t>
  </si>
  <si>
    <t xml:space="preserve">   Drugs and Medicine</t>
  </si>
  <si>
    <t>Hectares/Farmer</t>
  </si>
  <si>
    <t>ha/farmer</t>
  </si>
  <si>
    <t>Number of Farmers</t>
  </si>
  <si>
    <t>Subproject</t>
  </si>
  <si>
    <t>SUMMARY MEASURES OF PROJECT WORTH</t>
  </si>
  <si>
    <t>SCENARIO A</t>
  </si>
  <si>
    <t>SCENARIO B</t>
  </si>
  <si>
    <t>Rehab</t>
  </si>
  <si>
    <t xml:space="preserve">     O%M/Capital Cost</t>
  </si>
  <si>
    <t>Construct</t>
  </si>
  <si>
    <t>PHF</t>
  </si>
  <si>
    <t>Year</t>
  </si>
  <si>
    <t xml:space="preserve">   SIMPLE AVERAGE/TOTAL</t>
  </si>
  <si>
    <t xml:space="preserve">   WEIGHTED AVERAGE</t>
  </si>
  <si>
    <t>Area</t>
  </si>
  <si>
    <t>Total Cost</t>
  </si>
  <si>
    <t>Farmers</t>
  </si>
  <si>
    <t>Price</t>
  </si>
  <si>
    <t>With - Without</t>
  </si>
  <si>
    <t>Gross Value of Production</t>
  </si>
  <si>
    <t>Cost of Production</t>
  </si>
  <si>
    <t>Net Value of Production</t>
  </si>
  <si>
    <t>Cropping Intensity Index</t>
  </si>
  <si>
    <t>Unit</t>
  </si>
  <si>
    <t>Communal Irrigation System (Rehab)</t>
  </si>
  <si>
    <t>Communal Irrigation System (Construction)</t>
  </si>
  <si>
    <t>Without Project</t>
  </si>
  <si>
    <t>With Project</t>
  </si>
  <si>
    <t>Road Rehabilitation</t>
  </si>
  <si>
    <t>Road Regravelling</t>
  </si>
  <si>
    <t>Influence Area</t>
  </si>
  <si>
    <t>Cropping Intensity</t>
  </si>
  <si>
    <t>Total Benefits</t>
  </si>
  <si>
    <t>Beneficiaries</t>
  </si>
  <si>
    <t>Sub-Project</t>
  </si>
  <si>
    <t>Unit Cost</t>
  </si>
  <si>
    <t>1 km</t>
  </si>
  <si>
    <t>1 unit</t>
  </si>
  <si>
    <t>hh</t>
  </si>
  <si>
    <t>8X15 m</t>
  </si>
  <si>
    <t>per m2</t>
  </si>
  <si>
    <t>pupils</t>
  </si>
  <si>
    <t>Toilet with Septic Tank</t>
  </si>
  <si>
    <t xml:space="preserve">Barangay Health Station </t>
  </si>
  <si>
    <t>per ha.</t>
  </si>
  <si>
    <t>Communal Irrigation Project (Construction)</t>
  </si>
  <si>
    <t>1/ Excludes cost of acquisition of right of way</t>
  </si>
  <si>
    <t xml:space="preserve">2/ Direct costs include: cost of pre-construction engineering, labor &amp; materials cost, tools &amp; equipment cost  </t>
  </si>
  <si>
    <t>INDICATIVE PERCENTAGE COMPONENT COSTS (% of Total Unit Cost)</t>
  </si>
  <si>
    <t>Pre-Eng’g</t>
  </si>
  <si>
    <t xml:space="preserve">Materials &amp; Eqpt </t>
  </si>
  <si>
    <t>Labor</t>
  </si>
  <si>
    <t>Total Cost 1/</t>
  </si>
  <si>
    <t>Skilled</t>
  </si>
  <si>
    <t>Unskilled</t>
  </si>
  <si>
    <t>Direct 2/</t>
  </si>
  <si>
    <t xml:space="preserve">Indirect 3/ </t>
  </si>
  <si>
    <t>Bridge Construction (Single Lane RCDG)</t>
  </si>
  <si>
    <t>per ln.m.</t>
  </si>
  <si>
    <t>Hanging Bridge</t>
  </si>
  <si>
    <t>per ln. m.</t>
  </si>
  <si>
    <t>Gross annual benefits</t>
  </si>
  <si>
    <t>DISCOUNT TABLE</t>
  </si>
  <si>
    <t>prd</t>
  </si>
  <si>
    <t xml:space="preserve">  pwf</t>
  </si>
  <si>
    <t xml:space="preserve"> spwf</t>
  </si>
  <si>
    <t>O&amp;M Cost</t>
  </si>
  <si>
    <t>NPV at 15%</t>
  </si>
  <si>
    <t>Classrooms</t>
  </si>
  <si>
    <t>Without</t>
  </si>
  <si>
    <t>With</t>
  </si>
  <si>
    <t>Barangay health stations</t>
  </si>
  <si>
    <t>Level II water systems</t>
  </si>
  <si>
    <t>Level I water systems</t>
  </si>
  <si>
    <t>Post-harvest facilities</t>
  </si>
  <si>
    <t>Communal irrigation, rehab</t>
  </si>
  <si>
    <t>Capital Cost</t>
  </si>
  <si>
    <t>Econ. Life</t>
  </si>
  <si>
    <t xml:space="preserve">Domestic Water Supply </t>
  </si>
  <si>
    <t xml:space="preserve">Health </t>
  </si>
  <si>
    <t>Education</t>
  </si>
  <si>
    <t xml:space="preserve">Rural Roads </t>
  </si>
  <si>
    <t xml:space="preserve">Irrigation </t>
  </si>
  <si>
    <t xml:space="preserve">Post-Harvest Facilities </t>
  </si>
  <si>
    <t xml:space="preserve">Other Community Facilities </t>
  </si>
  <si>
    <t>persons</t>
  </si>
  <si>
    <t>families</t>
  </si>
  <si>
    <t>TOTAL</t>
  </si>
  <si>
    <t>km</t>
  </si>
  <si>
    <t>BHS</t>
  </si>
  <si>
    <t>Table 4</t>
  </si>
  <si>
    <t>Note:</t>
  </si>
  <si>
    <t>Scenario A assunes 25% of Subproject funds each to classrooms and post-harvest facilities.</t>
  </si>
  <si>
    <t>Scenario B assumes 20% of Subproject funds to classrooms, 30% to post-harvest facilities.</t>
  </si>
  <si>
    <t>From SARSAD Project:</t>
  </si>
  <si>
    <t>Water</t>
  </si>
  <si>
    <t>Road</t>
  </si>
  <si>
    <t>Irrigation</t>
  </si>
  <si>
    <t>fall in Benefits</t>
  </si>
  <si>
    <t>rise in Cap. Cost</t>
  </si>
  <si>
    <t>Breakeven Analysis at 15% SDR</t>
  </si>
  <si>
    <t>1.  Average area planted/harvested per farmer is 1.5 has; 50 farmers form an association.</t>
  </si>
  <si>
    <t>ISIP II</t>
  </si>
  <si>
    <t>ARISP</t>
  </si>
  <si>
    <t>OECF FOR ARISP</t>
  </si>
  <si>
    <t>5.  Operation and maintenance cost is 3% of capital cost for rehabilitation, 2% for construction.</t>
  </si>
  <si>
    <t>PALAY</t>
  </si>
  <si>
    <t>'85</t>
  </si>
  <si>
    <t>'99</t>
  </si>
  <si>
    <t>'00</t>
  </si>
  <si>
    <t>'01</t>
  </si>
  <si>
    <t>4.  Cost of production is 56% of gross value of production, with and without the project.</t>
  </si>
  <si>
    <r>
      <t>Sanitation</t>
    </r>
    <r>
      <rPr>
        <b/>
        <sz val="10"/>
        <rFont val="Arial"/>
        <family val="2"/>
      </rPr>
      <t xml:space="preserve"> </t>
    </r>
  </si>
  <si>
    <t>Agriculture</t>
  </si>
  <si>
    <t>Environment</t>
  </si>
  <si>
    <t>Health</t>
  </si>
  <si>
    <t>Average Cost per Subproject</t>
  </si>
  <si>
    <t>Total Cost per Category</t>
  </si>
  <si>
    <t>Number of Subprojects</t>
  </si>
  <si>
    <t>% Share</t>
  </si>
  <si>
    <t>Sector</t>
  </si>
  <si>
    <t>Total</t>
  </si>
  <si>
    <t>Agriculture includes farm-to-market roads, irrigation, and post-harvest facilities.</t>
  </si>
  <si>
    <t>SZOPAD Social Fund</t>
  </si>
  <si>
    <t>RP-Japan Increase of Food Production Program (KR2)</t>
  </si>
  <si>
    <t>Core housing &amp; shelter assistance</t>
  </si>
  <si>
    <t>ARCDP</t>
  </si>
  <si>
    <t>Road Reconstruction</t>
  </si>
  <si>
    <t>Bridges</t>
  </si>
  <si>
    <t>Water system</t>
  </si>
  <si>
    <t>SWIP</t>
  </si>
  <si>
    <t>Multi-purpose centers</t>
  </si>
  <si>
    <t>Agrarian Reform Communities Development Project</t>
  </si>
  <si>
    <t>Subproject Category</t>
  </si>
  <si>
    <t>Day Care Services</t>
  </si>
  <si>
    <t>Food &amp; Nutrition</t>
  </si>
  <si>
    <t>Water &amp; Sanitation</t>
  </si>
  <si>
    <t>Educational Assistance</t>
  </si>
  <si>
    <t>Income and Livelihood</t>
  </si>
  <si>
    <t>Roads &amp; Electrification</t>
  </si>
  <si>
    <t>Comprehensive and Integrated Delivery of Social Services Program</t>
  </si>
  <si>
    <t>Table 14</t>
  </si>
  <si>
    <t>Table 15</t>
  </si>
  <si>
    <t>Communal irrigation, rehabilitation</t>
  </si>
  <si>
    <t>Communal irrigation, construction</t>
  </si>
  <si>
    <t>Table 15 is here!!!</t>
  </si>
  <si>
    <t>Beneficiary units</t>
  </si>
  <si>
    <t># of Units</t>
  </si>
  <si>
    <t>unit</t>
  </si>
  <si>
    <t>m2</t>
  </si>
  <si>
    <t>ha</t>
  </si>
  <si>
    <t>NOTES:</t>
  </si>
  <si>
    <t>COMPONENT COSTS FOR COMMUNITY INFRASTRUCTURE SUB-PROJECTS</t>
  </si>
  <si>
    <t>MCC</t>
  </si>
  <si>
    <t>DSWD</t>
  </si>
  <si>
    <t>LGU</t>
  </si>
  <si>
    <t>?</t>
  </si>
  <si>
    <t>Assumptions</t>
  </si>
  <si>
    <t>Scalars</t>
  </si>
  <si>
    <t>Official exchange rate</t>
  </si>
  <si>
    <t>PHP/$</t>
  </si>
  <si>
    <t>Real GDP growth rate</t>
  </si>
  <si>
    <t>%</t>
  </si>
  <si>
    <t>GDP (base year = 1985)</t>
  </si>
  <si>
    <t>const. 1985 PHP</t>
  </si>
  <si>
    <t>GDP deflator (Philippines; base year = 1985)</t>
  </si>
  <si>
    <t>#</t>
  </si>
  <si>
    <t>GDP</t>
  </si>
  <si>
    <t>current PHP</t>
  </si>
  <si>
    <t>current $</t>
  </si>
  <si>
    <t>GDP deflator (US; base year = 2000)</t>
  </si>
  <si>
    <t>GDP deflator (US; base year = 2009)</t>
  </si>
  <si>
    <t>const. 2009 $</t>
  </si>
  <si>
    <t>Population</t>
  </si>
  <si>
    <t># people</t>
  </si>
  <si>
    <t>Population growth rate</t>
  </si>
  <si>
    <t>CAGR in population growth rate (1998-2008)</t>
  </si>
  <si>
    <t>Real interest rate (%)</t>
  </si>
  <si>
    <t>Average, 1998-2008</t>
  </si>
  <si>
    <t>CPI (Philippines; base year = 2005)</t>
  </si>
  <si>
    <t>Annual change in CPI, %</t>
  </si>
  <si>
    <t>BENEFITS</t>
  </si>
  <si>
    <t>To-be-dropped</t>
  </si>
  <si>
    <t>Future</t>
  </si>
  <si>
    <t>Beneficiary Households</t>
  </si>
  <si>
    <t># households</t>
  </si>
  <si>
    <t>Increased cropping intensity</t>
  </si>
  <si>
    <t>Increased yield</t>
  </si>
  <si>
    <t>Existing (different across two scenarios)</t>
  </si>
  <si>
    <t xml:space="preserve">Day Care Center </t>
  </si>
  <si>
    <t>School Building</t>
  </si>
  <si>
    <t>SUM:</t>
  </si>
  <si>
    <t>Other assumptions:</t>
  </si>
  <si>
    <t>Salvage values for remainder of project life:</t>
  </si>
  <si>
    <t>Proj life</t>
  </si>
  <si>
    <t>&gt; Y20</t>
  </si>
  <si>
    <t>Current PHP</t>
  </si>
  <si>
    <t>PWF</t>
  </si>
  <si>
    <t>Disc rates:</t>
  </si>
  <si>
    <t>Discounted PHP</t>
  </si>
  <si>
    <t>Day Care Center</t>
  </si>
  <si>
    <t>Abbreviations</t>
  </si>
  <si>
    <t>SP</t>
  </si>
  <si>
    <t>Most projects planned to be implemented within 6 months, so benefits occurring 1y after investment is conservative (Araral &amp; Holmemo (2007, 7))</t>
  </si>
  <si>
    <t>For conservatism, benefits assumed to go abruptly to zero at end of projected project lives</t>
  </si>
  <si>
    <t>Level II Gravity Water System with Elevated Water Tank</t>
  </si>
  <si>
    <t>AH</t>
  </si>
  <si>
    <t>Assume that projects not modeled here have returns equal to the average project that is modeled here</t>
  </si>
  <si>
    <t>NOT USED BC IRRIGATION PROJECTS NOT STUDIED IN ANY OF THE ASSESSMENTS/EVALUATIONS DURING IMPLEMENTATION (AND THEY COMPRISE &lt; 1% OF IMPLEMENTED SPs)</t>
  </si>
  <si>
    <t>Post-Harvest Facility</t>
  </si>
  <si>
    <t>Barangay Health Station</t>
  </si>
  <si>
    <t>Post-harvest Facility</t>
  </si>
  <si>
    <t>Subproject portfolio shares by # of projects</t>
  </si>
  <si>
    <t>Inflation factors</t>
  </si>
  <si>
    <t>2002-09</t>
  </si>
  <si>
    <t>2003-09</t>
  </si>
  <si>
    <t>2004-09</t>
  </si>
  <si>
    <t>2005-09</t>
  </si>
  <si>
    <t>2006-09</t>
  </si>
  <si>
    <t>2007-09</t>
  </si>
  <si>
    <t>2008-09</t>
  </si>
  <si>
    <t>PHP</t>
  </si>
  <si>
    <t>Number of SPs (for budgeting purposes)</t>
  </si>
  <si>
    <t>% of above barangays expected to realize at least 1 SP</t>
  </si>
  <si>
    <t>SP grant</t>
  </si>
  <si>
    <t>Indirect costs, comprising</t>
  </si>
  <si>
    <t>Social preparation / capacity building</t>
  </si>
  <si>
    <t>M&amp;E</t>
  </si>
  <si>
    <t>No. of barangays that will realize at least 1 SP (producing benefits reflected above)</t>
  </si>
  <si>
    <t>Cost breakdown (Araral &amp; Holmemo (2007), 3) as fraction of total project cost</t>
  </si>
  <si>
    <t>MCC admin &amp; controls costs (excl. M&amp;E since acc'td for separately)</t>
  </si>
  <si>
    <t xml:space="preserve">Fraction of budgeted SPs actually realized </t>
  </si>
  <si>
    <t xml:space="preserve"># of budgeted SPs actually realized </t>
  </si>
  <si>
    <t>Average # of social preparation processes per realized SP</t>
  </si>
  <si>
    <t>Unique barangays that will go thru social preparation (incurring the assoc. costs)</t>
  </si>
  <si>
    <t>(Unless otherwise indicated, monetary figures in constant 2009 PHP)</t>
  </si>
  <si>
    <t>Budget components (DSWD docs)</t>
  </si>
  <si>
    <t>Monitoring &amp; Evaluation</t>
  </si>
  <si>
    <t>ERR</t>
  </si>
  <si>
    <t>Economic Rate of Return</t>
  </si>
  <si>
    <t>Technical Assistance / Administrative support</t>
  </si>
  <si>
    <t>PHP/MT</t>
  </si>
  <si>
    <t>PHP/year</t>
  </si>
  <si>
    <t>Social preparation / capacity building (per brgy)</t>
  </si>
  <si>
    <t>brgy</t>
  </si>
  <si>
    <t>Technical Assistance / Administrative support (per SP)</t>
  </si>
  <si>
    <t>M&amp;E (per SP)</t>
  </si>
  <si>
    <t>SUM (PHP)</t>
  </si>
  <si>
    <t>SUM (US$)</t>
  </si>
  <si>
    <t>Philippine Peso</t>
  </si>
  <si>
    <t>US$</t>
  </si>
  <si>
    <t>US dollar</t>
  </si>
  <si>
    <t>ADB</t>
  </si>
  <si>
    <t>Asian Development Bank</t>
  </si>
  <si>
    <t>Assumed constant across SP types (following AH)</t>
  </si>
  <si>
    <t>y</t>
  </si>
  <si>
    <t>Additional y of school due to 1y of preschool</t>
  </si>
  <si>
    <t>Araral &amp; Holmemo (2007)</t>
  </si>
  <si>
    <t>Secondary</t>
  </si>
  <si>
    <t>Tertiary and up</t>
  </si>
  <si>
    <t>Level of attainment</t>
  </si>
  <si>
    <t>Number</t>
  </si>
  <si>
    <t>Fraction</t>
  </si>
  <si>
    <t>Preschool + Elementary</t>
  </si>
  <si>
    <t>No grade completed</t>
  </si>
  <si>
    <t>PSY</t>
  </si>
  <si>
    <t>Philippine Statistical Yearbook</t>
  </si>
  <si>
    <t>Average age of entry into labor force</t>
  </si>
  <si>
    <t>years of age</t>
  </si>
  <si>
    <t>Average retirement age</t>
  </si>
  <si>
    <t>d</t>
  </si>
  <si>
    <t>h</t>
  </si>
  <si>
    <t>Time saved by mothers per DCC operating day</t>
  </si>
  <si>
    <t>DCC</t>
  </si>
  <si>
    <t>PHP/workday</t>
  </si>
  <si>
    <t>h/workday</t>
  </si>
  <si>
    <t>Water &amp; Electricity</t>
  </si>
  <si>
    <t>Building Repairs</t>
  </si>
  <si>
    <t>Working hours per year once in labor force</t>
  </si>
  <si>
    <t xml:space="preserve">Returns per student-year of preschool education </t>
  </si>
  <si>
    <t>No. of children using DCC (3- to 6-year-olds)</t>
  </si>
  <si>
    <t>Day Care Center (DCC) building</t>
  </si>
  <si>
    <t>DCC operating days/y</t>
  </si>
  <si>
    <t>WOP</t>
  </si>
  <si>
    <t>WP</t>
  </si>
  <si>
    <t>Without-project scenario</t>
  </si>
  <si>
    <t>With-project scenario</t>
  </si>
  <si>
    <t>Net Annual Benefits</t>
  </si>
  <si>
    <t>PHP/person/h</t>
  </si>
  <si>
    <t>Years at level</t>
  </si>
  <si>
    <t>Rtn per y schooling at level of attainment</t>
  </si>
  <si>
    <t>Annual O&amp;M Costs - Total</t>
  </si>
  <si>
    <t>Total Up-front Cost for Day Care Center (DCC)</t>
  </si>
  <si>
    <t>Total Capital Cost for DCC bldg</t>
  </si>
  <si>
    <t>Average # of 3 to 6 y.o. children per mother</t>
  </si>
  <si>
    <t>Labor force participation rate</t>
  </si>
  <si>
    <t xml:space="preserve">   Teachers</t>
  </si>
  <si>
    <t>Total Up-front Cost for school building</t>
  </si>
  <si>
    <t>Total Capital Cost for school bldg</t>
  </si>
  <si>
    <t>Average household size</t>
  </si>
  <si>
    <t>Avg. age</t>
  </si>
  <si>
    <t>(cont'd)</t>
  </si>
  <si>
    <t>11 - 57</t>
  </si>
  <si>
    <t>2 - 57</t>
  </si>
  <si>
    <t>Applicable proj. years for benefits</t>
  </si>
  <si>
    <t>Salvage values for remainder of project life (based on working life of first cohort):</t>
  </si>
  <si>
    <t>Mothers' max (remunerated) working hours/workday</t>
  </si>
  <si>
    <t>Opportunity cost of mothers' time</t>
  </si>
  <si>
    <t>1.  For simplicity, full development is assumed at year 1.</t>
  </si>
  <si>
    <t># cohorts in labor market</t>
  </si>
  <si>
    <t>Regions</t>
  </si>
  <si>
    <t>IV-B, V, VI, VII, VIII, CAR</t>
  </si>
  <si>
    <t>Enrollment rate, WOP</t>
  </si>
  <si>
    <t>Proportion of 6- to 12-year olds in population</t>
  </si>
  <si>
    <t>Enrollment rate, national average</t>
  </si>
  <si>
    <t xml:space="preserve">Returns per student-year of elementary education </t>
  </si>
  <si>
    <t>Avg y add'l schooling for new cohort</t>
  </si>
  <si>
    <t>Total add'l annual income due to mothers' add'l earnings</t>
  </si>
  <si>
    <t>Returns per student-year of additional schooling</t>
  </si>
  <si>
    <t>Total add'l annual income per cohort due to preschool education</t>
  </si>
  <si>
    <t>Total add'l annual income per cohort due to elementary education</t>
  </si>
  <si>
    <t>Years of preschool per cohort</t>
  </si>
  <si>
    <t>Total add'l annual income per cohort due to additional schooling</t>
  </si>
  <si>
    <t>Enrollment rate, WP, assumed by AH (p. 14)</t>
  </si>
  <si>
    <t>Enrollment rate, WP</t>
  </si>
  <si>
    <t>For simplicity, full development is assumed at year 1.</t>
  </si>
  <si>
    <t>2.  Increase in farmgate paddy price is P1.05/kg with the project.</t>
  </si>
  <si>
    <t>Rice price, 2009, for comparison</t>
  </si>
  <si>
    <t>WB</t>
  </si>
  <si>
    <t>World Bank</t>
  </si>
  <si>
    <t>PAD</t>
  </si>
  <si>
    <t>Project Appraisal Document</t>
  </si>
  <si>
    <t>4.  For simplicity, full development is assumed at year 1.</t>
  </si>
  <si>
    <t>Total Up-front Cost for road project</t>
  </si>
  <si>
    <t>Rehabilitation</t>
  </si>
  <si>
    <t>Total Capital Cost (construction) for road project</t>
  </si>
  <si>
    <t>Post-harvest losses</t>
  </si>
  <si>
    <t>MT/y</t>
  </si>
  <si>
    <t>MT</t>
  </si>
  <si>
    <t>Metric ton</t>
  </si>
  <si>
    <t>Savings from avoided post-harvest losses</t>
  </si>
  <si>
    <t>Transport cost for paddy</t>
  </si>
  <si>
    <t>Transport cost for fertilizer</t>
  </si>
  <si>
    <t>Fraction of rice production marketed by each farmer</t>
  </si>
  <si>
    <t>Fertilizer applied each planting season</t>
  </si>
  <si>
    <t>kg/ha/season</t>
  </si>
  <si>
    <t>plantings/year</t>
  </si>
  <si>
    <t>PHP/y</t>
  </si>
  <si>
    <t>Transport cost savings - paddy</t>
  </si>
  <si>
    <t>Transport cost savings - fertilizer</t>
  </si>
  <si>
    <t>Road Concreting</t>
  </si>
  <si>
    <t>MT/ha/planting</t>
  </si>
  <si>
    <t>Barangay (village)</t>
  </si>
  <si>
    <t>Total ann'l production, all farmers in influence area</t>
  </si>
  <si>
    <t>Number of farming HH (= beneficiary HH)</t>
  </si>
  <si>
    <t>Influence Area (all farming HH)</t>
  </si>
  <si>
    <t>HH</t>
  </si>
  <si>
    <t>Households</t>
  </si>
  <si>
    <t>Price of paddy</t>
  </si>
  <si>
    <t>plantings/y</t>
  </si>
  <si>
    <t>Total Annual Benefits</t>
  </si>
  <si>
    <t>Concreting</t>
  </si>
  <si>
    <t>For conservatism, yield &amp; cropping intensity are assumed to be the same with and without project.</t>
  </si>
  <si>
    <t>Total Up-front Cost for Gravity Water System</t>
  </si>
  <si>
    <t>Total Capital Cost (construction) for  Gravity Water System</t>
  </si>
  <si>
    <t>Level II Pump-driven Water System</t>
  </si>
  <si>
    <t>Level II Gravity Water System</t>
  </si>
  <si>
    <t>Water consumption/HH/d, WOP</t>
  </si>
  <si>
    <t>PHP/l</t>
  </si>
  <si>
    <t>Opportunity cost of time for fetching 1 liter of non-incremental water, WOP</t>
  </si>
  <si>
    <t>l/d</t>
  </si>
  <si>
    <t>l</t>
  </si>
  <si>
    <t>Liter(s)</t>
  </si>
  <si>
    <t>Opportunity cost of time for fetching 1 liter of non-incremental water, WP</t>
  </si>
  <si>
    <t>Opportunity cost of time for fetching 1 liter of incremental water, WP</t>
  </si>
  <si>
    <t>Water consumption/HH/d, WP</t>
  </si>
  <si>
    <t>Total Up-front Cost for Pump</t>
  </si>
  <si>
    <t>Total Capital Cost (construction) for Pump</t>
  </si>
  <si>
    <t>Ann'l value of time svgs in brgy in fetching non-incremental water</t>
  </si>
  <si>
    <t>Ann'l financial cost of time in brgy to fetch incremental water</t>
  </si>
  <si>
    <t>Average duration of diarrhea case, WOP</t>
  </si>
  <si>
    <t>% reduction in prevalence, WP</t>
  </si>
  <si>
    <t>% reduction in duration, WP</t>
  </si>
  <si>
    <t>Cost per visit to health facility (WOP, WP)</t>
  </si>
  <si>
    <t>Wages lost per day of missed work (WOP, WP)</t>
  </si>
  <si>
    <t>Exchange rate (2009)</t>
  </si>
  <si>
    <t>PHP/d</t>
  </si>
  <si>
    <t>Cases per affected HH (WOP, WP)</t>
  </si>
  <si>
    <t>Health facility visits per diarrhea case (WOP, WP)</t>
  </si>
  <si>
    <t>Average fraction of HH per month having diarrhea cases resulting in health facility visits and lost working time, WOP</t>
  </si>
  <si>
    <t>#/y</t>
  </si>
  <si>
    <t># of diarrhea cases in brgy/y, WOP</t>
  </si>
  <si>
    <t># of diarrhea case-days in brgy/y, WOP</t>
  </si>
  <si>
    <t>d/y</t>
  </si>
  <si>
    <t>Avoided lost wages due to illness</t>
  </si>
  <si>
    <t>Avoided health care costs</t>
  </si>
  <si>
    <t>Lost wages per y in brgy due to illness, WOP</t>
  </si>
  <si>
    <t>Health care costs per y in brgy, WOP</t>
  </si>
  <si>
    <t>Health care costs per y in brgy, WP</t>
  </si>
  <si>
    <t>Lost wages per y in brgy due to illness, WP</t>
  </si>
  <si>
    <t>Daily per capita consumption is on the low end, for conservatism.</t>
  </si>
  <si>
    <t>Assume that water is sold at near-marginal cost, and thus price paid is only a transfer and may be neglected</t>
  </si>
  <si>
    <r>
      <t xml:space="preserve">Diarrhea is only 10th leading cause of </t>
    </r>
    <r>
      <rPr>
        <i/>
        <sz val="10"/>
        <rFont val="Arial"/>
        <family val="2"/>
      </rPr>
      <t>infant</t>
    </r>
    <r>
      <rPr>
        <sz val="10"/>
        <rFont val="Arial"/>
        <family val="2"/>
      </rPr>
      <t xml:space="preserve"> deaths, so can reasonably neglect benefits from reduced mortality to overall population</t>
    </r>
  </si>
  <si>
    <t>In WOP scenario, health services assumed to be provided by another, more remote facility (e.g., in another brgy)</t>
  </si>
  <si>
    <t>Days BHS is open are at an average of 2.5 days/week times 50 weeks/year.</t>
  </si>
  <si>
    <t>Average willingness to pay is roughly based on NEDA Manual case.</t>
  </si>
  <si>
    <t>O&amp;M cost for midwife or nurse is 0.5 times P12,000/month times 13 months.</t>
  </si>
  <si>
    <t>O&amp;M cost for drugs and medicine is P200/patient-visit.</t>
  </si>
  <si>
    <t>HH in Barangay</t>
  </si>
  <si>
    <t># persons</t>
  </si>
  <si>
    <t># people using health facility per month, WOP</t>
  </si>
  <si>
    <t>Total Up-front Cost for barangay health station (BHS)</t>
  </si>
  <si>
    <t>Total Capital Cost for BHS</t>
  </si>
  <si>
    <t>Barangay Health Station (BHS)</t>
  </si>
  <si>
    <t>Barangay population</t>
  </si>
  <si>
    <t>Annual value of time savings from having BHS in brgy</t>
  </si>
  <si>
    <t>Table of travel times to barangay health station, WOP and WP</t>
  </si>
  <si>
    <t>Travel time (min)</t>
  </si>
  <si>
    <t>Unskilled wage rate (adjusted for underemployment and inflated to 2009)</t>
  </si>
  <si>
    <t>Unskilled wage rate (adjusted for underemployment)</t>
  </si>
  <si>
    <t>Average:</t>
  </si>
  <si>
    <t>Length of workday</t>
  </si>
  <si>
    <t>Average value of travel time per patient-visit to BHS, WOP</t>
  </si>
  <si>
    <t>Average value of travel time per patient-visit to BHS, WP</t>
  </si>
  <si>
    <t># patient-visits to BHS per y, WOP</t>
  </si>
  <si>
    <t># patient-visits to BHS per y, WP</t>
  </si>
  <si>
    <t>PHP per visit</t>
  </si>
  <si>
    <t>Benefits of decreased mortality &amp; morbidity (proxied by a portion of WTP)</t>
  </si>
  <si>
    <t>Imputed ann'l health benefits for incremental patient-visits</t>
  </si>
  <si>
    <t>2/ Unit base costs of school buildings, learning center, day care center and barangay health station are only for the building structure and does not include furniture, facilities and equipment.</t>
  </si>
  <si>
    <t>3/ Adjusted to 2009 constant PHP</t>
  </si>
  <si>
    <t>Unit Cost 2, 3/</t>
  </si>
  <si>
    <t>Annual net benefits</t>
  </si>
  <si>
    <t>Budgeted Costs</t>
  </si>
  <si>
    <t>Total Budgeted Project Costs</t>
  </si>
  <si>
    <t>Grand Total Budgeted Project Costs</t>
  </si>
  <si>
    <t>SP portfolio shares:</t>
  </si>
  <si>
    <t>Subproject types</t>
  </si>
  <si>
    <t>Level II Pump System</t>
  </si>
  <si>
    <t>Gravity System</t>
  </si>
  <si>
    <t>Pump System</t>
  </si>
  <si>
    <t>Water - 
Gravity System</t>
  </si>
  <si>
    <t>Water - 
Pump System</t>
  </si>
  <si>
    <t>Post-Harvest Facility (PHF)</t>
  </si>
  <si>
    <t>Total Up-front Cost for post-harvest facility (PHF)</t>
  </si>
  <si>
    <t>Total Capital Cost for PHF</t>
  </si>
  <si>
    <t>School Classrooms</t>
  </si>
  <si>
    <t>School Classrooms (Primary education)</t>
  </si>
  <si>
    <t>Project Year</t>
  </si>
  <si>
    <t>Gravity System (Level II)</t>
  </si>
  <si>
    <t>Pump System (Level II)</t>
  </si>
  <si>
    <t>Fraction of investment costs financed by MCC by year</t>
  </si>
  <si>
    <t>Project Year 1
= 2012</t>
  </si>
  <si>
    <t>Project Year 1
= 2013</t>
  </si>
  <si>
    <t>Project Year 1
= 2011</t>
  </si>
  <si>
    <t>Project Year 1 =</t>
  </si>
  <si>
    <t>GRAND TOTAL</t>
  </si>
  <si>
    <t>Costs other than SP Grants (2009 PHP - budgeted)</t>
  </si>
  <si>
    <t># composite proj's (by yr)</t>
  </si>
  <si>
    <t>Costs of SP Grants (2009 PHP - budgeted)</t>
  </si>
  <si>
    <t>Cost shares of SP Grants (budgeted)</t>
  </si>
  <si>
    <t>Inv. costs of SP Grants - composite projects</t>
  </si>
  <si>
    <t>Difference in last 2 cols</t>
  </si>
  <si>
    <t>Data series for BA</t>
  </si>
  <si>
    <t>Final consumption expenditure, etc. (annual % growth)</t>
  </si>
  <si>
    <t>GDP deflator (Philippines; base year = 2005)</t>
  </si>
  <si>
    <t>GDP per capita</t>
  </si>
  <si>
    <t>const. 2005 PHP</t>
  </si>
  <si>
    <t>GDP per capita, PPP</t>
  </si>
  <si>
    <t>CAGR, 1998-2008</t>
  </si>
  <si>
    <t>PPP exchange rate</t>
  </si>
  <si>
    <t>Annual growth rate</t>
  </si>
  <si>
    <t>Exchange rate</t>
  </si>
  <si>
    <t>(i.e., divide flows denominated in 2009 $ by this figure)</t>
  </si>
  <si>
    <t>Population (CIA World Factbook)</t>
  </si>
  <si>
    <t>Population growth rate (CIA World Factbook)</t>
  </si>
  <si>
    <t>(i.e., divide flows denominated in 2009 PHP by this figure)</t>
  </si>
  <si>
    <t>SP grant sizes (for budgeting purposes, in nominal terms)</t>
  </si>
  <si>
    <t>Corresponding SP grant sizes (in real terms, Project Year 1 = 2011)</t>
  </si>
  <si>
    <t>Corresponding SP grant sizes (in real terms, Project Year 2 = 2012)</t>
  </si>
  <si>
    <t>Corresponding SP grant sizes (in real terms, Project Year 3 = 2013)</t>
  </si>
  <si>
    <t>const. 2009 PHP</t>
  </si>
  <si>
    <t>BA</t>
  </si>
  <si>
    <t>Beneficiary Analysis</t>
  </si>
  <si>
    <t>(2009 const PHP)/(2005 int'l $ (PPP))</t>
  </si>
  <si>
    <t>Benefits (for BA)</t>
  </si>
  <si>
    <t>Composite project benefit stream</t>
  </si>
  <si>
    <t>Composite 
project</t>
  </si>
  <si>
    <t>Benefit stream for BA 
(million 2005 int'l $ (PPP)), undiscounted</t>
  </si>
  <si>
    <t>Benefit stream for BA 
(million 2005 int'l $ (PPP)), discounted</t>
  </si>
  <si>
    <t>All Costs for BA 
(million 2005 int'l $ (PPP)), undiscounted</t>
  </si>
  <si>
    <t>All Costs for BA 
(million 2005 int'l $ (PPP)), discounted</t>
  </si>
  <si>
    <t>Discount rate for BA</t>
  </si>
  <si>
    <t>PV(Benefit Stream), 
mln 2005 int'l $ (PPP)</t>
  </si>
  <si>
    <t>PV(All Costs), 
mln 2005 int'l $ (PPP)</t>
  </si>
  <si>
    <t>(2009 $)/(2005 int'l $ (PPP))</t>
  </si>
  <si>
    <t>PHP/(2005 int'l $ (PPP))</t>
  </si>
  <si>
    <t>const. 2005 int'l $ (PPP)</t>
  </si>
  <si>
    <t>Project Costs as % of baseline =</t>
  </si>
  <si>
    <t>Benefits as % of baseline =</t>
  </si>
  <si>
    <t>Cost resulting ERR equal to hurdle:</t>
  </si>
  <si>
    <t>Benefit resulting ERR equal to hurdle:</t>
  </si>
  <si>
    <t>Note: Project Costs exclude admin &amp; control costs</t>
  </si>
  <si>
    <t xml:space="preserve">ERR = </t>
  </si>
  <si>
    <t>Share of projects (by #)</t>
  </si>
  <si>
    <t>Unit Cost (2009US$)</t>
  </si>
  <si>
    <t>Sub-Project Type</t>
  </si>
  <si>
    <t>Subproject types, unit costs, beneficiaries, and frequencies</t>
  </si>
  <si>
    <t>Benefits modeled</t>
  </si>
  <si>
    <t>Benefits modeled by subproject type</t>
  </si>
  <si>
    <t>Increase in PV of Earnings due to 
  - Higher enrollment rate
  - Lower dropout rate</t>
  </si>
  <si>
    <t>Increase in PV of Earnings due to higher child ability
Parental time used for productive activities
Longer schooling due to reduced drop-out rates</t>
  </si>
  <si>
    <t>Savings in transport cost for agricultural inputs (e.g., fertilizer)
Reduced post-harvest losses due to shorter marketing periods, better 
  access to technology, &amp; extension services</t>
  </si>
  <si>
    <t>Time savings from decreased time spent fetching water
Health benefits from decreased morbidity from waterborne diseases</t>
  </si>
  <si>
    <t>Expected Subproject ERR</t>
  </si>
  <si>
    <t>Health benefits from decreased morbidity from more frequent BHS 
  visits, monetized via willingness to pay proxy
Value of time savings from shorter travel times to new facility</t>
  </si>
  <si>
    <t>Increased rice price (due e.g., to higher product quality and timing of 
  sales)</t>
  </si>
  <si>
    <t>Project name</t>
  </si>
  <si>
    <t>Spreadsheet version</t>
  </si>
  <si>
    <t>Investment memo, final*</t>
  </si>
  <si>
    <t>Date</t>
  </si>
  <si>
    <t>Amount of MCC funds</t>
  </si>
  <si>
    <t>Project Description</t>
  </si>
  <si>
    <t>Benefit streams included in ERR</t>
  </si>
  <si>
    <t>Costs included in ERR (other than costs borne by MCC)</t>
  </si>
  <si>
    <t>Estimated ERR and time horizon</t>
  </si>
  <si>
    <t>Worksheets in this file</t>
  </si>
  <si>
    <t>This sheet should be read first, as it offers a summary of the project, a list of components, and states the economic rationale for the project.</t>
  </si>
  <si>
    <t>ERR &amp; Sensitivity Analysis</t>
  </si>
  <si>
    <t>This sheet contains brief summary of the project's key parameters and ERR calculations, giving the user the opportunity to test the sensitivity to the ERR of various changes in parameters.</t>
  </si>
  <si>
    <t>Assumptions &amp; Data</t>
  </si>
  <si>
    <t>This worksheet includes detailed data about how cost and benefit assumptions were projected forward over the course of the project.</t>
  </si>
  <si>
    <t>Notes</t>
  </si>
  <si>
    <t>This worksheet serves as a reference for abbreviations and citations used throughout this workbook.</t>
  </si>
  <si>
    <t>* Note: Minor corrections have been incorporated into the present spreadsheet since the Investment Memo</t>
  </si>
  <si>
    <t>Summary</t>
  </si>
  <si>
    <t>Components</t>
  </si>
  <si>
    <t>Economic Rationale</t>
  </si>
  <si>
    <t>ERR and sensitivity analysis</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</si>
  <si>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</si>
  <si>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User Input</t>
  </si>
  <si>
    <t>MCC Estimate</t>
  </si>
  <si>
    <t>Plausible Range</t>
  </si>
  <si>
    <t xml:space="preserve">Values used in ERR computation </t>
  </si>
  <si>
    <t>All summary parameters set to initial values?</t>
  </si>
  <si>
    <t>Actual Costs, as a percentage of estimated costs</t>
  </si>
  <si>
    <t>Actual Benefits, as a percentage of estimated benefits</t>
  </si>
  <si>
    <t>Specific</t>
  </si>
  <si>
    <t xml:space="preserve">   More Info</t>
  </si>
  <si>
    <r>
      <t xml:space="preserve">   </t>
    </r>
    <r>
      <rPr>
        <u val="single"/>
        <sz val="10"/>
        <color indexed="12"/>
        <rFont val="Arial"/>
        <family val="2"/>
      </rPr>
      <t>Project Description</t>
    </r>
  </si>
  <si>
    <r>
      <t xml:space="preserve">   </t>
    </r>
    <r>
      <rPr>
        <u val="single"/>
        <sz val="10"/>
        <color indexed="12"/>
        <rFont val="Arial"/>
        <family val="2"/>
      </rPr>
      <t>User's Guide</t>
    </r>
  </si>
  <si>
    <t>FAOSTAT</t>
  </si>
  <si>
    <t xml:space="preserve">These are projects which are designed to deliver a public service and/or address an issue of access to basic services. These include most infrastructure projects such as roads and bridges, drainage works, irrigation systems, water systems, public school buildings, public health stations, and others. </t>
  </si>
  <si>
    <t>Community Enterprise Projects</t>
  </si>
  <si>
    <t>These are projects which are designed to directly contribute to increasing income of its intended beneficiaries. Examples include all income-generating projects and common-service facilities that are intended to provide services for profit for users and members.</t>
  </si>
  <si>
    <t>Human resource development Projects</t>
  </si>
  <si>
    <t>These are projects which are designed to increase local capacities and capabilities.</t>
  </si>
  <si>
    <t>Last updated: January 27 , 2010</t>
  </si>
  <si>
    <t>Philippines: Kalahi-Cidss: The Community Empowerment Activity Cycle (CEAC)</t>
  </si>
  <si>
    <t>12.6% over 20 years</t>
  </si>
  <si>
    <t>Public Goods/ Access Projects</t>
  </si>
  <si>
    <t>Food and Agriculture Organization of the United Nations</t>
  </si>
  <si>
    <t>XE Currency Crossrates.</t>
  </si>
  <si>
    <t>The World Bank. "Why Invest in Early Child Development (ECD)."</t>
  </si>
  <si>
    <t xml:space="preserve">Towers Watson - Philippines. </t>
  </si>
  <si>
    <t>Food and Agriculture Organization of the United Nations. (2008)</t>
  </si>
  <si>
    <t>References Cited</t>
  </si>
  <si>
    <t>Business World. (2009) "Deficit warning raised by IMF."</t>
  </si>
  <si>
    <t>Son, Hyun Hwa and Ifzal Ali. (2007) "Measuring Inclusive Growth." 
          Asian Development Bank.</t>
  </si>
  <si>
    <t>Jalan, Jyotsna and Martin Ravallion (2001). "Does Piped Water Reduce Diarrhea 
        for Children in Rural India?" The World Bank, Policy Research Working 
        Paper Series.</t>
  </si>
  <si>
    <t>Hutton, Guy and Laurence Haller (2004). "Evaluation of the Costs and Benefits of 
        Water and Sanitation Improvements at the Global Level."  World Health 
        Organization, Geneva.</t>
  </si>
  <si>
    <t>Gerochi, Hope (2001). "Returns to Education in the Philippines." Graduate 
        Research Seminar Paper. School of Economics, University of the 
        Philippines. Quezon City.</t>
  </si>
  <si>
    <t>Canlas, Dante B. (2003). "Economic Growth in the Philippines: Theory and 
        Evidence." University of the Philippines School of Economics Discussion 
        Paper No. 0304, June.</t>
  </si>
  <si>
    <t>Araral, Eduardo and Camilla Holmemo (2007). "Measuring the Costs and Benefits 
        of Community-Driven Development: The KALAHI-CIDSS Project, Philippines." 
        World Bank Social Development Papers, No. 102 (January)</t>
  </si>
  <si>
    <t>Araral, Eduardo (2009). "Impact of CDD on Infrastructure Project Corruption, Cost, 
        and Quality." Asian Development Bank.</t>
  </si>
  <si>
    <t>Values</t>
  </si>
  <si>
    <t>Time Series</t>
  </si>
  <si>
    <t>Costs and benefits taken as current 2002 currency units (usually PHP)</t>
  </si>
  <si>
    <t>Other Assumptions</t>
  </si>
  <si>
    <t>Salvage Values for Longer-Lived Projects Begun in Project Years 2012 &amp; 2013</t>
  </si>
  <si>
    <t>SP Portfolio Shares</t>
  </si>
  <si>
    <t>Present Worth Factor</t>
  </si>
  <si>
    <t>Salvage Values for Remainder of Project Life:</t>
  </si>
  <si>
    <t>Discount rates:</t>
  </si>
  <si>
    <t>Annual Net Benefits</t>
  </si>
  <si>
    <t>(Values in merged cells apply to both rehabilitation and construction)</t>
  </si>
  <si>
    <t>% Reduction</t>
  </si>
  <si>
    <t>Difference</t>
  </si>
  <si>
    <t>7 - 5</t>
  </si>
  <si>
    <t>Sum</t>
  </si>
  <si>
    <t>Shares of Educational Attainment (people 5y of age &amp; older)</t>
  </si>
  <si>
    <t>Project Benefits and Unit Costs</t>
  </si>
  <si>
    <t>This worksheet summarizes the costs and benefits associated with all CEAC sub-projects. Benefits are summarized by year, and the associated ERR is computed over a 20-year timeframe.</t>
  </si>
  <si>
    <t>Roads</t>
  </si>
  <si>
    <t>School</t>
  </si>
  <si>
    <t>This worksheet summarizes the data, assumptions, net benefits, benifiary analysis, and salvage values associated with the School Building sub-project.</t>
  </si>
  <si>
    <t>Day Care</t>
  </si>
  <si>
    <t>This worksheet summarizes the data, assumptions, net benefits, benifiary analysis, and salvage values associated with the Day Care Center sub-project.</t>
  </si>
  <si>
    <t>Subproject Data</t>
  </si>
  <si>
    <t xml:space="preserve">This sheet further disagregates sub-project benefits, unit costs, and project shares associated with each CEAC sub-project. </t>
  </si>
  <si>
    <t>Parameter Values</t>
  </si>
  <si>
    <t>The Community Empowerment Activity Cycle (CEAC) attempts to provide communities with a guide for collective action that aims (i) to empower communities to participate in decision-making in ways that will improve their skills, strengthen their sense of responsibility and human dignity, (ii) to use community projects as a vehicle to promote representation, accountability and reduce poverty, and (iii) to strengthen the linkage between communities and their local government units.</t>
  </si>
  <si>
    <t>Local Government Units</t>
  </si>
  <si>
    <t>Department of Social Welfare and Development</t>
  </si>
  <si>
    <t>Local Counterpart Contributions</t>
  </si>
  <si>
    <t>LCC</t>
  </si>
  <si>
    <r>
      <rPr>
        <sz val="10"/>
        <rFont val="Calibri"/>
        <family val="2"/>
      </rPr>
      <t xml:space="preserve">• </t>
    </r>
    <r>
      <rPr>
        <sz val="10"/>
        <rFont val="Arial"/>
        <family val="2"/>
      </rPr>
      <t>Savings in transport cost for agricultural inputs
• Reduced post-harvest losses due to shorter marketing periods, better access to technology, &amp; extension services
• Time savings from decreased time spent fetching water
• Health benefits from decreased morbidity from waterborne diseases
• Increased rice price (e.g., to higher product quality and timing of sales)
• Increase in PV of Earnings due to higher enrollment rate and lower dropout rate
• Increase in PV of Earnings due to higher child ability
• Health benefits from decreased morbidity from more frequent BHS visits 
• Value of time savings from shorter travel times to new BHS facility</t>
    </r>
  </si>
  <si>
    <t>(See "Project Benefits and Unit Costs" Worksheet for further explanation.)</t>
  </si>
  <si>
    <t xml:space="preserve">This worksheet summarizes the expected benefit streams associated with each CEAC sub-project. This sheet also disaggregates unit costs and project shares associated with each CEAC sub-project. </t>
  </si>
  <si>
    <t>This worksheet summarizes the data, assumptions, net benefits, benificiary analysis, and salvage values associated with the Post-Harvest Facility sub-project.</t>
  </si>
  <si>
    <t>This worksheet summarizes the data, assumptions, net benefits, benificiary analysis, and salvage values associated with the Road sub-projects.</t>
  </si>
  <si>
    <t>This worksheet summarizes the data, assumptions, net benefits, benificiary analysis, and salvage values associated with the Water sub-projects.</t>
  </si>
  <si>
    <t>This worksheet summarizes the data, assumptions, net benefits, beneficiary analysis, and salvage values associated with the Barangay Health Station sub-project.</t>
  </si>
  <si>
    <t>80 - 120</t>
  </si>
  <si>
    <t>5 - 20</t>
  </si>
  <si>
    <t>Net Benefits</t>
  </si>
  <si>
    <t>Portfolio Share Adjustments</t>
  </si>
  <si>
    <t>Compact Year</t>
  </si>
  <si>
    <t>Calendar Year</t>
  </si>
  <si>
    <t>Philippines: Kalahi-CIDSS: The Community Empowerment Activity Cycle (CEAC)</t>
  </si>
  <si>
    <t>Department of Social Welfare and Development (DSWD) Costs - US$ MM (rounded) $12
Local Counterpart Contributions (LCC) Costs - US$ MM (rounded) $37</t>
  </si>
  <si>
    <t>MCC administration and control costs, as a percent of total costs</t>
  </si>
  <si>
    <t>Parameter Type</t>
  </si>
  <si>
    <t>Description of Key Parameters</t>
  </si>
  <si>
    <t>Kalahi-CIDSS: The Community Empowerment Activity Cycle (CEAC)</t>
  </si>
  <si>
    <t>In general, all subprojects can be categorized under three broad project types:</t>
  </si>
  <si>
    <t>Sub-Project (SP) Net Benefit streams from SP worksheets (per modeled SP; constant 2009 PHP)</t>
  </si>
  <si>
    <t>Sub-Project (SP) Benefit streams from SP worksheets (per modeled SP; constant 2009 PHP)</t>
  </si>
  <si>
    <t>The Kalahi-CIDSS project will improve lives in rural areas by targeting communities where poverty exceeds the national average for small-scale, community-driven development projects. The project does this through the direct provision of infrastructure and services associated with community-selected and managed sub-projects, strengthened community participation in development and governance activities at the village and municipal level, and improved responsiveness of local government to community needs. Community-Driven Development (CCD) Projects are part of a strategy designed to empower communities and engage them in poverty reduction initiatives. Empowerment is promoted through active, demand-driven community participation in design, implementation and management of development activities and by putting control over resources in the hands of the poor.
The project will build on and support the participatory planning, implementation, and evaluation methodology developed by the Philippines Department of Social Welfare and Development in collaboration with the World Bank. Over the last decade, the World Bank‘s International Development Association (IDA), the Banks‘ concessional lending and grants window for the poorest countries, has focused increasingly on the CDD modality to reach local communities directly, committing an average of $1.3 billion per year towards CDD projects between 2002 and 2008.
Cross-country evidence suggests that CDD projects are more costly in terms of supervision and local cost share. However, the evidence suggests that CDD projects also tend to produce higher quality, more sustainable outcomes, and that they can be reasonably well-targeted to the poor.</t>
  </si>
  <si>
    <t>$120 million</t>
  </si>
  <si>
    <t xml:space="preserve">User-generated economic rate of return (ERR): </t>
  </si>
  <si>
    <t xml:space="preserve">MCC Estimated ERR:  </t>
  </si>
  <si>
    <t>All specific parameters set to initial values?</t>
  </si>
  <si>
    <t>Present Value (PV) of Benefits:</t>
  </si>
  <si>
    <t>Grand Total 
SP Benefits (PHP)</t>
  </si>
  <si>
    <t>Grand Total 
SP Benefits (USD)</t>
  </si>
  <si>
    <t>Present Value (PV) of Costs:</t>
  </si>
  <si>
    <t>Grand Total 
SP Net Benefits (PHP)</t>
  </si>
  <si>
    <t>Grand Total 
SP Net Benefits (USD)</t>
  </si>
  <si>
    <t>Discretionary (Must total to 100%)</t>
  </si>
  <si>
    <t>Combined Cost-Benefit</t>
  </si>
  <si>
    <t>Sensitivity Analysis</t>
  </si>
  <si>
    <t>Last updated: March 17, 2012</t>
  </si>
  <si>
    <t>-Road Rehabilitation,</t>
  </si>
  <si>
    <t>-Road Concreting,</t>
  </si>
  <si>
    <t>-Level II Pump-driven Water System,</t>
  </si>
  <si>
    <t>-Level II Gravity Water System,</t>
  </si>
  <si>
    <t>-Post-Harvest Facility,</t>
  </si>
  <si>
    <t>-School Building,</t>
  </si>
  <si>
    <t>The CEAC imitative permits communities to choose from an array of sub-projects, which may include road rehabilitation, road concreting, level II pump-driven water systems, level II gravity water systems, post-harvest facilities, school buildings, day care centers, and health stations.</t>
  </si>
  <si>
    <t>The CEAC initative allows communities to select a set of sub-projects that they would like to undertake. These may include:</t>
  </si>
  <si>
    <t>-Day Care Center</t>
  </si>
  <si>
    <t>-Health Station.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</si>
</sst>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00_);_(* \(#,##0.000\);_(* &quot;-&quot;??_);_(@_)"/>
    <numFmt numFmtId="167" formatCode="0.0000_)"/>
    <numFmt numFmtId="168" formatCode="0_)"/>
    <numFmt numFmtId="169" formatCode="_(* #,##0.0000_);_(* \(#,##0.0000\);_(* &quot;-&quot;??_);_(@_)"/>
    <numFmt numFmtId="170" formatCode="0.000E+00"/>
    <numFmt numFmtId="171" formatCode="0.0"/>
    <numFmt numFmtId="172" formatCode="_(* #,##0.00000_);_(* \(#,##0.00000\);_(* &quot;-&quot;??_);_(@_)"/>
    <numFmt numFmtId="173" formatCode="#,##0.0"/>
    <numFmt numFmtId="174" formatCode="_(* #,##0.0_);_(* \(#,##0.0\);_(* &quot;-&quot;??_);_(@_)"/>
    <numFmt numFmtId="175" formatCode="0_);\(0\)"/>
    <numFmt numFmtId="176" formatCode="0.000"/>
    <numFmt numFmtId="177" formatCode="0.000%"/>
    <numFmt numFmtId="178" formatCode="_(&quot;$&quot;* #,##0_);_(&quot;$&quot;* \(#,##0\);_(&quot;$&quot;* &quot;-&quot;??_);_(@_)"/>
  </numFmts>
  <fonts count="77">
    <font>
      <sz val="10"/>
      <name val="Arial"/>
      <family val="0"/>
    </font>
    <font>
      <sz val="11"/>
      <color indexed="8"/>
      <name val="Calibri"/>
      <family val="2"/>
    </font>
    <font>
      <b/>
      <sz val="10"/>
      <name val="Arial"/>
      <family val="2"/>
    </font>
    <font>
      <sz val="10"/>
      <name val="Courier"/>
      <family val="3"/>
    </font>
    <font>
      <b/>
      <sz val="14"/>
      <name val="Arial"/>
      <family val="2"/>
    </font>
    <font>
      <sz val="14"/>
      <name val="Arial"/>
      <family val="2"/>
    </font>
    <font>
      <sz val="12"/>
      <name val="Arial"/>
      <family val="2"/>
    </font>
    <font>
      <b/>
      <sz val="12"/>
      <name val="Arial"/>
      <family val="2"/>
    </font>
    <font>
      <b/>
      <sz val="11"/>
      <name val="Arial"/>
      <family val="2"/>
    </font>
    <font>
      <sz val="11"/>
      <name val="Arial"/>
      <family val="2"/>
    </font>
    <font>
      <u val="singleAccounting"/>
      <sz val="10"/>
      <name val="Arial"/>
      <family val="2"/>
    </font>
    <font>
      <i/>
      <sz val="10"/>
      <name val="Arial"/>
      <family val="2"/>
    </font>
    <font>
      <sz val="10"/>
      <color indexed="8"/>
      <name val="Arial"/>
      <family val="2"/>
    </font>
    <font>
      <b/>
      <sz val="11"/>
      <color indexed="8"/>
      <name val="Calibri"/>
      <family val="2"/>
    </font>
    <font>
      <sz val="8"/>
      <color indexed="17"/>
      <name val="Arial"/>
      <family val="2"/>
    </font>
    <font>
      <b/>
      <sz val="16"/>
      <name val="Arial"/>
      <family val="2"/>
    </font>
    <font>
      <u val="single"/>
      <sz val="10"/>
      <color indexed="12"/>
      <name val="Arial"/>
      <family val="2"/>
    </font>
    <font>
      <sz val="10"/>
      <color indexed="63"/>
      <name val="Arial"/>
      <family val="2"/>
    </font>
    <font>
      <b/>
      <sz val="10"/>
      <color indexed="12"/>
      <name val="Arial"/>
      <family val="2"/>
    </font>
    <font>
      <sz val="10"/>
      <color indexed="23"/>
      <name val="Arial"/>
      <family val="2"/>
    </font>
    <font>
      <b/>
      <sz val="10"/>
      <color indexed="55"/>
      <name val="Arial"/>
      <family val="2"/>
    </font>
    <font>
      <sz val="9"/>
      <color indexed="55"/>
      <name val="Arial"/>
      <family val="2"/>
    </font>
    <font>
      <sz val="10"/>
      <color indexed="12"/>
      <name val="Arial"/>
      <family val="2"/>
    </font>
    <font>
      <b/>
      <sz val="10"/>
      <color indexed="9"/>
      <name val="Arial"/>
      <family val="2"/>
    </font>
    <font>
      <b/>
      <sz val="14.5"/>
      <name val="Arial"/>
      <family val="2"/>
    </font>
    <font>
      <sz val="8"/>
      <name val="Tahoma"/>
      <family val="2"/>
    </font>
    <font>
      <sz val="10"/>
      <name val="Calibri"/>
      <family val="2"/>
    </font>
    <font>
      <b/>
      <sz val="10"/>
      <color indexed="10"/>
      <name val="Arial"/>
      <family val="2"/>
    </font>
    <font>
      <sz val="10"/>
      <color indexed="30"/>
      <name val="Arial"/>
      <family val="2"/>
    </font>
    <font>
      <sz val="10"/>
      <color indexed="62"/>
      <name val="Arial"/>
      <family val="2"/>
    </font>
    <font>
      <b/>
      <u val="single"/>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4.25"/>
      <color indexed="8"/>
      <name val="Arial"/>
      <family val="2"/>
    </font>
    <font>
      <b/>
      <sz val="14.25"/>
      <color indexed="8"/>
      <name val="Arial"/>
      <family val="2"/>
    </font>
    <font>
      <b/>
      <sz val="14.3"/>
      <color indexed="8"/>
      <name val="Arial"/>
      <family val="2"/>
    </font>
    <font>
      <b/>
      <sz val="18"/>
      <color indexed="8"/>
      <name val="Arial"/>
      <family val="2"/>
    </font>
    <font>
      <sz val="3.5"/>
      <color indexed="8"/>
      <name val="Arial"/>
      <family val="2"/>
    </font>
    <font>
      <sz val="2.25"/>
      <color indexed="8"/>
      <name val="Abadi MT Condensed Light"/>
      <family val="0"/>
    </font>
    <font>
      <b/>
      <sz val="2.25"/>
      <color indexed="8"/>
      <name val="Abadi MT Condensed Light"/>
      <family val="0"/>
    </font>
    <font>
      <b/>
      <sz val="2.75"/>
      <color indexed="8"/>
      <name val="Abadi MT Condensed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0070C0"/>
      <name val="Arial"/>
      <family val="2"/>
    </font>
    <font>
      <sz val="10"/>
      <color theme="1"/>
      <name val="Arial"/>
      <family val="2"/>
    </font>
    <font>
      <sz val="10"/>
      <color theme="3" tint="0.39998000860214233"/>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3" tint="0.79997998476028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medium"/>
      <right/>
      <top style="medium"/>
      <bottom/>
    </border>
    <border>
      <left style="medium"/>
      <right/>
      <top/>
      <bottom/>
    </border>
    <border>
      <left style="medium"/>
      <right/>
      <top/>
      <bottom style="medium"/>
    </border>
    <border>
      <left style="medium"/>
      <right style="double"/>
      <top style="medium"/>
      <bottom style="medium"/>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right/>
      <top style="thin"/>
      <bottom style="thin"/>
    </border>
    <border>
      <left/>
      <right/>
      <top style="thin"/>
      <bottom/>
    </border>
    <border>
      <left style="thin"/>
      <right style="medium"/>
      <top style="medium"/>
      <bottom style="medium"/>
    </border>
    <border>
      <left style="medium"/>
      <right style="medium"/>
      <top style="medium"/>
      <bottom/>
    </border>
    <border>
      <left/>
      <right style="thin"/>
      <top/>
      <bottom/>
    </border>
    <border>
      <left style="thin"/>
      <right/>
      <top/>
      <bottom/>
    </border>
    <border>
      <left style="thin"/>
      <right/>
      <top/>
      <bottom style="thin"/>
    </border>
    <border>
      <left/>
      <right style="thin"/>
      <top/>
      <bottom style="thin"/>
    </border>
    <border>
      <left/>
      <right style="thin"/>
      <top style="thin"/>
      <bottom/>
    </border>
    <border>
      <left style="medium"/>
      <right style="medium"/>
      <top/>
      <bottom style="medium"/>
    </border>
    <border>
      <left style="medium"/>
      <right style="medium"/>
      <top/>
      <bottom/>
    </border>
    <border>
      <left/>
      <right style="medium"/>
      <top style="medium"/>
      <bottom style="medium"/>
    </border>
    <border>
      <left style="thin"/>
      <right/>
      <top style="thin"/>
      <bottom style="thin"/>
    </border>
    <border>
      <left style="thin"/>
      <right/>
      <top style="thin"/>
      <bottom/>
    </border>
    <border>
      <left/>
      <right/>
      <top/>
      <bottom style="medium"/>
    </border>
    <border>
      <left/>
      <right style="medium"/>
      <top/>
      <bottom style="medium"/>
    </border>
    <border>
      <left style="thin"/>
      <right style="thin"/>
      <top style="thin"/>
      <bottom style="medium"/>
    </border>
    <border>
      <left style="thin"/>
      <right/>
      <top style="thin"/>
      <bottom style="medium"/>
    </border>
    <border>
      <left/>
      <right/>
      <top style="medium"/>
      <bottom/>
    </border>
    <border>
      <left style="thin"/>
      <right/>
      <top style="medium"/>
      <bottom style="medium"/>
    </border>
    <border>
      <left style="medium"/>
      <right style="thin"/>
      <top style="medium"/>
      <bottom style="medium"/>
    </border>
    <border>
      <left style="thin"/>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bottom style="medium"/>
    </border>
    <border>
      <left/>
      <right style="thin"/>
      <top style="medium"/>
      <bottom/>
    </border>
    <border>
      <left style="thin"/>
      <right style="medium"/>
      <top style="thin"/>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top style="medium"/>
      <bottom style="medium"/>
    </border>
    <border>
      <left style="thin"/>
      <right style="thin"/>
      <top/>
      <bottom style="medium"/>
    </border>
    <border>
      <left style="medium"/>
      <right/>
      <top style="thin"/>
      <bottom style="medium"/>
    </border>
    <border>
      <left/>
      <right/>
      <top style="thin"/>
      <bottom style="medium"/>
    </border>
    <border>
      <left style="medium"/>
      <right style="medium"/>
      <top style="thin"/>
      <bottom/>
    </border>
    <border>
      <left style="medium"/>
      <right style="medium"/>
      <top/>
      <bottom style="thin"/>
    </border>
    <border>
      <left/>
      <right style="medium"/>
      <top style="thin"/>
      <bottom style="medium"/>
    </border>
    <border>
      <left/>
      <right style="medium"/>
      <top style="medium"/>
      <bottom/>
    </border>
    <border>
      <left style="medium"/>
      <right style="thin"/>
      <top style="medium"/>
      <bottom/>
    </border>
    <border>
      <left/>
      <right/>
      <top style="medium"/>
      <bottom style="medium"/>
    </border>
    <border>
      <left style="medium"/>
      <right/>
      <top/>
      <bottom style="thin"/>
    </border>
    <border>
      <left/>
      <right style="medium"/>
      <top/>
      <bottom style="thin"/>
    </border>
    <border>
      <left style="thin"/>
      <right style="medium"/>
      <top style="medium"/>
      <bottom/>
    </border>
    <border>
      <left style="thin"/>
      <right style="medium"/>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3"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107">
    <xf numFmtId="0" fontId="0" fillId="0" borderId="0" xfId="0" applyAlignment="1">
      <alignment/>
    </xf>
    <xf numFmtId="0" fontId="0" fillId="0" borderId="0" xfId="0" applyAlignment="1" quotePrefix="1">
      <alignment horizontal="left"/>
    </xf>
    <xf numFmtId="167" fontId="6" fillId="0" borderId="0" xfId="64" applyFont="1">
      <alignment/>
      <protection/>
    </xf>
    <xf numFmtId="167" fontId="7" fillId="0" borderId="0" xfId="64" applyFont="1">
      <alignment/>
      <protection/>
    </xf>
    <xf numFmtId="167" fontId="7" fillId="0" borderId="0" xfId="64" applyFont="1" applyAlignment="1" applyProtection="1">
      <alignment horizontal="left"/>
      <protection/>
    </xf>
    <xf numFmtId="167" fontId="7" fillId="0" borderId="0" xfId="64" applyFont="1" applyAlignment="1" applyProtection="1">
      <alignment horizontal="center"/>
      <protection/>
    </xf>
    <xf numFmtId="168" fontId="6" fillId="0" borderId="0" xfId="64" applyNumberFormat="1" applyFont="1" applyProtection="1">
      <alignment/>
      <protection/>
    </xf>
    <xf numFmtId="167" fontId="6" fillId="0" borderId="0" xfId="64" applyFont="1" applyProtection="1">
      <alignment/>
      <protection/>
    </xf>
    <xf numFmtId="167" fontId="7" fillId="33" borderId="0" xfId="64" applyFont="1" applyFill="1" applyProtection="1">
      <alignment/>
      <protection/>
    </xf>
    <xf numFmtId="167" fontId="6" fillId="33" borderId="0" xfId="64" applyFont="1" applyFill="1" applyProtection="1">
      <alignment/>
      <protection/>
    </xf>
    <xf numFmtId="43" fontId="2" fillId="0" borderId="0" xfId="42" applyFont="1" applyAlignment="1">
      <alignment horizontal="center"/>
    </xf>
    <xf numFmtId="43" fontId="0" fillId="0" borderId="0" xfId="42" applyFont="1" applyAlignment="1">
      <alignment/>
    </xf>
    <xf numFmtId="0" fontId="0" fillId="0" borderId="0" xfId="0" applyFont="1" applyAlignment="1">
      <alignment/>
    </xf>
    <xf numFmtId="0" fontId="0" fillId="0" borderId="0" xfId="0" applyFont="1" applyAlignment="1" quotePrefix="1">
      <alignment horizontal="left"/>
    </xf>
    <xf numFmtId="9" fontId="0" fillId="0" borderId="0" xfId="68" applyFont="1" applyAlignment="1">
      <alignment/>
    </xf>
    <xf numFmtId="164" fontId="0" fillId="0" borderId="0" xfId="68" applyNumberFormat="1" applyFont="1" applyAlignment="1">
      <alignment/>
    </xf>
    <xf numFmtId="3" fontId="8" fillId="0" borderId="0" xfId="0" applyNumberFormat="1" applyFont="1" applyAlignment="1">
      <alignment horizontal="center"/>
    </xf>
    <xf numFmtId="164" fontId="8" fillId="0" borderId="0" xfId="68" applyNumberFormat="1" applyFont="1" applyAlignment="1" quotePrefix="1">
      <alignment horizontal="center"/>
    </xf>
    <xf numFmtId="0" fontId="9" fillId="0" borderId="0" xfId="0" applyFont="1" applyAlignment="1">
      <alignment/>
    </xf>
    <xf numFmtId="3" fontId="9" fillId="0" borderId="0" xfId="0" applyNumberFormat="1" applyFont="1" applyAlignment="1">
      <alignment/>
    </xf>
    <xf numFmtId="0" fontId="9" fillId="0" borderId="0" xfId="0" applyFont="1" applyAlignment="1">
      <alignment horizontal="center"/>
    </xf>
    <xf numFmtId="164" fontId="9" fillId="0" borderId="0" xfId="68" applyNumberFormat="1" applyFont="1" applyAlignment="1">
      <alignment horizontal="center"/>
    </xf>
    <xf numFmtId="164" fontId="9" fillId="0" borderId="0" xfId="68" applyNumberFormat="1" applyFont="1" applyAlignment="1">
      <alignment/>
    </xf>
    <xf numFmtId="1" fontId="9" fillId="0" borderId="0" xfId="0" applyNumberFormat="1" applyFont="1" applyAlignment="1">
      <alignment/>
    </xf>
    <xf numFmtId="0" fontId="9" fillId="0" borderId="0" xfId="0" applyFont="1" applyAlignment="1" quotePrefix="1">
      <alignment horizontal="left"/>
    </xf>
    <xf numFmtId="164" fontId="9" fillId="0" borderId="0" xfId="0" applyNumberFormat="1" applyFont="1" applyAlignment="1">
      <alignment/>
    </xf>
    <xf numFmtId="164" fontId="8" fillId="0" borderId="0" xfId="68" applyNumberFormat="1" applyFont="1" applyAlignment="1">
      <alignment/>
    </xf>
    <xf numFmtId="43" fontId="0" fillId="0" borderId="0" xfId="42" applyFont="1" applyAlignment="1">
      <alignment horizontal="center"/>
    </xf>
    <xf numFmtId="3" fontId="0" fillId="0" borderId="0" xfId="0" applyNumberFormat="1" applyFont="1" applyAlignment="1">
      <alignment/>
    </xf>
    <xf numFmtId="164" fontId="0" fillId="0" borderId="0" xfId="42" applyNumberFormat="1" applyFont="1" applyAlignment="1">
      <alignment/>
    </xf>
    <xf numFmtId="43" fontId="0" fillId="0" borderId="0" xfId="42" applyFont="1" applyAlignment="1" quotePrefix="1">
      <alignment horizontal="left"/>
    </xf>
    <xf numFmtId="43" fontId="0" fillId="0" borderId="0" xfId="42" applyFont="1" applyAlignment="1">
      <alignment horizontal="left"/>
    </xf>
    <xf numFmtId="10" fontId="0" fillId="0" borderId="0" xfId="68" applyNumberFormat="1" applyFont="1" applyAlignment="1">
      <alignment/>
    </xf>
    <xf numFmtId="165" fontId="0" fillId="0" borderId="0" xfId="42" applyNumberFormat="1" applyFont="1" applyAlignment="1">
      <alignment/>
    </xf>
    <xf numFmtId="165" fontId="0" fillId="0" borderId="0" xfId="42" applyNumberFormat="1" applyFont="1" applyAlignment="1">
      <alignment horizontal="center"/>
    </xf>
    <xf numFmtId="43" fontId="0" fillId="0" borderId="0" xfId="42" applyFont="1" applyAlignment="1" quotePrefix="1">
      <alignment horizontal="center"/>
    </xf>
    <xf numFmtId="165" fontId="0" fillId="0" borderId="0" xfId="42" applyNumberFormat="1" applyFont="1" applyAlignment="1" quotePrefix="1">
      <alignment horizontal="center"/>
    </xf>
    <xf numFmtId="169" fontId="0" fillId="0" borderId="0" xfId="42" applyNumberFormat="1" applyFont="1" applyAlignment="1">
      <alignment/>
    </xf>
    <xf numFmtId="0" fontId="0" fillId="0" borderId="0" xfId="0" applyFont="1" applyAlignment="1" quotePrefix="1">
      <alignment horizontal="center"/>
    </xf>
    <xf numFmtId="0" fontId="9" fillId="0" borderId="0" xfId="0" applyFont="1" applyAlignment="1">
      <alignment horizontal="left"/>
    </xf>
    <xf numFmtId="165" fontId="0" fillId="0" borderId="0" xfId="42" applyNumberFormat="1" applyFont="1" applyAlignment="1">
      <alignment/>
    </xf>
    <xf numFmtId="43" fontId="0" fillId="0" borderId="0" xfId="42" applyNumberFormat="1" applyFont="1" applyAlignment="1">
      <alignment/>
    </xf>
    <xf numFmtId="0" fontId="0" fillId="0" borderId="0" xfId="42" applyNumberFormat="1" applyFont="1" applyAlignment="1" quotePrefix="1">
      <alignment horizontal="left"/>
    </xf>
    <xf numFmtId="0" fontId="0" fillId="0" borderId="0" xfId="42" applyNumberFormat="1" applyFont="1" applyAlignment="1">
      <alignment/>
    </xf>
    <xf numFmtId="0" fontId="0" fillId="0" borderId="0" xfId="42" applyNumberFormat="1" applyFont="1" applyAlignment="1">
      <alignment horizontal="left"/>
    </xf>
    <xf numFmtId="0" fontId="0" fillId="0" borderId="0" xfId="0" applyFont="1" applyAlignment="1">
      <alignment horizontal="right"/>
    </xf>
    <xf numFmtId="164" fontId="0" fillId="0" borderId="0" xfId="68" applyNumberFormat="1" applyFont="1" applyAlignment="1">
      <alignment horizontal="right"/>
    </xf>
    <xf numFmtId="0" fontId="2" fillId="0" borderId="0" xfId="0" applyFont="1" applyAlignment="1">
      <alignment horizontal="center" vertical="center"/>
    </xf>
    <xf numFmtId="0" fontId="2" fillId="0" borderId="0" xfId="0" applyFont="1" applyAlignment="1" quotePrefix="1">
      <alignment horizontal="center" vertical="center" wrapText="1"/>
    </xf>
    <xf numFmtId="0" fontId="2" fillId="0" borderId="0" xfId="0" applyFont="1" applyAlignment="1">
      <alignment horizontal="center" vertical="center" wrapText="1"/>
    </xf>
    <xf numFmtId="165" fontId="0" fillId="0" borderId="0" xfId="0" applyNumberFormat="1" applyFont="1" applyAlignment="1">
      <alignment horizontal="right"/>
    </xf>
    <xf numFmtId="0" fontId="2" fillId="0" borderId="0" xfId="0" applyFont="1" applyAlignment="1" quotePrefix="1">
      <alignment horizontal="center" vertical="center"/>
    </xf>
    <xf numFmtId="43" fontId="0" fillId="0" borderId="10" xfId="42" applyFont="1" applyBorder="1" applyAlignment="1" quotePrefix="1">
      <alignment horizontal="left"/>
    </xf>
    <xf numFmtId="43" fontId="0" fillId="0" borderId="10" xfId="42" applyFont="1" applyBorder="1" applyAlignment="1">
      <alignment/>
    </xf>
    <xf numFmtId="0" fontId="0" fillId="0" borderId="11" xfId="0" applyFont="1" applyBorder="1" applyAlignment="1">
      <alignment wrapText="1"/>
    </xf>
    <xf numFmtId="0" fontId="0" fillId="0" borderId="12" xfId="0" applyFont="1" applyBorder="1" applyAlignment="1">
      <alignment wrapText="1"/>
    </xf>
    <xf numFmtId="0" fontId="0" fillId="0" borderId="10" xfId="42" applyNumberFormat="1" applyFont="1" applyBorder="1" applyAlignment="1" quotePrefix="1">
      <alignment horizontal="left"/>
    </xf>
    <xf numFmtId="0" fontId="0" fillId="0" borderId="10" xfId="42" applyNumberFormat="1" applyFont="1" applyBorder="1" applyAlignment="1">
      <alignment/>
    </xf>
    <xf numFmtId="0" fontId="8" fillId="0" borderId="0" xfId="0" applyFont="1" applyAlignment="1" quotePrefix="1">
      <alignment horizontal="center"/>
    </xf>
    <xf numFmtId="0" fontId="9" fillId="0" borderId="0" xfId="0" applyFont="1" applyAlignment="1">
      <alignment/>
    </xf>
    <xf numFmtId="0" fontId="8" fillId="0" borderId="0" xfId="0" applyFont="1" applyAlignment="1">
      <alignment horizontal="center"/>
    </xf>
    <xf numFmtId="0" fontId="7" fillId="0" borderId="0" xfId="0" applyFont="1" applyAlignment="1" quotePrefix="1">
      <alignment horizontal="center"/>
    </xf>
    <xf numFmtId="0" fontId="0" fillId="0" borderId="0" xfId="0" applyAlignment="1">
      <alignment/>
    </xf>
    <xf numFmtId="0" fontId="0" fillId="0" borderId="0" xfId="0" applyAlignment="1">
      <alignment horizontal="center"/>
    </xf>
    <xf numFmtId="0" fontId="0" fillId="0" borderId="0" xfId="0" applyFont="1" applyAlignment="1">
      <alignment/>
    </xf>
    <xf numFmtId="43" fontId="0" fillId="0" borderId="0" xfId="42" applyFont="1" applyAlignment="1">
      <alignment/>
    </xf>
    <xf numFmtId="43" fontId="0" fillId="0" borderId="10" xfId="42" applyFont="1" applyBorder="1" applyAlignment="1">
      <alignment/>
    </xf>
    <xf numFmtId="43" fontId="10" fillId="0" borderId="10" xfId="42" applyFont="1" applyBorder="1" applyAlignment="1">
      <alignment/>
    </xf>
    <xf numFmtId="43" fontId="0" fillId="34" borderId="0" xfId="42" applyFont="1" applyFill="1" applyAlignment="1">
      <alignment/>
    </xf>
    <xf numFmtId="43" fontId="0" fillId="0" borderId="0" xfId="42" applyFont="1" applyFill="1" applyAlignment="1">
      <alignment/>
    </xf>
    <xf numFmtId="0" fontId="0" fillId="0" borderId="0" xfId="0" applyAlignment="1">
      <alignment/>
    </xf>
    <xf numFmtId="43" fontId="0" fillId="0" borderId="0" xfId="42" applyFont="1" applyFill="1" applyAlignment="1">
      <alignment/>
    </xf>
    <xf numFmtId="43" fontId="0" fillId="0" borderId="0" xfId="42" applyFont="1" applyAlignment="1">
      <alignment horizontal="left"/>
    </xf>
    <xf numFmtId="43" fontId="0" fillId="0" borderId="0" xfId="42" applyFont="1" applyAlignment="1">
      <alignment horizontal="center"/>
    </xf>
    <xf numFmtId="9" fontId="0" fillId="0" borderId="0" xfId="68" applyFont="1" applyAlignment="1">
      <alignment/>
    </xf>
    <xf numFmtId="43" fontId="10" fillId="0" borderId="0" xfId="42" applyFont="1" applyBorder="1" applyAlignment="1">
      <alignment/>
    </xf>
    <xf numFmtId="43" fontId="0" fillId="0" borderId="0" xfId="42" applyFont="1" applyBorder="1" applyAlignment="1">
      <alignment/>
    </xf>
    <xf numFmtId="0" fontId="0" fillId="0" borderId="0" xfId="0" applyFont="1" applyBorder="1" applyAlignment="1">
      <alignment wrapText="1"/>
    </xf>
    <xf numFmtId="0" fontId="0" fillId="0" borderId="0" xfId="0" applyAlignment="1">
      <alignment/>
    </xf>
    <xf numFmtId="165" fontId="0" fillId="0" borderId="10" xfId="42" applyNumberFormat="1" applyFont="1" applyBorder="1" applyAlignment="1">
      <alignment horizontal="center"/>
    </xf>
    <xf numFmtId="43" fontId="0" fillId="34" borderId="0" xfId="42"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59">
      <alignment/>
      <protection/>
    </xf>
    <xf numFmtId="0" fontId="0" fillId="0" borderId="0" xfId="0" applyAlignment="1">
      <alignment/>
    </xf>
    <xf numFmtId="0" fontId="0" fillId="0" borderId="0" xfId="0" applyAlignment="1">
      <alignment/>
    </xf>
    <xf numFmtId="0" fontId="0" fillId="0" borderId="13" xfId="59" applyBorder="1">
      <alignment/>
      <protection/>
    </xf>
    <xf numFmtId="14" fontId="14" fillId="0" borderId="0" xfId="59" applyNumberFormat="1" applyFont="1" applyAlignment="1">
      <alignment horizontal="left"/>
      <protection/>
    </xf>
    <xf numFmtId="0" fontId="0" fillId="0" borderId="14" xfId="59" applyBorder="1">
      <alignment/>
      <protection/>
    </xf>
    <xf numFmtId="0" fontId="0" fillId="0" borderId="15" xfId="59" applyBorder="1">
      <alignment/>
      <protection/>
    </xf>
    <xf numFmtId="0" fontId="0" fillId="0" borderId="16" xfId="59" applyFont="1" applyBorder="1" applyAlignment="1">
      <alignment horizontal="left" vertical="center" wrapText="1"/>
      <protection/>
    </xf>
    <xf numFmtId="0" fontId="0" fillId="0" borderId="0" xfId="59" applyAlignment="1">
      <alignment vertical="center"/>
      <protection/>
    </xf>
    <xf numFmtId="0" fontId="0" fillId="0" borderId="17" xfId="59" applyFont="1" applyBorder="1" applyAlignment="1">
      <alignment horizontal="left" vertical="center" wrapText="1"/>
      <protection/>
    </xf>
    <xf numFmtId="0" fontId="0" fillId="0" borderId="17" xfId="59" applyFont="1" applyFill="1" applyBorder="1" applyAlignment="1">
      <alignment horizontal="left" vertical="center" wrapText="1"/>
      <protection/>
    </xf>
    <xf numFmtId="14" fontId="0" fillId="0" borderId="17" xfId="59" applyNumberFormat="1" applyFont="1" applyFill="1" applyBorder="1" applyAlignment="1">
      <alignment horizontal="left" vertical="center" wrapText="1"/>
      <protection/>
    </xf>
    <xf numFmtId="0" fontId="0" fillId="0" borderId="0" xfId="59" applyAlignment="1">
      <alignment wrapText="1"/>
      <protection/>
    </xf>
    <xf numFmtId="0" fontId="17" fillId="0" borderId="0" xfId="59" applyFont="1">
      <alignment/>
      <protection/>
    </xf>
    <xf numFmtId="0" fontId="0" fillId="35" borderId="0" xfId="59" applyFill="1" applyBorder="1" applyAlignment="1">
      <alignment vertical="center"/>
      <protection/>
    </xf>
    <xf numFmtId="0" fontId="0" fillId="0" borderId="0" xfId="59" applyBorder="1">
      <alignment/>
      <protection/>
    </xf>
    <xf numFmtId="0" fontId="14" fillId="0" borderId="0" xfId="59" applyFont="1" applyBorder="1" applyAlignment="1">
      <alignment horizontal="right" vertical="top"/>
      <protection/>
    </xf>
    <xf numFmtId="14" fontId="14" fillId="0" borderId="0" xfId="59" applyNumberFormat="1" applyFont="1" applyBorder="1" applyAlignment="1">
      <alignment horizontal="right" vertical="top"/>
      <protection/>
    </xf>
    <xf numFmtId="0" fontId="5" fillId="0" borderId="0" xfId="59" applyFont="1" applyBorder="1">
      <alignment/>
      <protection/>
    </xf>
    <xf numFmtId="0" fontId="7" fillId="0" borderId="0" xfId="59" applyFont="1" applyBorder="1">
      <alignment/>
      <protection/>
    </xf>
    <xf numFmtId="0" fontId="19" fillId="0" borderId="18" xfId="59" applyFont="1" applyBorder="1" applyAlignment="1">
      <alignment horizontal="center" vertical="center" wrapText="1"/>
      <protection/>
    </xf>
    <xf numFmtId="0" fontId="0" fillId="0" borderId="19" xfId="59" applyFill="1" applyBorder="1" applyAlignment="1">
      <alignment vertical="center"/>
      <protection/>
    </xf>
    <xf numFmtId="0" fontId="0" fillId="0" borderId="0" xfId="59" applyFont="1" applyBorder="1" applyAlignment="1">
      <alignment vertical="center" wrapText="1"/>
      <protection/>
    </xf>
    <xf numFmtId="9" fontId="0" fillId="0" borderId="19" xfId="59" applyNumberFormat="1" applyBorder="1" applyAlignment="1">
      <alignment horizontal="center" vertical="center"/>
      <protection/>
    </xf>
    <xf numFmtId="0" fontId="20" fillId="0" borderId="20" xfId="59" applyFont="1" applyFill="1" applyBorder="1" applyAlignment="1">
      <alignment horizontal="center" vertical="center" wrapText="1"/>
      <protection/>
    </xf>
    <xf numFmtId="0" fontId="0" fillId="0" borderId="20" xfId="59" applyFill="1" applyBorder="1" applyAlignment="1">
      <alignment vertical="center"/>
      <protection/>
    </xf>
    <xf numFmtId="0" fontId="0" fillId="0" borderId="10" xfId="59" applyFont="1" applyBorder="1" applyAlignment="1">
      <alignment vertical="center" wrapText="1"/>
      <protection/>
    </xf>
    <xf numFmtId="9" fontId="0" fillId="0" borderId="20" xfId="59" applyNumberFormat="1" applyBorder="1" applyAlignment="1">
      <alignment horizontal="center" vertical="center"/>
      <protection/>
    </xf>
    <xf numFmtId="0" fontId="2" fillId="0" borderId="21" xfId="59" applyFont="1" applyFill="1" applyBorder="1" applyAlignment="1">
      <alignment vertical="center" wrapText="1"/>
      <protection/>
    </xf>
    <xf numFmtId="0" fontId="0" fillId="0" borderId="22" xfId="65" applyFont="1" applyBorder="1" applyAlignment="1">
      <alignment vertical="center" wrapText="1"/>
      <protection/>
    </xf>
    <xf numFmtId="0" fontId="2" fillId="0" borderId="11" xfId="59" applyFont="1" applyBorder="1" applyAlignment="1">
      <alignment vertical="center"/>
      <protection/>
    </xf>
    <xf numFmtId="0" fontId="22" fillId="0" borderId="19" xfId="55" applyFont="1" applyBorder="1" applyAlignment="1" applyProtection="1">
      <alignment vertical="center"/>
      <protection/>
    </xf>
    <xf numFmtId="0" fontId="22" fillId="0" borderId="20" xfId="55" applyFont="1" applyBorder="1" applyAlignment="1" applyProtection="1">
      <alignment vertical="center"/>
      <protection/>
    </xf>
    <xf numFmtId="0" fontId="2" fillId="0" borderId="0" xfId="59" applyFont="1" applyFill="1" applyBorder="1" applyAlignment="1">
      <alignment vertical="center" wrapText="1"/>
      <protection/>
    </xf>
    <xf numFmtId="0" fontId="2" fillId="0" borderId="0" xfId="59" applyFont="1" applyBorder="1" applyAlignment="1">
      <alignment horizontal="right"/>
      <protection/>
    </xf>
    <xf numFmtId="164" fontId="23" fillId="0" borderId="0" xfId="68" applyNumberFormat="1" applyFont="1" applyFill="1" applyBorder="1" applyAlignment="1">
      <alignment horizontal="center"/>
    </xf>
    <xf numFmtId="164" fontId="2" fillId="0" borderId="0" xfId="59" applyNumberFormat="1" applyFont="1" applyBorder="1" applyAlignment="1">
      <alignment horizontal="center"/>
      <protection/>
    </xf>
    <xf numFmtId="0" fontId="0" fillId="0" borderId="23" xfId="59" applyFont="1" applyFill="1" applyBorder="1" applyAlignment="1">
      <alignment horizontal="left" vertical="center" wrapText="1"/>
      <protection/>
    </xf>
    <xf numFmtId="0" fontId="24" fillId="0" borderId="0" xfId="59" applyFont="1" applyBorder="1">
      <alignment/>
      <protection/>
    </xf>
    <xf numFmtId="0" fontId="0" fillId="0" borderId="24" xfId="59" applyFont="1" applyFill="1" applyBorder="1" applyAlignment="1">
      <alignment horizontal="left" vertical="center" wrapText="1"/>
      <protection/>
    </xf>
    <xf numFmtId="0" fontId="0" fillId="0" borderId="0" xfId="0" applyAlignment="1">
      <alignment/>
    </xf>
    <xf numFmtId="0" fontId="0" fillId="0" borderId="25" xfId="0" applyBorder="1" applyAlignment="1">
      <alignment/>
    </xf>
    <xf numFmtId="0" fontId="2" fillId="0" borderId="0" xfId="0" applyFont="1" applyFill="1" applyBorder="1" applyAlignment="1">
      <alignment/>
    </xf>
    <xf numFmtId="0" fontId="0" fillId="0" borderId="26"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64" fillId="0" borderId="26" xfId="55" applyBorder="1" applyAlignment="1" applyProtection="1">
      <alignment vertical="center"/>
      <protection/>
    </xf>
    <xf numFmtId="0" fontId="64" fillId="0" borderId="25" xfId="55" applyBorder="1" applyAlignment="1" applyProtection="1">
      <alignment horizontal="left" vertical="center"/>
      <protection/>
    </xf>
    <xf numFmtId="0" fontId="64" fillId="0" borderId="27" xfId="55" applyBorder="1" applyAlignment="1" applyProtection="1">
      <alignment vertical="center"/>
      <protection/>
    </xf>
    <xf numFmtId="0" fontId="0" fillId="0" borderId="28" xfId="0" applyBorder="1" applyAlignment="1">
      <alignment vertical="center"/>
    </xf>
    <xf numFmtId="0" fontId="0" fillId="0" borderId="18" xfId="59" applyFont="1" applyBorder="1" applyAlignment="1">
      <alignment horizontal="center" vertical="center" wrapText="1"/>
      <protection/>
    </xf>
    <xf numFmtId="9" fontId="0" fillId="0" borderId="11" xfId="59" applyNumberFormat="1" applyBorder="1" applyAlignment="1">
      <alignment horizontal="center" vertical="center"/>
      <protection/>
    </xf>
    <xf numFmtId="0" fontId="0" fillId="0" borderId="29" xfId="59" applyFont="1" applyBorder="1" applyAlignment="1">
      <alignment horizontal="center" vertical="center" wrapText="1"/>
      <protection/>
    </xf>
    <xf numFmtId="0" fontId="0" fillId="0" borderId="12" xfId="59" applyBorder="1" applyAlignment="1">
      <alignment horizontal="center" vertical="center"/>
      <protection/>
    </xf>
    <xf numFmtId="9" fontId="0" fillId="0" borderId="18" xfId="59" applyNumberFormat="1" applyBorder="1" applyAlignment="1">
      <alignment horizontal="center" vertical="center"/>
      <protection/>
    </xf>
    <xf numFmtId="9" fontId="18" fillId="0" borderId="18" xfId="59" applyNumberFormat="1" applyFont="1" applyBorder="1" applyAlignment="1">
      <alignment horizontal="center" vertical="center" wrapText="1"/>
      <protection/>
    </xf>
    <xf numFmtId="9" fontId="2" fillId="0" borderId="21" xfId="59" applyNumberFormat="1" applyFont="1" applyFill="1" applyBorder="1" applyAlignment="1">
      <alignment vertical="center" wrapText="1"/>
      <protection/>
    </xf>
    <xf numFmtId="0" fontId="0" fillId="0" borderId="30" xfId="59" applyFont="1" applyFill="1" applyBorder="1" applyAlignment="1">
      <alignment vertical="center" wrapText="1"/>
      <protection/>
    </xf>
    <xf numFmtId="0" fontId="0" fillId="0" borderId="24" xfId="59" applyFont="1" applyFill="1" applyBorder="1" applyAlignment="1">
      <alignment horizontal="left" vertical="top" wrapText="1"/>
      <protection/>
    </xf>
    <xf numFmtId="0" fontId="16" fillId="0" borderId="31" xfId="55" applyFont="1" applyFill="1" applyBorder="1" applyAlignment="1" applyProtection="1">
      <alignment vertical="top" wrapText="1"/>
      <protection/>
    </xf>
    <xf numFmtId="0" fontId="0" fillId="0" borderId="31" xfId="59" applyFont="1" applyFill="1" applyBorder="1" applyAlignment="1">
      <alignment vertical="top" wrapText="1"/>
      <protection/>
    </xf>
    <xf numFmtId="0" fontId="0" fillId="0" borderId="31" xfId="59" applyFont="1" applyFill="1" applyBorder="1" applyAlignment="1">
      <alignment horizontal="left" vertical="top" wrapText="1"/>
      <protection/>
    </xf>
    <xf numFmtId="0" fontId="16" fillId="0" borderId="31" xfId="55" applyFont="1" applyFill="1" applyBorder="1" applyAlignment="1" applyProtection="1">
      <alignment horizontal="justify" vertical="top" wrapText="1"/>
      <protection/>
    </xf>
    <xf numFmtId="0" fontId="0" fillId="0" borderId="31" xfId="59" applyFill="1" applyBorder="1" applyAlignment="1">
      <alignment wrapText="1"/>
      <protection/>
    </xf>
    <xf numFmtId="0" fontId="64" fillId="0" borderId="31" xfId="55" applyFill="1" applyBorder="1" applyAlignment="1" applyProtection="1">
      <alignment wrapText="1"/>
      <protection/>
    </xf>
    <xf numFmtId="0" fontId="0" fillId="0" borderId="31" xfId="59" applyNumberFormat="1" applyFill="1" applyBorder="1" applyAlignment="1">
      <alignment wrapText="1"/>
      <protection/>
    </xf>
    <xf numFmtId="0" fontId="64" fillId="0" borderId="31" xfId="55" applyNumberFormat="1" applyFill="1" applyBorder="1" applyAlignment="1" applyProtection="1">
      <alignment wrapText="1"/>
      <protection/>
    </xf>
    <xf numFmtId="0" fontId="0" fillId="0" borderId="31" xfId="59" applyNumberFormat="1" applyFill="1" applyBorder="1" applyAlignment="1">
      <alignment horizontal="left" vertical="top" wrapText="1"/>
      <protection/>
    </xf>
    <xf numFmtId="0" fontId="64" fillId="0" borderId="31" xfId="55" applyNumberFormat="1" applyFill="1" applyBorder="1" applyAlignment="1" applyProtection="1">
      <alignment horizontal="left" vertical="top" wrapText="1"/>
      <protection/>
    </xf>
    <xf numFmtId="0" fontId="0" fillId="0" borderId="31" xfId="59" applyNumberFormat="1" applyFill="1" applyBorder="1" applyAlignment="1">
      <alignment horizontal="left" wrapText="1"/>
      <protection/>
    </xf>
    <xf numFmtId="0" fontId="64" fillId="0" borderId="31" xfId="55" applyNumberFormat="1" applyFill="1" applyBorder="1" applyAlignment="1" applyProtection="1">
      <alignment horizontal="left" wrapText="1"/>
      <protection/>
    </xf>
    <xf numFmtId="0" fontId="0" fillId="0" borderId="31" xfId="59" applyNumberFormat="1" applyFont="1" applyFill="1" applyBorder="1" applyAlignment="1">
      <alignment wrapText="1"/>
      <protection/>
    </xf>
    <xf numFmtId="0" fontId="0" fillId="0" borderId="30" xfId="59" applyFill="1" applyBorder="1" applyAlignment="1">
      <alignment wrapText="1"/>
      <protection/>
    </xf>
    <xf numFmtId="0" fontId="0" fillId="0" borderId="32" xfId="59" applyFont="1" applyFill="1" applyBorder="1" applyAlignment="1">
      <alignment horizontal="left" vertical="center" wrapText="1"/>
      <protection/>
    </xf>
    <xf numFmtId="0" fontId="2" fillId="0" borderId="0" xfId="59" applyFont="1" applyFill="1" applyBorder="1" applyAlignment="1">
      <alignment horizontal="center" vertical="center" wrapText="1"/>
      <protection/>
    </xf>
    <xf numFmtId="9" fontId="0" fillId="0" borderId="0" xfId="59" applyNumberFormat="1" applyBorder="1">
      <alignment/>
      <protection/>
    </xf>
    <xf numFmtId="0" fontId="0" fillId="35" borderId="0" xfId="59" applyFont="1" applyFill="1" applyBorder="1" applyAlignment="1">
      <alignment horizontal="justify" vertical="center" wrapText="1"/>
      <protection/>
    </xf>
    <xf numFmtId="0" fontId="0" fillId="35" borderId="33" xfId="59" applyFont="1" applyFill="1" applyBorder="1" applyAlignment="1">
      <alignment horizontal="justify" vertical="center" wrapText="1"/>
      <protection/>
    </xf>
    <xf numFmtId="164" fontId="0" fillId="0" borderId="18" xfId="59" applyNumberFormat="1" applyBorder="1" applyAlignment="1">
      <alignment horizontal="center" vertical="center"/>
      <protection/>
    </xf>
    <xf numFmtId="164" fontId="0" fillId="0" borderId="19" xfId="59" applyNumberFormat="1" applyBorder="1" applyAlignment="1">
      <alignment horizontal="center" vertical="center"/>
      <protection/>
    </xf>
    <xf numFmtId="164" fontId="0" fillId="0" borderId="0" xfId="59" applyNumberFormat="1" applyBorder="1">
      <alignment/>
      <protection/>
    </xf>
    <xf numFmtId="0" fontId="0" fillId="0" borderId="11" xfId="65" applyFont="1" applyFill="1" applyBorder="1" applyAlignment="1">
      <alignment horizontal="center" vertical="center"/>
      <protection/>
    </xf>
    <xf numFmtId="9" fontId="0" fillId="0" borderId="11" xfId="68" applyFont="1" applyFill="1" applyBorder="1" applyAlignment="1">
      <alignment horizontal="center" vertical="center"/>
    </xf>
    <xf numFmtId="49" fontId="0" fillId="0" borderId="18" xfId="65" applyNumberFormat="1" applyFont="1" applyFill="1" applyBorder="1" applyAlignment="1">
      <alignment horizontal="center" vertical="center"/>
      <protection/>
    </xf>
    <xf numFmtId="164" fontId="23" fillId="36" borderId="11" xfId="68" applyNumberFormat="1" applyFont="1" applyFill="1" applyBorder="1" applyAlignment="1">
      <alignment horizontal="center"/>
    </xf>
    <xf numFmtId="0" fontId="0" fillId="0" borderId="0" xfId="0" applyAlignment="1">
      <alignment/>
    </xf>
    <xf numFmtId="0" fontId="0" fillId="0" borderId="0" xfId="59" applyBorder="1" applyAlignment="1">
      <alignment vertical="center"/>
      <protection/>
    </xf>
    <xf numFmtId="0" fontId="2" fillId="0" borderId="0" xfId="59" applyFont="1" applyBorder="1" applyAlignment="1">
      <alignment horizontal="center" vertical="center" wrapText="1"/>
      <protection/>
    </xf>
    <xf numFmtId="0" fontId="5" fillId="0" borderId="0" xfId="0" applyFont="1" applyAlignment="1">
      <alignment/>
    </xf>
    <xf numFmtId="0" fontId="15" fillId="35" borderId="0" xfId="59" applyFont="1" applyFill="1" applyBorder="1" applyAlignment="1">
      <alignment vertical="center"/>
      <protection/>
    </xf>
    <xf numFmtId="0" fontId="5" fillId="35" borderId="0" xfId="59" applyFont="1" applyFill="1" applyBorder="1" applyAlignment="1">
      <alignment horizontal="left" vertical="center"/>
      <protection/>
    </xf>
    <xf numFmtId="0" fontId="0" fillId="35" borderId="0" xfId="59" applyFont="1" applyFill="1" applyBorder="1" applyAlignment="1">
      <alignment vertical="center"/>
      <protection/>
    </xf>
    <xf numFmtId="0" fontId="5" fillId="35" borderId="0" xfId="59" applyFont="1" applyFill="1" applyBorder="1" applyAlignment="1">
      <alignment vertical="center"/>
      <protection/>
    </xf>
    <xf numFmtId="0" fontId="0" fillId="35" borderId="0" xfId="59" applyFill="1" applyBorder="1" applyAlignment="1">
      <alignment horizontal="left" vertical="center"/>
      <protection/>
    </xf>
    <xf numFmtId="0" fontId="0" fillId="35" borderId="0" xfId="59" applyNumberFormat="1" applyFill="1" applyBorder="1" applyAlignment="1">
      <alignment vertical="center" wrapText="1"/>
      <protection/>
    </xf>
    <xf numFmtId="0" fontId="2" fillId="35" borderId="0" xfId="59" applyFont="1" applyFill="1" applyBorder="1" applyAlignment="1">
      <alignment horizontal="justify" vertical="center" wrapText="1"/>
      <protection/>
    </xf>
    <xf numFmtId="0" fontId="2" fillId="35" borderId="0" xfId="59" applyNumberFormat="1" applyFont="1" applyFill="1" applyBorder="1" applyAlignment="1">
      <alignment horizontal="justify" vertical="center" wrapText="1"/>
      <protection/>
    </xf>
    <xf numFmtId="0" fontId="0" fillId="35" borderId="0" xfId="59" applyFont="1" applyFill="1" applyBorder="1" applyAlignment="1">
      <alignment horizontal="left" vertical="center" wrapText="1"/>
      <protection/>
    </xf>
    <xf numFmtId="0" fontId="2" fillId="35" borderId="0" xfId="59" applyFont="1" applyFill="1" applyBorder="1" applyAlignment="1">
      <alignment horizontal="left" vertical="center" wrapText="1"/>
      <protection/>
    </xf>
    <xf numFmtId="0" fontId="0" fillId="35" borderId="0" xfId="59" applyFill="1" applyBorder="1" applyAlignment="1">
      <alignment vertical="center" wrapText="1"/>
      <protection/>
    </xf>
    <xf numFmtId="9" fontId="0" fillId="37" borderId="11" xfId="59" applyNumberFormat="1" applyFont="1" applyFill="1" applyBorder="1" applyAlignment="1">
      <alignment horizontal="center" vertical="center"/>
      <protection/>
    </xf>
    <xf numFmtId="9" fontId="0" fillId="37" borderId="18" xfId="68" applyFont="1" applyFill="1" applyBorder="1" applyAlignment="1">
      <alignment horizontal="center" vertical="center"/>
    </xf>
    <xf numFmtId="9" fontId="0" fillId="37" borderId="19" xfId="68" applyFont="1" applyFill="1" applyBorder="1" applyAlignment="1">
      <alignment horizontal="center" vertical="center"/>
    </xf>
    <xf numFmtId="9" fontId="0" fillId="37" borderId="20" xfId="68" applyFont="1" applyFill="1" applyBorder="1" applyAlignment="1">
      <alignment horizontal="center" vertical="center"/>
    </xf>
    <xf numFmtId="9" fontId="18" fillId="38" borderId="33" xfId="59" applyNumberFormat="1" applyFont="1" applyFill="1" applyBorder="1" applyAlignment="1">
      <alignment horizontal="center" vertical="center"/>
      <protection/>
    </xf>
    <xf numFmtId="9" fontId="18" fillId="38" borderId="34" xfId="68" applyFont="1" applyFill="1" applyBorder="1" applyAlignment="1">
      <alignment horizontal="center" vertical="center"/>
    </xf>
    <xf numFmtId="9" fontId="18" fillId="38" borderId="18" xfId="68" applyFont="1" applyFill="1" applyBorder="1" applyAlignment="1">
      <alignment horizontal="center" vertical="center"/>
    </xf>
    <xf numFmtId="9" fontId="18" fillId="38" borderId="19" xfId="68" applyFont="1" applyFill="1" applyBorder="1" applyAlignment="1">
      <alignment horizontal="center" vertical="center"/>
    </xf>
    <xf numFmtId="9" fontId="18" fillId="38" borderId="20" xfId="68" applyFont="1" applyFill="1" applyBorder="1" applyAlignment="1">
      <alignment horizontal="center" vertical="center"/>
    </xf>
    <xf numFmtId="9" fontId="18" fillId="38" borderId="11" xfId="68" applyNumberFormat="1" applyFont="1" applyFill="1" applyBorder="1" applyAlignment="1">
      <alignment horizontal="center" vertical="center"/>
    </xf>
    <xf numFmtId="0" fontId="2" fillId="0" borderId="0" xfId="0" applyFont="1" applyFill="1" applyAlignment="1">
      <alignment horizontal="right"/>
    </xf>
    <xf numFmtId="178" fontId="2" fillId="0" borderId="11" xfId="47" applyNumberFormat="1" applyFont="1" applyFill="1" applyBorder="1" applyAlignment="1">
      <alignment/>
    </xf>
    <xf numFmtId="178" fontId="2" fillId="0" borderId="0" xfId="47" applyNumberFormat="1" applyFont="1" applyFill="1" applyAlignment="1">
      <alignment/>
    </xf>
    <xf numFmtId="0" fontId="14" fillId="0" borderId="0" xfId="59" applyFont="1" applyBorder="1" applyAlignment="1">
      <alignment horizontal="right"/>
      <protection/>
    </xf>
    <xf numFmtId="0" fontId="0" fillId="0" borderId="35" xfId="59" applyBorder="1">
      <alignment/>
      <protection/>
    </xf>
    <xf numFmtId="0" fontId="64" fillId="0" borderId="17" xfId="55" applyFill="1" applyBorder="1" applyAlignment="1" applyProtection="1">
      <alignment horizontal="left" vertical="center" wrapText="1"/>
      <protection/>
    </xf>
    <xf numFmtId="0" fontId="24" fillId="39" borderId="0" xfId="59" applyFont="1" applyFill="1" applyBorder="1">
      <alignment/>
      <protection/>
    </xf>
    <xf numFmtId="0" fontId="0" fillId="39" borderId="0" xfId="59" applyFill="1" applyBorder="1">
      <alignment/>
      <protection/>
    </xf>
    <xf numFmtId="0" fontId="14" fillId="39" borderId="0" xfId="59" applyFont="1" applyFill="1" applyBorder="1" applyAlignment="1">
      <alignment horizontal="right" vertical="top"/>
      <protection/>
    </xf>
    <xf numFmtId="14" fontId="14" fillId="39" borderId="0" xfId="59" applyNumberFormat="1" applyFont="1" applyFill="1" applyBorder="1" applyAlignment="1">
      <alignment horizontal="right" vertical="top"/>
      <protection/>
    </xf>
    <xf numFmtId="165" fontId="72" fillId="39" borderId="0" xfId="42" applyNumberFormat="1" applyFont="1" applyFill="1" applyAlignment="1">
      <alignment/>
    </xf>
    <xf numFmtId="0" fontId="0" fillId="39" borderId="0" xfId="42" applyNumberFormat="1" applyFont="1" applyFill="1" applyAlignment="1">
      <alignment horizontal="center"/>
    </xf>
    <xf numFmtId="165" fontId="0" fillId="39" borderId="0" xfId="42" applyNumberFormat="1" applyFont="1" applyFill="1" applyAlignment="1">
      <alignment/>
    </xf>
    <xf numFmtId="0" fontId="0" fillId="39" borderId="0" xfId="0" applyFill="1" applyAlignment="1">
      <alignment/>
    </xf>
    <xf numFmtId="165" fontId="0" fillId="39" borderId="0" xfId="42" applyNumberFormat="1" applyFont="1" applyFill="1" applyBorder="1" applyAlignment="1">
      <alignment/>
    </xf>
    <xf numFmtId="0" fontId="0" fillId="39" borderId="0" xfId="0" applyFont="1" applyFill="1" applyAlignment="1">
      <alignment/>
    </xf>
    <xf numFmtId="0" fontId="5" fillId="39" borderId="0" xfId="0" applyFont="1" applyFill="1" applyAlignment="1">
      <alignment/>
    </xf>
    <xf numFmtId="165" fontId="0" fillId="39" borderId="0" xfId="42" applyNumberFormat="1" applyFont="1" applyFill="1" applyAlignment="1">
      <alignment horizontal="right"/>
    </xf>
    <xf numFmtId="164" fontId="0" fillId="39" borderId="0" xfId="68" applyNumberFormat="1" applyFont="1" applyFill="1" applyAlignment="1">
      <alignment/>
    </xf>
    <xf numFmtId="164" fontId="0" fillId="39" borderId="0" xfId="68" applyNumberFormat="1" applyFont="1" applyFill="1" applyAlignment="1">
      <alignment horizontal="center"/>
    </xf>
    <xf numFmtId="165" fontId="0" fillId="39" borderId="0" xfId="42" applyNumberFormat="1" applyFont="1" applyFill="1" applyBorder="1" applyAlignment="1">
      <alignment horizontal="left"/>
    </xf>
    <xf numFmtId="164" fontId="0" fillId="39" borderId="0" xfId="68" applyNumberFormat="1" applyFont="1" applyFill="1" applyBorder="1" applyAlignment="1">
      <alignment horizontal="center"/>
    </xf>
    <xf numFmtId="0" fontId="2" fillId="39" borderId="0" xfId="0" applyFont="1" applyFill="1" applyAlignment="1">
      <alignment/>
    </xf>
    <xf numFmtId="165" fontId="0" fillId="39" borderId="0" xfId="42" applyNumberFormat="1" applyFont="1" applyFill="1" applyAlignment="1">
      <alignment/>
    </xf>
    <xf numFmtId="164" fontId="0" fillId="39" borderId="0" xfId="68" applyNumberFormat="1" applyFont="1" applyFill="1" applyAlignment="1">
      <alignment horizontal="center"/>
    </xf>
    <xf numFmtId="165" fontId="2" fillId="39" borderId="0" xfId="42" applyNumberFormat="1" applyFont="1" applyFill="1" applyAlignment="1">
      <alignment/>
    </xf>
    <xf numFmtId="9" fontId="0" fillId="39" borderId="0" xfId="0" applyNumberFormat="1" applyFill="1" applyBorder="1" applyAlignment="1">
      <alignment horizontal="center"/>
    </xf>
    <xf numFmtId="0" fontId="0" fillId="39" borderId="0" xfId="0" applyFill="1" applyAlignment="1">
      <alignment horizontal="center"/>
    </xf>
    <xf numFmtId="0" fontId="11" fillId="39" borderId="0" xfId="0" applyFont="1" applyFill="1" applyAlignment="1">
      <alignment horizontal="left"/>
    </xf>
    <xf numFmtId="3" fontId="0" fillId="39" borderId="0" xfId="0" applyNumberFormat="1" applyFill="1" applyAlignment="1">
      <alignment horizontal="center"/>
    </xf>
    <xf numFmtId="165" fontId="2" fillId="39" borderId="0" xfId="42" applyNumberFormat="1" applyFont="1" applyFill="1" applyBorder="1" applyAlignment="1">
      <alignment horizontal="center"/>
    </xf>
    <xf numFmtId="165" fontId="2" fillId="39" borderId="0" xfId="42" applyNumberFormat="1" applyFont="1" applyFill="1" applyAlignment="1">
      <alignment/>
    </xf>
    <xf numFmtId="165" fontId="2" fillId="39" borderId="15" xfId="42" applyNumberFormat="1" applyFont="1" applyFill="1" applyBorder="1" applyAlignment="1">
      <alignment horizontal="center" vertical="center"/>
    </xf>
    <xf numFmtId="165" fontId="2" fillId="39" borderId="30" xfId="42" applyNumberFormat="1" applyFont="1" applyFill="1" applyBorder="1" applyAlignment="1">
      <alignment horizontal="center" vertical="center"/>
    </xf>
    <xf numFmtId="165" fontId="2" fillId="39" borderId="36" xfId="42" applyNumberFormat="1" applyFont="1" applyFill="1" applyBorder="1" applyAlignment="1">
      <alignment horizontal="center" vertical="center"/>
    </xf>
    <xf numFmtId="165" fontId="0" fillId="39" borderId="0" xfId="42" applyNumberFormat="1" applyFont="1" applyFill="1" applyAlignment="1">
      <alignment/>
    </xf>
    <xf numFmtId="165" fontId="2" fillId="39" borderId="26" xfId="42" applyNumberFormat="1" applyFont="1" applyFill="1" applyBorder="1" applyAlignment="1">
      <alignment horizontal="center"/>
    </xf>
    <xf numFmtId="0" fontId="0" fillId="39" borderId="19" xfId="42" applyNumberFormat="1" applyFont="1" applyFill="1" applyBorder="1" applyAlignment="1">
      <alignment horizontal="center"/>
    </xf>
    <xf numFmtId="165" fontId="0" fillId="39" borderId="19" xfId="42" applyNumberFormat="1" applyFont="1" applyFill="1" applyBorder="1" applyAlignment="1">
      <alignment/>
    </xf>
    <xf numFmtId="165" fontId="2" fillId="39" borderId="19" xfId="42" applyNumberFormat="1" applyFont="1" applyFill="1" applyBorder="1" applyAlignment="1">
      <alignment horizontal="center"/>
    </xf>
    <xf numFmtId="165" fontId="0" fillId="39" borderId="37" xfId="42" applyNumberFormat="1" applyFont="1" applyFill="1" applyBorder="1" applyAlignment="1">
      <alignment horizontal="center" vertical="center" wrapText="1"/>
    </xf>
    <xf numFmtId="165" fontId="0" fillId="39" borderId="38" xfId="42" applyNumberFormat="1" applyFont="1" applyFill="1" applyBorder="1" applyAlignment="1">
      <alignment horizontal="center" vertical="center" wrapText="1"/>
    </xf>
    <xf numFmtId="165" fontId="0" fillId="39" borderId="39" xfId="42" applyNumberFormat="1" applyFont="1" applyFill="1" applyBorder="1" applyAlignment="1">
      <alignment horizontal="center" vertical="center" wrapText="1"/>
    </xf>
    <xf numFmtId="165" fontId="0" fillId="39" borderId="33" xfId="42" applyNumberFormat="1" applyFont="1" applyFill="1" applyBorder="1" applyAlignment="1">
      <alignment horizontal="center" vertical="center" wrapText="1"/>
    </xf>
    <xf numFmtId="165" fontId="0" fillId="39" borderId="21" xfId="42" applyNumberFormat="1" applyFont="1" applyFill="1" applyBorder="1" applyAlignment="1">
      <alignment horizontal="center" vertical="center" wrapText="1"/>
    </xf>
    <xf numFmtId="165" fontId="0" fillId="39" borderId="12" xfId="42" applyNumberFormat="1" applyFont="1" applyFill="1" applyBorder="1" applyAlignment="1">
      <alignment horizontal="center" vertical="center" wrapText="1"/>
    </xf>
    <xf numFmtId="37" fontId="0" fillId="39" borderId="26" xfId="42" applyNumberFormat="1" applyFont="1" applyFill="1" applyBorder="1" applyAlignment="1">
      <alignment/>
    </xf>
    <xf numFmtId="3" fontId="0" fillId="39" borderId="0" xfId="42" applyNumberFormat="1" applyFont="1" applyFill="1" applyBorder="1" applyAlignment="1">
      <alignment/>
    </xf>
    <xf numFmtId="3" fontId="0" fillId="39" borderId="19" xfId="42" applyNumberFormat="1" applyFont="1" applyFill="1" applyBorder="1" applyAlignment="1">
      <alignment/>
    </xf>
    <xf numFmtId="3" fontId="0" fillId="39" borderId="0" xfId="42" applyNumberFormat="1" applyFont="1" applyFill="1" applyBorder="1" applyAlignment="1">
      <alignment/>
    </xf>
    <xf numFmtId="165" fontId="0" fillId="39" borderId="26" xfId="42" applyNumberFormat="1" applyFont="1" applyFill="1" applyBorder="1" applyAlignment="1">
      <alignment/>
    </xf>
    <xf numFmtId="165" fontId="0" fillId="39" borderId="19" xfId="42" applyNumberFormat="1" applyFont="1" applyFill="1" applyBorder="1" applyAlignment="1">
      <alignment/>
    </xf>
    <xf numFmtId="43" fontId="0" fillId="39" borderId="19" xfId="42" applyNumberFormat="1" applyFont="1" applyFill="1" applyBorder="1" applyAlignment="1">
      <alignment/>
    </xf>
    <xf numFmtId="165" fontId="0" fillId="39" borderId="26" xfId="42" applyNumberFormat="1" applyFont="1" applyFill="1" applyBorder="1" applyAlignment="1">
      <alignment/>
    </xf>
    <xf numFmtId="165" fontId="0" fillId="39" borderId="18" xfId="42" applyNumberFormat="1" applyFont="1" applyFill="1" applyBorder="1" applyAlignment="1">
      <alignment/>
    </xf>
    <xf numFmtId="165" fontId="0" fillId="39" borderId="34" xfId="42" applyNumberFormat="1" applyFont="1" applyFill="1" applyBorder="1" applyAlignment="1">
      <alignment/>
    </xf>
    <xf numFmtId="165" fontId="0" fillId="39" borderId="0" xfId="42" applyNumberFormat="1" applyFont="1" applyFill="1" applyBorder="1" applyAlignment="1">
      <alignment/>
    </xf>
    <xf numFmtId="3" fontId="0" fillId="39" borderId="18" xfId="42" applyNumberFormat="1" applyFont="1" applyFill="1" applyBorder="1" applyAlignment="1">
      <alignment/>
    </xf>
    <xf numFmtId="9" fontId="0" fillId="39" borderId="18" xfId="42" applyNumberFormat="1" applyFont="1" applyFill="1" applyBorder="1" applyAlignment="1">
      <alignment/>
    </xf>
    <xf numFmtId="9" fontId="0" fillId="39" borderId="34" xfId="42" applyNumberFormat="1" applyFont="1" applyFill="1" applyBorder="1" applyAlignment="1">
      <alignment/>
    </xf>
    <xf numFmtId="3" fontId="0" fillId="39" borderId="18" xfId="42" applyNumberFormat="1" applyFont="1" applyFill="1" applyBorder="1" applyAlignment="1">
      <alignment/>
    </xf>
    <xf numFmtId="3" fontId="0" fillId="39" borderId="34" xfId="42" applyNumberFormat="1" applyFont="1" applyFill="1" applyBorder="1" applyAlignment="1">
      <alignment/>
    </xf>
    <xf numFmtId="175" fontId="0" fillId="39" borderId="18" xfId="42" applyNumberFormat="1" applyFont="1" applyFill="1" applyBorder="1" applyAlignment="1">
      <alignment/>
    </xf>
    <xf numFmtId="43" fontId="0" fillId="39" borderId="18" xfId="42" applyNumberFormat="1" applyFont="1" applyFill="1" applyBorder="1" applyAlignment="1">
      <alignment/>
    </xf>
    <xf numFmtId="3" fontId="0" fillId="39" borderId="19" xfId="42" applyNumberFormat="1" applyFont="1" applyFill="1" applyBorder="1" applyAlignment="1">
      <alignment/>
    </xf>
    <xf numFmtId="3" fontId="0" fillId="39" borderId="40" xfId="42" applyNumberFormat="1" applyFont="1" applyFill="1" applyBorder="1" applyAlignment="1">
      <alignment horizontal="center"/>
    </xf>
    <xf numFmtId="3" fontId="0" fillId="39" borderId="26" xfId="42" applyNumberFormat="1" applyFont="1" applyFill="1" applyBorder="1" applyAlignment="1">
      <alignment/>
    </xf>
    <xf numFmtId="9" fontId="0" fillId="39" borderId="19" xfId="42" applyNumberFormat="1" applyFont="1" applyFill="1" applyBorder="1" applyAlignment="1">
      <alignment/>
    </xf>
    <xf numFmtId="9" fontId="0" fillId="39" borderId="26" xfId="42" applyNumberFormat="1" applyFont="1" applyFill="1" applyBorder="1" applyAlignment="1">
      <alignment/>
    </xf>
    <xf numFmtId="3" fontId="0" fillId="39" borderId="26" xfId="42" applyNumberFormat="1" applyFont="1" applyFill="1" applyBorder="1" applyAlignment="1">
      <alignment/>
    </xf>
    <xf numFmtId="175" fontId="0" fillId="39" borderId="19" xfId="42" applyNumberFormat="1" applyFont="1" applyFill="1" applyBorder="1" applyAlignment="1">
      <alignment/>
    </xf>
    <xf numFmtId="43" fontId="0" fillId="39" borderId="19" xfId="42" applyNumberFormat="1" applyFont="1" applyFill="1" applyBorder="1" applyAlignment="1">
      <alignment/>
    </xf>
    <xf numFmtId="3" fontId="0" fillId="39" borderId="19" xfId="42" applyNumberFormat="1" applyFont="1" applyFill="1" applyBorder="1" applyAlignment="1" quotePrefix="1">
      <alignment/>
    </xf>
    <xf numFmtId="169" fontId="0" fillId="39" borderId="0" xfId="42" applyNumberFormat="1" applyFont="1" applyFill="1" applyAlignment="1">
      <alignment/>
    </xf>
    <xf numFmtId="3" fontId="0" fillId="39" borderId="22" xfId="42" applyNumberFormat="1" applyFont="1" applyFill="1" applyBorder="1" applyAlignment="1">
      <alignment/>
    </xf>
    <xf numFmtId="3" fontId="0" fillId="39" borderId="22" xfId="42" applyNumberFormat="1" applyFont="1" applyFill="1" applyBorder="1" applyAlignment="1">
      <alignment/>
    </xf>
    <xf numFmtId="3" fontId="0" fillId="39" borderId="34" xfId="42" applyNumberFormat="1" applyFont="1" applyFill="1" applyBorder="1" applyAlignment="1">
      <alignment/>
    </xf>
    <xf numFmtId="3" fontId="0" fillId="39" borderId="0" xfId="42" applyNumberFormat="1" applyFont="1" applyFill="1" applyAlignment="1">
      <alignment/>
    </xf>
    <xf numFmtId="3" fontId="0" fillId="39" borderId="10" xfId="42" applyNumberFormat="1" applyFont="1" applyFill="1" applyBorder="1" applyAlignment="1">
      <alignment/>
    </xf>
    <xf numFmtId="3" fontId="0" fillId="39" borderId="20" xfId="42" applyNumberFormat="1" applyFont="1" applyFill="1" applyBorder="1" applyAlignment="1">
      <alignment/>
    </xf>
    <xf numFmtId="3" fontId="0" fillId="39" borderId="27" xfId="42" applyNumberFormat="1" applyFont="1" applyFill="1" applyBorder="1" applyAlignment="1">
      <alignment/>
    </xf>
    <xf numFmtId="3" fontId="0" fillId="39" borderId="20" xfId="42" applyNumberFormat="1" applyFont="1" applyFill="1" applyBorder="1" applyAlignment="1">
      <alignment/>
    </xf>
    <xf numFmtId="3" fontId="0" fillId="39" borderId="26" xfId="0" applyNumberFormat="1" applyFill="1" applyBorder="1" applyAlignment="1">
      <alignment/>
    </xf>
    <xf numFmtId="165" fontId="0" fillId="39" borderId="15" xfId="42" applyNumberFormat="1" applyFont="1" applyFill="1" applyBorder="1" applyAlignment="1">
      <alignment horizontal="right"/>
    </xf>
    <xf numFmtId="165" fontId="0" fillId="39" borderId="35" xfId="42" applyNumberFormat="1" applyFont="1" applyFill="1" applyBorder="1" applyAlignment="1">
      <alignment horizontal="right"/>
    </xf>
    <xf numFmtId="165" fontId="0" fillId="39" borderId="35" xfId="42" applyNumberFormat="1" applyFont="1" applyFill="1" applyBorder="1" applyAlignment="1">
      <alignment/>
    </xf>
    <xf numFmtId="164" fontId="0" fillId="39" borderId="11" xfId="68" applyNumberFormat="1" applyFont="1" applyFill="1" applyBorder="1" applyAlignment="1">
      <alignment horizontal="center"/>
    </xf>
    <xf numFmtId="165" fontId="0" fillId="39" borderId="35" xfId="42" applyNumberFormat="1" applyFont="1" applyFill="1" applyBorder="1" applyAlignment="1">
      <alignment/>
    </xf>
    <xf numFmtId="10" fontId="0" fillId="39" borderId="11" xfId="68" applyNumberFormat="1" applyFont="1" applyFill="1" applyBorder="1" applyAlignment="1">
      <alignment/>
    </xf>
    <xf numFmtId="10" fontId="0" fillId="39" borderId="21" xfId="68" applyNumberFormat="1" applyFont="1" applyFill="1" applyBorder="1" applyAlignment="1">
      <alignment/>
    </xf>
    <xf numFmtId="10" fontId="0" fillId="39" borderId="33" xfId="68" applyNumberFormat="1" applyFont="1" applyFill="1" applyBorder="1" applyAlignment="1">
      <alignment/>
    </xf>
    <xf numFmtId="165" fontId="0" fillId="39" borderId="20" xfId="42" applyNumberFormat="1" applyFont="1" applyFill="1" applyBorder="1" applyAlignment="1">
      <alignment/>
    </xf>
    <xf numFmtId="164" fontId="0" fillId="39" borderId="20" xfId="68" applyNumberFormat="1" applyFont="1" applyFill="1" applyBorder="1" applyAlignment="1">
      <alignment/>
    </xf>
    <xf numFmtId="165" fontId="0" fillId="39" borderId="20" xfId="42" applyNumberFormat="1" applyFont="1" applyFill="1" applyBorder="1" applyAlignment="1">
      <alignment/>
    </xf>
    <xf numFmtId="165" fontId="0" fillId="39" borderId="27" xfId="42" applyNumberFormat="1" applyFont="1" applyFill="1" applyBorder="1" applyAlignment="1">
      <alignment/>
    </xf>
    <xf numFmtId="171" fontId="0" fillId="39" borderId="11" xfId="0" applyNumberFormat="1" applyFill="1" applyBorder="1" applyAlignment="1">
      <alignment/>
    </xf>
    <xf numFmtId="0" fontId="0" fillId="39" borderId="20" xfId="0" applyFill="1" applyBorder="1" applyAlignment="1">
      <alignment/>
    </xf>
    <xf numFmtId="165" fontId="2" fillId="39" borderId="0" xfId="42" applyNumberFormat="1" applyFont="1" applyFill="1" applyBorder="1" applyAlignment="1">
      <alignment/>
    </xf>
    <xf numFmtId="164" fontId="2" fillId="39" borderId="0" xfId="68" applyNumberFormat="1" applyFont="1" applyFill="1" applyBorder="1" applyAlignment="1">
      <alignment horizontal="center"/>
    </xf>
    <xf numFmtId="9" fontId="2" fillId="39" borderId="0" xfId="68" applyFont="1" applyFill="1" applyBorder="1" applyAlignment="1">
      <alignment horizontal="center"/>
    </xf>
    <xf numFmtId="165" fontId="0" fillId="39" borderId="0" xfId="42" applyNumberFormat="1" applyFont="1" applyFill="1" applyAlignment="1">
      <alignment/>
    </xf>
    <xf numFmtId="0" fontId="2" fillId="39" borderId="0" xfId="0" applyFont="1" applyFill="1" applyAlignment="1">
      <alignment horizontal="right"/>
    </xf>
    <xf numFmtId="9" fontId="0" fillId="39" borderId="11" xfId="0" applyNumberFormat="1" applyFill="1" applyBorder="1" applyAlignment="1">
      <alignment horizontal="center"/>
    </xf>
    <xf numFmtId="165" fontId="2" fillId="39" borderId="26" xfId="42" applyNumberFormat="1" applyFont="1" applyFill="1" applyBorder="1" applyAlignment="1">
      <alignment/>
    </xf>
    <xf numFmtId="165" fontId="2" fillId="39" borderId="34" xfId="42" applyNumberFormat="1" applyFont="1" applyFill="1" applyBorder="1" applyAlignment="1">
      <alignment/>
    </xf>
    <xf numFmtId="165" fontId="0" fillId="39" borderId="26" xfId="42" applyNumberFormat="1" applyFont="1" applyFill="1" applyBorder="1" applyAlignment="1">
      <alignment horizontal="center" vertical="center" wrapText="1"/>
    </xf>
    <xf numFmtId="0" fontId="0" fillId="39" borderId="41" xfId="42" applyNumberFormat="1" applyFont="1" applyFill="1" applyBorder="1" applyAlignment="1">
      <alignment horizontal="center" vertical="center" wrapText="1"/>
    </xf>
    <xf numFmtId="165" fontId="0" fillId="39" borderId="42" xfId="42" applyNumberFormat="1" applyFont="1" applyFill="1" applyBorder="1" applyAlignment="1">
      <alignment horizontal="center" vertical="center"/>
    </xf>
    <xf numFmtId="165" fontId="0" fillId="39" borderId="42" xfId="42" applyNumberFormat="1" applyFont="1" applyFill="1" applyBorder="1" applyAlignment="1">
      <alignment horizontal="center" vertical="center" wrapText="1"/>
    </xf>
    <xf numFmtId="165" fontId="0" fillId="39" borderId="42" xfId="42" applyNumberFormat="1" applyFont="1" applyFill="1" applyBorder="1" applyAlignment="1">
      <alignment horizontal="center" vertical="center" wrapText="1"/>
    </xf>
    <xf numFmtId="165" fontId="0" fillId="39" borderId="18" xfId="42" applyNumberFormat="1" applyFont="1" applyFill="1" applyBorder="1" applyAlignment="1">
      <alignment horizontal="center" vertical="center" wrapText="1"/>
    </xf>
    <xf numFmtId="0" fontId="0" fillId="39" borderId="11" xfId="42" applyNumberFormat="1" applyFont="1" applyFill="1" applyBorder="1" applyAlignment="1">
      <alignment horizontal="center" vertical="center" wrapText="1"/>
    </xf>
    <xf numFmtId="165" fontId="0" fillId="39" borderId="11" xfId="42" applyNumberFormat="1" applyFont="1" applyFill="1" applyBorder="1" applyAlignment="1">
      <alignment horizontal="center" vertical="center"/>
    </xf>
    <xf numFmtId="165" fontId="0" fillId="39" borderId="11" xfId="42" applyNumberFormat="1" applyFont="1" applyFill="1" applyBorder="1" applyAlignment="1">
      <alignment horizontal="center" vertical="center" wrapText="1"/>
    </xf>
    <xf numFmtId="165" fontId="0" fillId="39" borderId="11" xfId="42" applyNumberFormat="1" applyFont="1" applyFill="1" applyBorder="1" applyAlignment="1">
      <alignment horizontal="center" vertical="center" wrapText="1"/>
    </xf>
    <xf numFmtId="165" fontId="0" fillId="39" borderId="26" xfId="42" applyNumberFormat="1" applyFont="1" applyFill="1" applyBorder="1" applyAlignment="1">
      <alignment/>
    </xf>
    <xf numFmtId="3" fontId="0" fillId="39" borderId="43" xfId="42" applyNumberFormat="1" applyFont="1" applyFill="1" applyBorder="1" applyAlignment="1">
      <alignment horizontal="right"/>
    </xf>
    <xf numFmtId="3" fontId="0" fillId="39" borderId="20" xfId="42" applyNumberFormat="1" applyFont="1" applyFill="1" applyBorder="1" applyAlignment="1">
      <alignment horizontal="right"/>
    </xf>
    <xf numFmtId="3" fontId="0" fillId="39" borderId="18" xfId="42" applyNumberFormat="1" applyFont="1" applyFill="1" applyBorder="1" applyAlignment="1">
      <alignment horizontal="right"/>
    </xf>
    <xf numFmtId="3" fontId="0" fillId="39" borderId="0" xfId="42" applyNumberFormat="1" applyFont="1" applyFill="1" applyBorder="1" applyAlignment="1">
      <alignment horizontal="right"/>
    </xf>
    <xf numFmtId="3" fontId="0" fillId="39" borderId="44" xfId="42" applyNumberFormat="1" applyFont="1" applyFill="1" applyBorder="1" applyAlignment="1">
      <alignment horizontal="right"/>
    </xf>
    <xf numFmtId="3" fontId="0" fillId="39" borderId="11" xfId="42" applyNumberFormat="1" applyFont="1" applyFill="1" applyBorder="1" applyAlignment="1">
      <alignment horizontal="right"/>
    </xf>
    <xf numFmtId="3" fontId="0" fillId="39" borderId="19" xfId="42" applyNumberFormat="1" applyFont="1" applyFill="1" applyBorder="1" applyAlignment="1">
      <alignment horizontal="right"/>
    </xf>
    <xf numFmtId="3" fontId="0" fillId="39" borderId="45" xfId="42" applyNumberFormat="1" applyFont="1" applyFill="1" applyBorder="1" applyAlignment="1">
      <alignment horizontal="right"/>
    </xf>
    <xf numFmtId="3" fontId="0" fillId="39" borderId="37" xfId="42" applyNumberFormat="1" applyFont="1" applyFill="1" applyBorder="1" applyAlignment="1">
      <alignment horizontal="right"/>
    </xf>
    <xf numFmtId="165" fontId="0" fillId="39" borderId="27" xfId="42" applyNumberFormat="1" applyFont="1" applyFill="1" applyBorder="1" applyAlignment="1">
      <alignment horizontal="right"/>
    </xf>
    <xf numFmtId="164" fontId="0" fillId="39" borderId="11" xfId="42" applyNumberFormat="1" applyFont="1" applyFill="1" applyBorder="1" applyAlignment="1">
      <alignment horizontal="center"/>
    </xf>
    <xf numFmtId="165" fontId="2" fillId="39" borderId="0" xfId="42" applyNumberFormat="1" applyFont="1" applyFill="1" applyAlignment="1">
      <alignment horizontal="right"/>
    </xf>
    <xf numFmtId="164" fontId="0" fillId="39" borderId="0" xfId="42" applyNumberFormat="1" applyFont="1" applyFill="1" applyBorder="1" applyAlignment="1">
      <alignment horizontal="center"/>
    </xf>
    <xf numFmtId="9" fontId="0" fillId="39" borderId="0" xfId="42" applyNumberFormat="1" applyFont="1" applyFill="1" applyBorder="1" applyAlignment="1">
      <alignment horizontal="center"/>
    </xf>
    <xf numFmtId="165" fontId="0" fillId="39" borderId="0" xfId="42" applyNumberFormat="1" applyFont="1" applyFill="1" applyBorder="1" applyAlignment="1">
      <alignment vertical="center" wrapText="1"/>
    </xf>
    <xf numFmtId="164" fontId="0" fillId="39" borderId="0" xfId="68" applyNumberFormat="1" applyFont="1" applyFill="1" applyBorder="1" applyAlignment="1">
      <alignment vertical="center"/>
    </xf>
    <xf numFmtId="164" fontId="0" fillId="39" borderId="0" xfId="68" applyNumberFormat="1" applyFont="1" applyFill="1" applyBorder="1" applyAlignment="1">
      <alignment vertical="center"/>
    </xf>
    <xf numFmtId="165" fontId="2" fillId="39" borderId="0" xfId="42" applyNumberFormat="1" applyFont="1" applyFill="1" applyAlignment="1">
      <alignment horizontal="left"/>
    </xf>
    <xf numFmtId="43" fontId="0" fillId="39" borderId="0" xfId="42" applyNumberFormat="1" applyFont="1" applyFill="1" applyAlignment="1">
      <alignment/>
    </xf>
    <xf numFmtId="6" fontId="0" fillId="39" borderId="0" xfId="42" applyNumberFormat="1" applyFont="1" applyFill="1" applyAlignment="1">
      <alignment/>
    </xf>
    <xf numFmtId="165" fontId="0" fillId="39" borderId="11" xfId="42" applyNumberFormat="1" applyFont="1" applyFill="1" applyBorder="1" applyAlignment="1">
      <alignment vertical="center" wrapText="1"/>
    </xf>
    <xf numFmtId="165" fontId="0" fillId="39" borderId="12" xfId="42" applyNumberFormat="1" applyFont="1" applyFill="1" applyBorder="1" applyAlignment="1">
      <alignment horizontal="center" vertical="center" wrapText="1"/>
    </xf>
    <xf numFmtId="175" fontId="0" fillId="39" borderId="18" xfId="42" applyNumberFormat="1" applyFont="1" applyFill="1" applyBorder="1" applyAlignment="1">
      <alignment horizontal="right"/>
    </xf>
    <xf numFmtId="165" fontId="0" fillId="39" borderId="22" xfId="42" applyNumberFormat="1" applyFont="1" applyFill="1" applyBorder="1" applyAlignment="1">
      <alignment horizontal="right" vertical="center"/>
    </xf>
    <xf numFmtId="165" fontId="0" fillId="39" borderId="18" xfId="42" applyNumberFormat="1" applyFont="1" applyFill="1" applyBorder="1" applyAlignment="1">
      <alignment horizontal="right" vertical="center"/>
    </xf>
    <xf numFmtId="165" fontId="0" fillId="39" borderId="22" xfId="42" applyNumberFormat="1" applyFont="1" applyFill="1" applyBorder="1" applyAlignment="1">
      <alignment horizontal="right" vertical="center" wrapText="1"/>
    </xf>
    <xf numFmtId="165" fontId="0" fillId="39" borderId="18" xfId="42" applyNumberFormat="1" applyFont="1" applyFill="1" applyBorder="1" applyAlignment="1">
      <alignment horizontal="right" vertical="center" wrapText="1"/>
    </xf>
    <xf numFmtId="3" fontId="0" fillId="39" borderId="22" xfId="42" applyNumberFormat="1" applyFont="1" applyFill="1" applyBorder="1" applyAlignment="1">
      <alignment horizontal="right"/>
    </xf>
    <xf numFmtId="3" fontId="0" fillId="39" borderId="29" xfId="42" applyNumberFormat="1" applyFont="1" applyFill="1" applyBorder="1" applyAlignment="1">
      <alignment horizontal="right"/>
    </xf>
    <xf numFmtId="165" fontId="0" fillId="39" borderId="18" xfId="42" applyNumberFormat="1" applyFont="1" applyFill="1" applyBorder="1" applyAlignment="1">
      <alignment horizontal="right"/>
    </xf>
    <xf numFmtId="175" fontId="0" fillId="39" borderId="19" xfId="42" applyNumberFormat="1" applyFont="1" applyFill="1" applyBorder="1" applyAlignment="1">
      <alignment horizontal="right"/>
    </xf>
    <xf numFmtId="3" fontId="0" fillId="39" borderId="19" xfId="42" applyNumberFormat="1" applyFont="1" applyFill="1" applyBorder="1" applyAlignment="1">
      <alignment horizontal="right" vertical="center" wrapText="1"/>
    </xf>
    <xf numFmtId="165" fontId="0" fillId="39" borderId="0" xfId="42" applyNumberFormat="1" applyFont="1" applyFill="1" applyBorder="1" applyAlignment="1">
      <alignment horizontal="right" vertical="center"/>
    </xf>
    <xf numFmtId="165" fontId="0" fillId="39" borderId="19" xfId="42" applyNumberFormat="1" applyFont="1" applyFill="1" applyBorder="1" applyAlignment="1">
      <alignment horizontal="right" vertical="center"/>
    </xf>
    <xf numFmtId="165" fontId="0" fillId="39" borderId="0" xfId="42" applyNumberFormat="1" applyFont="1" applyFill="1" applyBorder="1" applyAlignment="1">
      <alignment horizontal="right" vertical="center" wrapText="1"/>
    </xf>
    <xf numFmtId="165" fontId="0" fillId="39" borderId="19" xfId="42" applyNumberFormat="1" applyFont="1" applyFill="1" applyBorder="1" applyAlignment="1">
      <alignment horizontal="right" vertical="center" wrapText="1"/>
    </xf>
    <xf numFmtId="3" fontId="0" fillId="39" borderId="0" xfId="42" applyNumberFormat="1" applyFont="1" applyFill="1" applyBorder="1" applyAlignment="1">
      <alignment horizontal="right" vertical="center" wrapText="1"/>
    </xf>
    <xf numFmtId="3" fontId="0" fillId="39" borderId="25" xfId="42" applyNumberFormat="1" applyFont="1" applyFill="1" applyBorder="1" applyAlignment="1">
      <alignment horizontal="right" vertical="center" wrapText="1"/>
    </xf>
    <xf numFmtId="165" fontId="0" fillId="39" borderId="19" xfId="42" applyNumberFormat="1" applyFont="1" applyFill="1" applyBorder="1" applyAlignment="1">
      <alignment horizontal="right"/>
    </xf>
    <xf numFmtId="0" fontId="0" fillId="39" borderId="0" xfId="42" applyNumberFormat="1" applyFont="1" applyFill="1" applyBorder="1" applyAlignment="1">
      <alignment horizontal="center" vertical="center" wrapText="1"/>
    </xf>
    <xf numFmtId="165" fontId="0" fillId="39" borderId="0" xfId="42" applyNumberFormat="1" applyFont="1" applyFill="1" applyBorder="1" applyAlignment="1">
      <alignment horizontal="center" vertical="center"/>
    </xf>
    <xf numFmtId="165" fontId="0" fillId="39" borderId="0" xfId="42" applyNumberFormat="1" applyFont="1" applyFill="1" applyBorder="1" applyAlignment="1">
      <alignment horizontal="center" vertical="center" wrapText="1"/>
    </xf>
    <xf numFmtId="165" fontId="0" fillId="39" borderId="0" xfId="42" applyNumberFormat="1" applyFont="1" applyFill="1" applyBorder="1" applyAlignment="1">
      <alignment horizontal="center" vertical="center" wrapText="1"/>
    </xf>
    <xf numFmtId="165" fontId="8" fillId="39" borderId="11" xfId="42" applyNumberFormat="1" applyFont="1" applyFill="1" applyBorder="1" applyAlignment="1">
      <alignment horizontal="center"/>
    </xf>
    <xf numFmtId="165" fontId="8" fillId="39" borderId="12" xfId="42" applyNumberFormat="1" applyFont="1" applyFill="1" applyBorder="1" applyAlignment="1">
      <alignment horizontal="center"/>
    </xf>
    <xf numFmtId="9" fontId="0" fillId="39" borderId="0" xfId="68" applyFont="1" applyFill="1" applyAlignment="1">
      <alignment/>
    </xf>
    <xf numFmtId="0" fontId="0" fillId="39" borderId="26" xfId="0" applyFont="1" applyFill="1" applyBorder="1" applyAlignment="1">
      <alignment/>
    </xf>
    <xf numFmtId="0" fontId="0" fillId="39" borderId="0" xfId="0" applyFill="1" applyBorder="1" applyAlignment="1">
      <alignment/>
    </xf>
    <xf numFmtId="0" fontId="0" fillId="39" borderId="25" xfId="0" applyFill="1" applyBorder="1" applyAlignment="1">
      <alignment/>
    </xf>
    <xf numFmtId="0" fontId="0" fillId="39" borderId="0" xfId="0" applyFont="1" applyFill="1" applyBorder="1" applyAlignment="1">
      <alignment horizontal="center"/>
    </xf>
    <xf numFmtId="9" fontId="0" fillId="39" borderId="41" xfId="68" applyNumberFormat="1" applyFont="1" applyFill="1" applyBorder="1" applyAlignment="1">
      <alignment horizontal="center"/>
    </xf>
    <xf numFmtId="9" fontId="0" fillId="39" borderId="25" xfId="68" applyNumberFormat="1" applyFont="1" applyFill="1" applyBorder="1" applyAlignment="1">
      <alignment horizontal="center"/>
    </xf>
    <xf numFmtId="0" fontId="0" fillId="39" borderId="27" xfId="0" applyFont="1" applyFill="1" applyBorder="1" applyAlignment="1">
      <alignment/>
    </xf>
    <xf numFmtId="0" fontId="0" fillId="39" borderId="10" xfId="0" applyFont="1" applyFill="1" applyBorder="1" applyAlignment="1">
      <alignment/>
    </xf>
    <xf numFmtId="0" fontId="0" fillId="39" borderId="10" xfId="0" applyFill="1" applyBorder="1" applyAlignment="1">
      <alignment/>
    </xf>
    <xf numFmtId="165" fontId="0" fillId="39" borderId="10" xfId="42" applyNumberFormat="1" applyFont="1" applyFill="1" applyBorder="1" applyAlignment="1">
      <alignment/>
    </xf>
    <xf numFmtId="0" fontId="0" fillId="39" borderId="10" xfId="0" applyFont="1" applyFill="1" applyBorder="1" applyAlignment="1">
      <alignment horizontal="center"/>
    </xf>
    <xf numFmtId="9" fontId="0" fillId="39" borderId="46" xfId="68" applyNumberFormat="1" applyFont="1" applyFill="1" applyBorder="1" applyAlignment="1">
      <alignment horizontal="center"/>
    </xf>
    <xf numFmtId="164" fontId="0" fillId="39" borderId="0" xfId="42" applyNumberFormat="1" applyFont="1" applyFill="1" applyBorder="1" applyAlignment="1">
      <alignment/>
    </xf>
    <xf numFmtId="0" fontId="0" fillId="39" borderId="0" xfId="0" applyFont="1" applyFill="1" applyBorder="1" applyAlignment="1">
      <alignment/>
    </xf>
    <xf numFmtId="0" fontId="0" fillId="39" borderId="0" xfId="0" applyFont="1" applyFill="1" applyBorder="1" applyAlignment="1">
      <alignment/>
    </xf>
    <xf numFmtId="9" fontId="0" fillId="39" borderId="0" xfId="68" applyNumberFormat="1" applyFont="1" applyFill="1" applyBorder="1" applyAlignment="1">
      <alignment horizontal="center"/>
    </xf>
    <xf numFmtId="164" fontId="0" fillId="39" borderId="0" xfId="68" applyNumberFormat="1" applyFont="1" applyFill="1" applyBorder="1" applyAlignment="1">
      <alignment horizontal="center"/>
    </xf>
    <xf numFmtId="164" fontId="0" fillId="39" borderId="0" xfId="68" applyNumberFormat="1" applyFont="1" applyFill="1" applyBorder="1" applyAlignment="1">
      <alignment/>
    </xf>
    <xf numFmtId="0" fontId="0" fillId="39" borderId="26" xfId="0" applyFill="1" applyBorder="1" applyAlignment="1">
      <alignment horizontal="center"/>
    </xf>
    <xf numFmtId="9" fontId="0" fillId="39" borderId="47" xfId="68" applyFont="1" applyFill="1" applyBorder="1" applyAlignment="1">
      <alignment horizontal="center"/>
    </xf>
    <xf numFmtId="9" fontId="0" fillId="39" borderId="41" xfId="68" applyFont="1" applyFill="1" applyBorder="1" applyAlignment="1">
      <alignment horizontal="center"/>
    </xf>
    <xf numFmtId="172" fontId="0" fillId="39" borderId="0" xfId="42" applyNumberFormat="1" applyFont="1" applyFill="1" applyBorder="1" applyAlignment="1">
      <alignment/>
    </xf>
    <xf numFmtId="9" fontId="0" fillId="39" borderId="0" xfId="68" applyFont="1" applyFill="1" applyBorder="1" applyAlignment="1">
      <alignment horizontal="center"/>
    </xf>
    <xf numFmtId="0" fontId="0" fillId="39" borderId="27" xfId="0" applyFill="1" applyBorder="1" applyAlignment="1">
      <alignment horizontal="center"/>
    </xf>
    <xf numFmtId="9" fontId="0" fillId="39" borderId="46" xfId="68" applyFont="1" applyFill="1" applyBorder="1" applyAlignment="1">
      <alignment horizontal="center"/>
    </xf>
    <xf numFmtId="3" fontId="0" fillId="39" borderId="0" xfId="68" applyNumberFormat="1" applyFont="1" applyFill="1" applyBorder="1" applyAlignment="1">
      <alignment horizontal="center"/>
    </xf>
    <xf numFmtId="165" fontId="0" fillId="39" borderId="0" xfId="42" applyNumberFormat="1" applyFont="1" applyFill="1" applyBorder="1" applyAlignment="1">
      <alignment/>
    </xf>
    <xf numFmtId="0" fontId="0" fillId="39" borderId="0" xfId="42" applyNumberFormat="1" applyFont="1" applyFill="1" applyBorder="1" applyAlignment="1">
      <alignment horizontal="center"/>
    </xf>
    <xf numFmtId="165" fontId="0" fillId="39" borderId="0" xfId="42" applyNumberFormat="1" applyFont="1" applyFill="1" applyBorder="1" applyAlignment="1">
      <alignment horizontal="center"/>
    </xf>
    <xf numFmtId="165" fontId="0" fillId="39" borderId="0" xfId="42" applyNumberFormat="1" applyFont="1" applyFill="1" applyBorder="1" applyAlignment="1">
      <alignment horizontal="center"/>
    </xf>
    <xf numFmtId="166" fontId="0" fillId="39" borderId="0" xfId="42" applyNumberFormat="1" applyFont="1" applyFill="1" applyBorder="1" applyAlignment="1">
      <alignment horizontal="center"/>
    </xf>
    <xf numFmtId="0" fontId="0" fillId="39" borderId="0" xfId="42" applyNumberFormat="1" applyFont="1" applyFill="1" applyBorder="1" applyAlignment="1">
      <alignment horizontal="center"/>
    </xf>
    <xf numFmtId="165" fontId="0" fillId="39" borderId="0" xfId="42" applyNumberFormat="1" applyFont="1" applyFill="1" applyBorder="1" applyAlignment="1">
      <alignment horizontal="center"/>
    </xf>
    <xf numFmtId="9" fontId="0" fillId="39" borderId="0" xfId="68" applyFont="1" applyFill="1" applyBorder="1" applyAlignment="1">
      <alignment/>
    </xf>
    <xf numFmtId="9" fontId="0" fillId="39" borderId="0" xfId="68" applyFont="1" applyFill="1" applyBorder="1" applyAlignment="1">
      <alignment/>
    </xf>
    <xf numFmtId="0" fontId="5" fillId="39" borderId="0" xfId="0" applyFont="1" applyFill="1" applyAlignment="1">
      <alignment horizontal="center"/>
    </xf>
    <xf numFmtId="0" fontId="72" fillId="39" borderId="0" xfId="0" applyFont="1" applyFill="1" applyAlignment="1">
      <alignment/>
    </xf>
    <xf numFmtId="0" fontId="11" fillId="39" borderId="11" xfId="0" applyFont="1" applyFill="1" applyBorder="1" applyAlignment="1">
      <alignment horizontal="center" vertical="center"/>
    </xf>
    <xf numFmtId="0" fontId="11" fillId="39" borderId="21" xfId="0" applyFont="1" applyFill="1" applyBorder="1" applyAlignment="1">
      <alignment horizontal="center" vertical="center"/>
    </xf>
    <xf numFmtId="165" fontId="11" fillId="39" borderId="21" xfId="0" applyNumberFormat="1" applyFont="1" applyFill="1" applyBorder="1" applyAlignment="1">
      <alignment horizontal="center" vertical="center" wrapText="1"/>
    </xf>
    <xf numFmtId="0" fontId="11" fillId="39" borderId="21" xfId="0" applyFont="1" applyFill="1" applyBorder="1" applyAlignment="1">
      <alignment horizontal="center" vertical="center" wrapText="1"/>
    </xf>
    <xf numFmtId="0" fontId="11" fillId="39" borderId="12" xfId="0" applyFont="1" applyFill="1" applyBorder="1" applyAlignment="1">
      <alignment horizontal="center" vertical="center" wrapText="1"/>
    </xf>
    <xf numFmtId="0" fontId="0" fillId="39" borderId="19" xfId="0" applyFill="1" applyBorder="1" applyAlignment="1">
      <alignment/>
    </xf>
    <xf numFmtId="0" fontId="0" fillId="39" borderId="0" xfId="0" applyFont="1" applyFill="1" applyBorder="1" applyAlignment="1">
      <alignment/>
    </xf>
    <xf numFmtId="165" fontId="0" fillId="39" borderId="0" xfId="0" applyNumberFormat="1" applyFill="1" applyBorder="1" applyAlignment="1">
      <alignment/>
    </xf>
    <xf numFmtId="3" fontId="0" fillId="39" borderId="0" xfId="0" applyNumberFormat="1" applyFill="1" applyBorder="1" applyAlignment="1">
      <alignment horizontal="center"/>
    </xf>
    <xf numFmtId="3" fontId="0" fillId="39" borderId="0" xfId="0" applyNumberFormat="1" applyFont="1" applyFill="1" applyBorder="1" applyAlignment="1">
      <alignment/>
    </xf>
    <xf numFmtId="164" fontId="0" fillId="39" borderId="29" xfId="0" applyNumberFormat="1" applyFill="1" applyBorder="1" applyAlignment="1">
      <alignment horizontal="center"/>
    </xf>
    <xf numFmtId="0" fontId="0" fillId="39" borderId="19" xfId="0" applyFill="1" applyBorder="1" applyAlignment="1" quotePrefix="1">
      <alignment horizontal="left"/>
    </xf>
    <xf numFmtId="164" fontId="0" fillId="39" borderId="25" xfId="0" applyNumberFormat="1" applyFill="1" applyBorder="1" applyAlignment="1">
      <alignment horizontal="center"/>
    </xf>
    <xf numFmtId="0" fontId="0" fillId="39" borderId="19" xfId="0" applyFont="1" applyFill="1" applyBorder="1" applyAlignment="1">
      <alignment/>
    </xf>
    <xf numFmtId="165" fontId="0" fillId="39" borderId="0" xfId="0" applyNumberFormat="1" applyFont="1" applyFill="1" applyBorder="1" applyAlignment="1">
      <alignment/>
    </xf>
    <xf numFmtId="3" fontId="0" fillId="39" borderId="0" xfId="0" applyNumberFormat="1" applyFill="1" applyBorder="1" applyAlignment="1">
      <alignment/>
    </xf>
    <xf numFmtId="1" fontId="0" fillId="39" borderId="0" xfId="0" applyNumberFormat="1" applyFill="1" applyBorder="1" applyAlignment="1">
      <alignment/>
    </xf>
    <xf numFmtId="0" fontId="0" fillId="39" borderId="10" xfId="0" applyFont="1" applyFill="1" applyBorder="1" applyAlignment="1">
      <alignment/>
    </xf>
    <xf numFmtId="165" fontId="0" fillId="39" borderId="10" xfId="0" applyNumberFormat="1" applyFill="1" applyBorder="1" applyAlignment="1">
      <alignment/>
    </xf>
    <xf numFmtId="3" fontId="0" fillId="39" borderId="10" xfId="0" applyNumberFormat="1" applyFill="1" applyBorder="1" applyAlignment="1">
      <alignment horizontal="center"/>
    </xf>
    <xf numFmtId="3" fontId="0" fillId="39" borderId="10" xfId="0" applyNumberFormat="1" applyFont="1" applyFill="1" applyBorder="1" applyAlignment="1">
      <alignment/>
    </xf>
    <xf numFmtId="9" fontId="0" fillId="39" borderId="10" xfId="0" applyNumberFormat="1" applyFill="1" applyBorder="1" applyAlignment="1">
      <alignment horizontal="center"/>
    </xf>
    <xf numFmtId="164" fontId="0" fillId="39" borderId="28" xfId="0" applyNumberFormat="1" applyFill="1" applyBorder="1" applyAlignment="1">
      <alignment horizontal="center"/>
    </xf>
    <xf numFmtId="0" fontId="2" fillId="39" borderId="0" xfId="0" applyFont="1" applyFill="1" applyBorder="1" applyAlignment="1">
      <alignment/>
    </xf>
    <xf numFmtId="0" fontId="11" fillId="39" borderId="11" xfId="0" applyFont="1" applyFill="1" applyBorder="1" applyAlignment="1">
      <alignment horizontal="center"/>
    </xf>
    <xf numFmtId="0" fontId="0" fillId="39" borderId="19" xfId="0" applyFill="1" applyBorder="1" applyAlignment="1">
      <alignment vertical="center"/>
    </xf>
    <xf numFmtId="0" fontId="0" fillId="39" borderId="19" xfId="0" applyFill="1" applyBorder="1" applyAlignment="1" quotePrefix="1">
      <alignment horizontal="left" vertical="center"/>
    </xf>
    <xf numFmtId="0" fontId="0" fillId="39" borderId="19" xfId="0" applyFont="1" applyFill="1" applyBorder="1" applyAlignment="1">
      <alignment vertical="center"/>
    </xf>
    <xf numFmtId="0" fontId="0" fillId="39" borderId="27" xfId="0" applyFill="1" applyBorder="1" applyAlignment="1">
      <alignment vertical="center"/>
    </xf>
    <xf numFmtId="0" fontId="11" fillId="39" borderId="0" xfId="0" applyFont="1" applyFill="1" applyBorder="1" applyAlignment="1">
      <alignment/>
    </xf>
    <xf numFmtId="0" fontId="11" fillId="39" borderId="0" xfId="0" applyFont="1" applyFill="1" applyBorder="1" applyAlignment="1">
      <alignment horizontal="center" wrapText="1"/>
    </xf>
    <xf numFmtId="164" fontId="0" fillId="39" borderId="0" xfId="0" applyNumberFormat="1" applyFill="1" applyBorder="1" applyAlignment="1">
      <alignment horizontal="center"/>
    </xf>
    <xf numFmtId="0" fontId="0" fillId="39" borderId="0" xfId="0" applyFill="1" applyBorder="1" applyAlignment="1" quotePrefix="1">
      <alignment horizontal="left"/>
    </xf>
    <xf numFmtId="43" fontId="72" fillId="39" borderId="0" xfId="42" applyFont="1" applyFill="1" applyAlignment="1">
      <alignment horizontal="left"/>
    </xf>
    <xf numFmtId="43" fontId="0" fillId="39" borderId="0" xfId="42" applyFont="1" applyFill="1" applyAlignment="1">
      <alignment horizontal="left"/>
    </xf>
    <xf numFmtId="43" fontId="0" fillId="39" borderId="0" xfId="42" applyFont="1" applyFill="1" applyAlignment="1">
      <alignment/>
    </xf>
    <xf numFmtId="43" fontId="5" fillId="39" borderId="0" xfId="42" applyFont="1" applyFill="1" applyAlignment="1">
      <alignment horizontal="center" vertical="center"/>
    </xf>
    <xf numFmtId="43" fontId="0" fillId="39" borderId="10" xfId="42" applyFont="1" applyFill="1" applyBorder="1" applyAlignment="1" quotePrefix="1">
      <alignment/>
    </xf>
    <xf numFmtId="43" fontId="2" fillId="39" borderId="10" xfId="42" applyFont="1" applyFill="1" applyBorder="1" applyAlignment="1">
      <alignment/>
    </xf>
    <xf numFmtId="43" fontId="0" fillId="39" borderId="0" xfId="42" applyFont="1" applyFill="1" applyAlignment="1">
      <alignment/>
    </xf>
    <xf numFmtId="165" fontId="0" fillId="39" borderId="26" xfId="42" applyNumberFormat="1" applyFont="1" applyFill="1" applyBorder="1" applyAlignment="1">
      <alignment/>
    </xf>
    <xf numFmtId="165" fontId="0" fillId="39" borderId="11" xfId="42" applyNumberFormat="1" applyFont="1" applyFill="1" applyBorder="1" applyAlignment="1">
      <alignment horizontal="center"/>
    </xf>
    <xf numFmtId="43" fontId="2" fillId="39" borderId="11" xfId="42" applyFont="1" applyFill="1" applyBorder="1" applyAlignment="1">
      <alignment horizontal="center"/>
    </xf>
    <xf numFmtId="3" fontId="0" fillId="39" borderId="29" xfId="42" applyNumberFormat="1" applyFont="1" applyFill="1" applyBorder="1" applyAlignment="1">
      <alignment/>
    </xf>
    <xf numFmtId="43" fontId="0" fillId="39" borderId="18" xfId="42" applyFont="1" applyFill="1" applyBorder="1" applyAlignment="1">
      <alignment/>
    </xf>
    <xf numFmtId="43" fontId="0" fillId="39" borderId="0" xfId="42" applyFont="1" applyFill="1" applyAlignment="1">
      <alignment horizontal="center"/>
    </xf>
    <xf numFmtId="0" fontId="0" fillId="39" borderId="34" xfId="0" applyNumberFormat="1" applyFont="1" applyFill="1" applyBorder="1" applyAlignment="1">
      <alignment/>
    </xf>
    <xf numFmtId="43" fontId="0" fillId="39" borderId="18" xfId="42" applyFont="1" applyFill="1" applyBorder="1" applyAlignment="1">
      <alignment horizontal="left"/>
    </xf>
    <xf numFmtId="3" fontId="0" fillId="39" borderId="25" xfId="42" applyNumberFormat="1" applyFont="1" applyFill="1" applyBorder="1" applyAlignment="1">
      <alignment/>
    </xf>
    <xf numFmtId="0" fontId="0" fillId="39" borderId="26" xfId="0" applyNumberFormat="1" applyFont="1" applyFill="1" applyBorder="1" applyAlignment="1">
      <alignment horizontal="left" indent="1"/>
    </xf>
    <xf numFmtId="0" fontId="0" fillId="39" borderId="19" xfId="42" applyNumberFormat="1" applyFont="1" applyFill="1" applyBorder="1" applyAlignment="1">
      <alignment horizontal="center"/>
    </xf>
    <xf numFmtId="0" fontId="0" fillId="39" borderId="26" xfId="0" applyFont="1" applyFill="1" applyBorder="1" applyAlignment="1">
      <alignment horizontal="left" indent="1"/>
    </xf>
    <xf numFmtId="0" fontId="0" fillId="39" borderId="26" xfId="42" applyNumberFormat="1" applyFont="1" applyFill="1" applyBorder="1" applyAlignment="1" quotePrefix="1">
      <alignment horizontal="left"/>
    </xf>
    <xf numFmtId="4" fontId="0" fillId="39" borderId="19" xfId="42" applyNumberFormat="1" applyFont="1" applyFill="1" applyBorder="1" applyAlignment="1">
      <alignment/>
    </xf>
    <xf numFmtId="0" fontId="0" fillId="39" borderId="26" xfId="42" applyNumberFormat="1" applyFont="1" applyFill="1" applyBorder="1" applyAlignment="1">
      <alignment horizontal="left"/>
    </xf>
    <xf numFmtId="4" fontId="0" fillId="39" borderId="19" xfId="42" applyNumberFormat="1" applyFont="1" applyFill="1" applyBorder="1" applyAlignment="1">
      <alignment/>
    </xf>
    <xf numFmtId="173" fontId="0" fillId="39" borderId="19" xfId="42" applyNumberFormat="1" applyFont="1" applyFill="1" applyBorder="1" applyAlignment="1">
      <alignment/>
    </xf>
    <xf numFmtId="0" fontId="0" fillId="39" borderId="27" xfId="42" applyNumberFormat="1" applyFont="1" applyFill="1" applyBorder="1" applyAlignment="1" quotePrefix="1">
      <alignment horizontal="left"/>
    </xf>
    <xf numFmtId="0" fontId="0" fillId="39" borderId="20" xfId="42" applyNumberFormat="1" applyFont="1" applyFill="1" applyBorder="1" applyAlignment="1">
      <alignment horizontal="center"/>
    </xf>
    <xf numFmtId="164" fontId="0" fillId="39" borderId="11" xfId="68" applyNumberFormat="1" applyFont="1" applyFill="1" applyBorder="1" applyAlignment="1">
      <alignment/>
    </xf>
    <xf numFmtId="43" fontId="0" fillId="39" borderId="0" xfId="42" applyFont="1" applyFill="1" applyBorder="1" applyAlignment="1">
      <alignment/>
    </xf>
    <xf numFmtId="0" fontId="0" fillId="39" borderId="0" xfId="42" applyNumberFormat="1" applyFont="1" applyFill="1" applyAlignment="1" quotePrefix="1">
      <alignment horizontal="left"/>
    </xf>
    <xf numFmtId="3" fontId="0" fillId="39" borderId="0" xfId="42" applyNumberFormat="1" applyFont="1" applyFill="1" applyAlignment="1">
      <alignment/>
    </xf>
    <xf numFmtId="164" fontId="0" fillId="39" borderId="0" xfId="42" applyNumberFormat="1" applyFont="1" applyFill="1" applyBorder="1" applyAlignment="1">
      <alignment/>
    </xf>
    <xf numFmtId="165" fontId="0" fillId="39" borderId="27" xfId="42" applyNumberFormat="1" applyFont="1" applyFill="1" applyBorder="1" applyAlignment="1">
      <alignment/>
    </xf>
    <xf numFmtId="3" fontId="0" fillId="39" borderId="28" xfId="42" applyNumberFormat="1" applyFont="1" applyFill="1" applyBorder="1" applyAlignment="1">
      <alignment/>
    </xf>
    <xf numFmtId="164" fontId="0" fillId="39" borderId="0" xfId="68" applyNumberFormat="1" applyFont="1" applyFill="1" applyAlignment="1">
      <alignment/>
    </xf>
    <xf numFmtId="43" fontId="0" fillId="39" borderId="0" xfId="42" applyFont="1" applyFill="1" applyBorder="1" applyAlignment="1">
      <alignment/>
    </xf>
    <xf numFmtId="0" fontId="0" fillId="39" borderId="0" xfId="42" applyNumberFormat="1" applyFont="1" applyFill="1" applyAlignment="1">
      <alignment horizontal="left"/>
    </xf>
    <xf numFmtId="43" fontId="0" fillId="39" borderId="0" xfId="42" applyFont="1" applyFill="1" applyBorder="1" applyAlignment="1">
      <alignment horizontal="center"/>
    </xf>
    <xf numFmtId="0" fontId="2" fillId="39" borderId="11" xfId="0" applyFont="1" applyFill="1" applyBorder="1" applyAlignment="1">
      <alignment horizontal="center"/>
    </xf>
    <xf numFmtId="9" fontId="0" fillId="39" borderId="0" xfId="68" applyNumberFormat="1" applyFont="1" applyFill="1" applyAlignment="1">
      <alignment/>
    </xf>
    <xf numFmtId="43" fontId="2" fillId="39" borderId="11" xfId="42" applyFont="1" applyFill="1" applyBorder="1" applyAlignment="1">
      <alignment/>
    </xf>
    <xf numFmtId="164" fontId="0" fillId="39" borderId="22" xfId="42" applyNumberFormat="1" applyFont="1" applyFill="1" applyBorder="1" applyAlignment="1">
      <alignment/>
    </xf>
    <xf numFmtId="43" fontId="0" fillId="39" borderId="29" xfId="42" applyFont="1" applyFill="1" applyBorder="1" applyAlignment="1">
      <alignment/>
    </xf>
    <xf numFmtId="0" fontId="0" fillId="39" borderId="19" xfId="0" applyFill="1" applyBorder="1" applyAlignment="1">
      <alignment horizontal="center"/>
    </xf>
    <xf numFmtId="0" fontId="0" fillId="39" borderId="19" xfId="0" applyFont="1" applyFill="1" applyBorder="1" applyAlignment="1">
      <alignment horizontal="center"/>
    </xf>
    <xf numFmtId="9" fontId="0" fillId="39" borderId="19" xfId="68" applyFont="1" applyFill="1" applyBorder="1" applyAlignment="1">
      <alignment horizontal="center"/>
    </xf>
    <xf numFmtId="165" fontId="0" fillId="39" borderId="18" xfId="42" applyNumberFormat="1" applyFont="1" applyFill="1" applyBorder="1" applyAlignment="1">
      <alignment horizontal="center"/>
    </xf>
    <xf numFmtId="43" fontId="0" fillId="39" borderId="18" xfId="42" applyFont="1" applyFill="1" applyBorder="1" applyAlignment="1">
      <alignment horizontal="center"/>
    </xf>
    <xf numFmtId="165" fontId="0" fillId="39" borderId="25" xfId="42" applyNumberFormat="1" applyFont="1" applyFill="1" applyBorder="1" applyAlignment="1">
      <alignment horizontal="center"/>
    </xf>
    <xf numFmtId="165" fontId="0" fillId="39" borderId="19" xfId="42" applyNumberFormat="1" applyFont="1" applyFill="1" applyBorder="1" applyAlignment="1">
      <alignment horizontal="center"/>
    </xf>
    <xf numFmtId="43" fontId="0" fillId="39" borderId="19" xfId="42" applyFont="1" applyFill="1" applyBorder="1" applyAlignment="1">
      <alignment horizontal="center"/>
    </xf>
    <xf numFmtId="0" fontId="0" fillId="39" borderId="20" xfId="0" applyFont="1" applyFill="1" applyBorder="1" applyAlignment="1">
      <alignment horizontal="center"/>
    </xf>
    <xf numFmtId="2" fontId="0" fillId="39" borderId="20" xfId="42" applyNumberFormat="1" applyFont="1" applyFill="1" applyBorder="1" applyAlignment="1">
      <alignment horizontal="center"/>
    </xf>
    <xf numFmtId="10" fontId="0" fillId="39" borderId="0" xfId="68" applyNumberFormat="1" applyFont="1" applyFill="1" applyAlignment="1">
      <alignment/>
    </xf>
    <xf numFmtId="43" fontId="0" fillId="39" borderId="0" xfId="42" applyFont="1" applyFill="1" applyBorder="1" applyAlignment="1">
      <alignment horizontal="left"/>
    </xf>
    <xf numFmtId="0" fontId="0" fillId="39" borderId="25" xfId="42" applyNumberFormat="1" applyFont="1" applyFill="1" applyBorder="1" applyAlignment="1">
      <alignment/>
    </xf>
    <xf numFmtId="0" fontId="0" fillId="39" borderId="26" xfId="42" applyNumberFormat="1" applyFont="1" applyFill="1" applyBorder="1" applyAlignment="1" quotePrefix="1">
      <alignment horizontal="left"/>
    </xf>
    <xf numFmtId="43" fontId="0" fillId="39" borderId="25" xfId="42" applyFont="1" applyFill="1" applyBorder="1" applyAlignment="1">
      <alignment/>
    </xf>
    <xf numFmtId="166" fontId="0" fillId="39" borderId="0" xfId="42" applyNumberFormat="1" applyFont="1" applyFill="1" applyAlignment="1">
      <alignment/>
    </xf>
    <xf numFmtId="165" fontId="0" fillId="39" borderId="20" xfId="42" applyNumberFormat="1" applyFont="1" applyFill="1" applyBorder="1" applyAlignment="1">
      <alignment horizontal="center"/>
    </xf>
    <xf numFmtId="43" fontId="0" fillId="39" borderId="20" xfId="42" applyFont="1" applyFill="1" applyBorder="1" applyAlignment="1">
      <alignment horizontal="center"/>
    </xf>
    <xf numFmtId="165" fontId="0" fillId="39" borderId="28" xfId="42" applyNumberFormat="1" applyFont="1" applyFill="1" applyBorder="1" applyAlignment="1">
      <alignment horizontal="center"/>
    </xf>
    <xf numFmtId="0" fontId="0" fillId="39" borderId="27" xfId="42" applyNumberFormat="1" applyFont="1" applyFill="1" applyBorder="1" applyAlignment="1">
      <alignment horizontal="left"/>
    </xf>
    <xf numFmtId="43" fontId="0" fillId="39" borderId="10" xfId="42" applyFont="1" applyFill="1" applyBorder="1" applyAlignment="1">
      <alignment horizontal="left"/>
    </xf>
    <xf numFmtId="43" fontId="0" fillId="39" borderId="28" xfId="42" applyFont="1" applyFill="1" applyBorder="1" applyAlignment="1">
      <alignment/>
    </xf>
    <xf numFmtId="165" fontId="2" fillId="39" borderId="27" xfId="42" applyNumberFormat="1" applyFont="1" applyFill="1" applyBorder="1" applyAlignment="1">
      <alignment horizontal="center"/>
    </xf>
    <xf numFmtId="165" fontId="0" fillId="39" borderId="10" xfId="42" applyNumberFormat="1" applyFont="1" applyFill="1" applyBorder="1" applyAlignment="1">
      <alignment horizontal="center"/>
    </xf>
    <xf numFmtId="43" fontId="0" fillId="39" borderId="10" xfId="42" applyFont="1" applyFill="1" applyBorder="1" applyAlignment="1">
      <alignment horizontal="center"/>
    </xf>
    <xf numFmtId="165" fontId="0" fillId="39" borderId="28" xfId="42" applyNumberFormat="1" applyFont="1" applyFill="1" applyBorder="1" applyAlignment="1">
      <alignment/>
    </xf>
    <xf numFmtId="43" fontId="72" fillId="39" borderId="0" xfId="42" applyFont="1" applyFill="1" applyAlignment="1">
      <alignment/>
    </xf>
    <xf numFmtId="43" fontId="5" fillId="39" borderId="0" xfId="42" applyFont="1" applyFill="1" applyAlignment="1">
      <alignment horizontal="center"/>
    </xf>
    <xf numFmtId="43" fontId="0" fillId="39" borderId="26" xfId="42" applyFont="1" applyFill="1" applyBorder="1" applyAlignment="1" quotePrefix="1">
      <alignment/>
    </xf>
    <xf numFmtId="43" fontId="0" fillId="39" borderId="11" xfId="42" applyFont="1" applyFill="1" applyBorder="1" applyAlignment="1">
      <alignment horizontal="center"/>
    </xf>
    <xf numFmtId="43" fontId="2" fillId="39" borderId="11" xfId="42" applyFont="1" applyFill="1" applyBorder="1" applyAlignment="1" quotePrefix="1">
      <alignment horizontal="left"/>
    </xf>
    <xf numFmtId="43" fontId="0" fillId="39" borderId="34" xfId="42" applyFont="1" applyFill="1" applyBorder="1" applyAlignment="1">
      <alignment/>
    </xf>
    <xf numFmtId="43" fontId="0" fillId="39" borderId="0" xfId="42" applyFont="1" applyFill="1" applyBorder="1" applyAlignment="1">
      <alignment horizontal="left"/>
    </xf>
    <xf numFmtId="0" fontId="0" fillId="39" borderId="18" xfId="0" applyNumberFormat="1" applyFont="1" applyFill="1" applyBorder="1" applyAlignment="1">
      <alignment/>
    </xf>
    <xf numFmtId="43" fontId="0" fillId="39" borderId="18" xfId="42" applyFont="1" applyFill="1" applyBorder="1" applyAlignment="1">
      <alignment horizontal="center"/>
    </xf>
    <xf numFmtId="165" fontId="0" fillId="39" borderId="25" xfId="42" applyNumberFormat="1" applyFont="1" applyFill="1" applyBorder="1" applyAlignment="1">
      <alignment/>
    </xf>
    <xf numFmtId="0" fontId="0" fillId="39" borderId="19" xfId="0" applyNumberFormat="1" applyFont="1" applyFill="1" applyBorder="1" applyAlignment="1">
      <alignment horizontal="left" indent="1"/>
    </xf>
    <xf numFmtId="0" fontId="0" fillId="39" borderId="19" xfId="42" applyNumberFormat="1" applyFont="1" applyFill="1" applyBorder="1" applyAlignment="1" quotePrefix="1">
      <alignment horizontal="center"/>
    </xf>
    <xf numFmtId="0" fontId="0" fillId="39" borderId="19" xfId="0" applyFont="1" applyFill="1" applyBorder="1" applyAlignment="1">
      <alignment horizontal="left" indent="1"/>
    </xf>
    <xf numFmtId="0" fontId="0" fillId="39" borderId="19" xfId="0" applyFont="1" applyFill="1" applyBorder="1" applyAlignment="1">
      <alignment horizontal="left"/>
    </xf>
    <xf numFmtId="0" fontId="0" fillId="39" borderId="19" xfId="42" applyNumberFormat="1" applyFont="1" applyFill="1" applyBorder="1" applyAlignment="1">
      <alignment horizontal="left"/>
    </xf>
    <xf numFmtId="0" fontId="0" fillId="39" borderId="19" xfId="42" applyNumberFormat="1" applyFont="1" applyFill="1" applyBorder="1" applyAlignment="1" quotePrefix="1">
      <alignment horizontal="left"/>
    </xf>
    <xf numFmtId="0" fontId="0" fillId="39" borderId="19" xfId="42" applyNumberFormat="1" applyFont="1" applyFill="1" applyBorder="1" applyAlignment="1" quotePrefix="1">
      <alignment horizontal="left"/>
    </xf>
    <xf numFmtId="43" fontId="0" fillId="39" borderId="19" xfId="42" applyFont="1" applyFill="1" applyBorder="1" applyAlignment="1">
      <alignment horizontal="center"/>
    </xf>
    <xf numFmtId="1" fontId="0" fillId="39" borderId="0" xfId="42" applyNumberFormat="1" applyFont="1" applyFill="1" applyBorder="1" applyAlignment="1">
      <alignment/>
    </xf>
    <xf numFmtId="1" fontId="0" fillId="39" borderId="25" xfId="42" applyNumberFormat="1" applyFont="1" applyFill="1" applyBorder="1" applyAlignment="1">
      <alignment/>
    </xf>
    <xf numFmtId="43" fontId="0" fillId="39" borderId="26" xfId="42" applyFont="1" applyFill="1" applyBorder="1" applyAlignment="1">
      <alignment/>
    </xf>
    <xf numFmtId="1" fontId="0" fillId="39" borderId="0" xfId="42" applyNumberFormat="1" applyFont="1" applyFill="1" applyBorder="1" applyAlignment="1">
      <alignment/>
    </xf>
    <xf numFmtId="1" fontId="0" fillId="39" borderId="0" xfId="42" applyNumberFormat="1" applyFont="1" applyFill="1" applyAlignment="1">
      <alignment/>
    </xf>
    <xf numFmtId="43" fontId="0" fillId="39" borderId="0" xfId="42" applyFont="1" applyFill="1" applyBorder="1" applyAlignment="1">
      <alignment horizontal="left" indent="1"/>
    </xf>
    <xf numFmtId="0" fontId="0" fillId="39" borderId="19" xfId="42" applyNumberFormat="1" applyFont="1" applyFill="1" applyBorder="1" applyAlignment="1">
      <alignment/>
    </xf>
    <xf numFmtId="0" fontId="0" fillId="39" borderId="20" xfId="42" applyNumberFormat="1" applyFont="1" applyFill="1" applyBorder="1" applyAlignment="1" quotePrefix="1">
      <alignment horizontal="left"/>
    </xf>
    <xf numFmtId="164" fontId="0" fillId="39" borderId="11" xfId="42" applyNumberFormat="1" applyFont="1" applyFill="1" applyBorder="1" applyAlignment="1">
      <alignment/>
    </xf>
    <xf numFmtId="1" fontId="0" fillId="39" borderId="10" xfId="42" applyNumberFormat="1" applyFont="1" applyFill="1" applyBorder="1" applyAlignment="1">
      <alignment/>
    </xf>
    <xf numFmtId="1" fontId="0" fillId="39" borderId="28" xfId="42" applyNumberFormat="1" applyFont="1" applyFill="1" applyBorder="1" applyAlignment="1">
      <alignment/>
    </xf>
    <xf numFmtId="43" fontId="0" fillId="39" borderId="27" xfId="42" applyFont="1" applyFill="1" applyBorder="1" applyAlignment="1">
      <alignment/>
    </xf>
    <xf numFmtId="43" fontId="2" fillId="39" borderId="34" xfId="42" applyFont="1" applyFill="1" applyBorder="1" applyAlignment="1">
      <alignment horizontal="center" vertical="center"/>
    </xf>
    <xf numFmtId="0" fontId="0" fillId="39" borderId="26" xfId="0" applyFont="1" applyFill="1" applyBorder="1" applyAlignment="1">
      <alignment horizontal="left"/>
    </xf>
    <xf numFmtId="0" fontId="0" fillId="39" borderId="26" xfId="0" applyFill="1" applyBorder="1" applyAlignment="1">
      <alignment horizontal="left" indent="1"/>
    </xf>
    <xf numFmtId="0" fontId="0" fillId="39" borderId="26" xfId="0" applyFill="1" applyBorder="1" applyAlignment="1">
      <alignment/>
    </xf>
    <xf numFmtId="43" fontId="0" fillId="39" borderId="19" xfId="42" applyFont="1" applyFill="1" applyBorder="1" applyAlignment="1">
      <alignment/>
    </xf>
    <xf numFmtId="174" fontId="0" fillId="39" borderId="0" xfId="42" applyNumberFormat="1" applyFont="1" applyFill="1" applyAlignment="1">
      <alignment/>
    </xf>
    <xf numFmtId="0" fontId="0" fillId="39" borderId="26" xfId="0" applyFont="1" applyFill="1" applyBorder="1" applyAlignment="1">
      <alignment horizontal="center"/>
    </xf>
    <xf numFmtId="3" fontId="0" fillId="39" borderId="11" xfId="68" applyNumberFormat="1" applyFont="1" applyFill="1" applyBorder="1" applyAlignment="1">
      <alignment horizontal="center"/>
    </xf>
    <xf numFmtId="1" fontId="0" fillId="39" borderId="26" xfId="68" applyNumberFormat="1" applyFont="1" applyFill="1" applyBorder="1" applyAlignment="1">
      <alignment horizontal="center"/>
    </xf>
    <xf numFmtId="3" fontId="0" fillId="39" borderId="18" xfId="68" applyNumberFormat="1" applyFont="1" applyFill="1" applyBorder="1" applyAlignment="1">
      <alignment horizontal="center"/>
    </xf>
    <xf numFmtId="0" fontId="0" fillId="39" borderId="34" xfId="42" applyNumberFormat="1" applyFont="1" applyFill="1" applyBorder="1" applyAlignment="1">
      <alignment horizontal="left"/>
    </xf>
    <xf numFmtId="0" fontId="0" fillId="39" borderId="22" xfId="0" applyFont="1" applyFill="1" applyBorder="1" applyAlignment="1">
      <alignment horizontal="center"/>
    </xf>
    <xf numFmtId="1" fontId="0" fillId="39" borderId="22" xfId="68" applyNumberFormat="1" applyFont="1" applyFill="1" applyBorder="1" applyAlignment="1">
      <alignment horizontal="center"/>
    </xf>
    <xf numFmtId="0" fontId="0" fillId="39" borderId="27" xfId="42" applyNumberFormat="1" applyFont="1" applyFill="1" applyBorder="1" applyAlignment="1">
      <alignment/>
    </xf>
    <xf numFmtId="1" fontId="0" fillId="39" borderId="10" xfId="68" applyNumberFormat="1" applyFont="1" applyFill="1" applyBorder="1" applyAlignment="1">
      <alignment horizontal="center"/>
    </xf>
    <xf numFmtId="43" fontId="0" fillId="39" borderId="28" xfId="42" applyFont="1" applyFill="1" applyBorder="1" applyAlignment="1">
      <alignment/>
    </xf>
    <xf numFmtId="0" fontId="0" fillId="39" borderId="0" xfId="42" applyNumberFormat="1" applyFont="1" applyFill="1" applyBorder="1" applyAlignment="1">
      <alignment horizontal="left"/>
    </xf>
    <xf numFmtId="0" fontId="0" fillId="39" borderId="0" xfId="42" applyNumberFormat="1" applyFont="1" applyFill="1" applyBorder="1" applyAlignment="1">
      <alignment/>
    </xf>
    <xf numFmtId="0" fontId="0" fillId="39" borderId="0" xfId="42" applyNumberFormat="1" applyFont="1" applyFill="1" applyAlignment="1">
      <alignment/>
    </xf>
    <xf numFmtId="43" fontId="0" fillId="39" borderId="10" xfId="42" applyFont="1" applyFill="1" applyBorder="1" applyAlignment="1">
      <alignment/>
    </xf>
    <xf numFmtId="43" fontId="0" fillId="39" borderId="33" xfId="42" applyFont="1" applyFill="1" applyBorder="1" applyAlignment="1" quotePrefix="1">
      <alignment horizontal="center"/>
    </xf>
    <xf numFmtId="43" fontId="0" fillId="39" borderId="12" xfId="42" applyFont="1" applyFill="1" applyBorder="1" applyAlignment="1">
      <alignment horizontal="center"/>
    </xf>
    <xf numFmtId="43" fontId="0" fillId="39" borderId="11" xfId="42" applyFont="1" applyFill="1" applyBorder="1" applyAlignment="1">
      <alignment/>
    </xf>
    <xf numFmtId="43" fontId="2" fillId="39" borderId="0" xfId="42" applyFont="1" applyFill="1" applyBorder="1" applyAlignment="1" quotePrefix="1">
      <alignment horizontal="center"/>
    </xf>
    <xf numFmtId="43" fontId="0" fillId="39" borderId="0" xfId="42" applyFont="1" applyFill="1" applyBorder="1" applyAlignment="1">
      <alignment horizontal="center"/>
    </xf>
    <xf numFmtId="0" fontId="0" fillId="39" borderId="18" xfId="42" applyNumberFormat="1" applyFont="1" applyFill="1" applyBorder="1" applyAlignment="1">
      <alignment horizontal="center"/>
    </xf>
    <xf numFmtId="3" fontId="0" fillId="39" borderId="18" xfId="0" applyNumberFormat="1" applyFont="1" applyFill="1" applyBorder="1" applyAlignment="1">
      <alignment horizontal="right"/>
    </xf>
    <xf numFmtId="1" fontId="0" fillId="39" borderId="19" xfId="42" applyNumberFormat="1" applyFont="1" applyFill="1" applyBorder="1" applyAlignment="1">
      <alignment/>
    </xf>
    <xf numFmtId="0" fontId="0" fillId="39" borderId="20" xfId="42" applyNumberFormat="1" applyFont="1" applyFill="1" applyBorder="1" applyAlignment="1" quotePrefix="1">
      <alignment horizontal="center"/>
    </xf>
    <xf numFmtId="0" fontId="0" fillId="39" borderId="0" xfId="42" applyNumberFormat="1" applyFont="1" applyFill="1" applyAlignment="1" quotePrefix="1">
      <alignment horizontal="center"/>
    </xf>
    <xf numFmtId="1" fontId="0" fillId="39" borderId="20" xfId="42" applyNumberFormat="1" applyFont="1" applyFill="1" applyBorder="1" applyAlignment="1">
      <alignment/>
    </xf>
    <xf numFmtId="43" fontId="0" fillId="39" borderId="20" xfId="42" applyFont="1" applyFill="1" applyBorder="1" applyAlignment="1">
      <alignment/>
    </xf>
    <xf numFmtId="43" fontId="2" fillId="39" borderId="34" xfId="42" applyFont="1" applyFill="1" applyBorder="1" applyAlignment="1" quotePrefix="1">
      <alignment horizontal="center"/>
    </xf>
    <xf numFmtId="3" fontId="0" fillId="39" borderId="25" xfId="0" applyNumberFormat="1" applyFont="1" applyFill="1" applyBorder="1" applyAlignment="1">
      <alignment horizontal="right"/>
    </xf>
    <xf numFmtId="0" fontId="0" fillId="39" borderId="19" xfId="42" applyNumberFormat="1" applyFont="1" applyFill="1" applyBorder="1" applyAlignment="1">
      <alignment/>
    </xf>
    <xf numFmtId="164" fontId="0" fillId="39" borderId="12" xfId="68" applyNumberFormat="1" applyFont="1" applyFill="1" applyBorder="1" applyAlignment="1">
      <alignment/>
    </xf>
    <xf numFmtId="0" fontId="2" fillId="39" borderId="33" xfId="0" applyFont="1" applyFill="1" applyBorder="1" applyAlignment="1">
      <alignment horizontal="center"/>
    </xf>
    <xf numFmtId="0" fontId="0" fillId="39" borderId="18" xfId="0" applyFont="1" applyFill="1" applyBorder="1" applyAlignment="1">
      <alignment/>
    </xf>
    <xf numFmtId="2" fontId="0" fillId="39" borderId="19" xfId="42" applyNumberFormat="1" applyFont="1" applyFill="1" applyBorder="1" applyAlignment="1">
      <alignment horizontal="center"/>
    </xf>
    <xf numFmtId="0" fontId="0" fillId="39" borderId="19" xfId="0" applyFill="1" applyBorder="1" applyAlignment="1">
      <alignment horizontal="left" indent="1"/>
    </xf>
    <xf numFmtId="0" fontId="0" fillId="39" borderId="19" xfId="0" applyFont="1" applyFill="1" applyBorder="1" applyAlignment="1">
      <alignment horizontal="left" wrapText="1"/>
    </xf>
    <xf numFmtId="0" fontId="0" fillId="39" borderId="26" xfId="0" applyFont="1" applyFill="1" applyBorder="1" applyAlignment="1">
      <alignment horizontal="center" vertical="center"/>
    </xf>
    <xf numFmtId="2" fontId="0" fillId="39" borderId="19" xfId="68" applyNumberFormat="1" applyFont="1" applyFill="1" applyBorder="1" applyAlignment="1">
      <alignment horizontal="center" vertical="center"/>
    </xf>
    <xf numFmtId="10" fontId="0" fillId="39" borderId="19" xfId="68" applyNumberFormat="1" applyFont="1" applyFill="1" applyBorder="1" applyAlignment="1">
      <alignment horizontal="center" vertical="center"/>
    </xf>
    <xf numFmtId="9" fontId="0" fillId="39" borderId="19" xfId="68" applyNumberFormat="1" applyFont="1" applyFill="1" applyBorder="1" applyAlignment="1">
      <alignment horizontal="center" vertical="center"/>
    </xf>
    <xf numFmtId="171" fontId="0" fillId="39" borderId="19" xfId="68" applyNumberFormat="1" applyFont="1" applyFill="1" applyBorder="1" applyAlignment="1">
      <alignment horizontal="center"/>
    </xf>
    <xf numFmtId="1" fontId="0" fillId="39" borderId="19" xfId="68" applyNumberFormat="1" applyFont="1" applyFill="1" applyBorder="1" applyAlignment="1">
      <alignment horizontal="center"/>
    </xf>
    <xf numFmtId="1" fontId="0" fillId="39" borderId="19" xfId="68" applyNumberFormat="1" applyFont="1" applyFill="1" applyBorder="1" applyAlignment="1">
      <alignment horizontal="center" vertical="center"/>
    </xf>
    <xf numFmtId="3" fontId="0" fillId="39" borderId="19" xfId="42" applyNumberFormat="1" applyFont="1" applyFill="1" applyBorder="1" applyAlignment="1">
      <alignment horizontal="center"/>
    </xf>
    <xf numFmtId="165" fontId="0" fillId="39" borderId="19" xfId="42" applyNumberFormat="1" applyFont="1" applyFill="1" applyBorder="1" applyAlignment="1">
      <alignment horizontal="center"/>
    </xf>
    <xf numFmtId="43" fontId="0" fillId="39" borderId="19" xfId="42" applyFont="1" applyFill="1" applyBorder="1" applyAlignment="1">
      <alignment/>
    </xf>
    <xf numFmtId="43" fontId="0" fillId="39" borderId="26" xfId="42" applyFont="1" applyFill="1" applyBorder="1" applyAlignment="1">
      <alignment horizontal="center"/>
    </xf>
    <xf numFmtId="9" fontId="0" fillId="39" borderId="19" xfId="68" applyFont="1" applyFill="1" applyBorder="1" applyAlignment="1">
      <alignment horizontal="center"/>
    </xf>
    <xf numFmtId="0" fontId="0" fillId="39" borderId="20" xfId="42" applyNumberFormat="1" applyFont="1" applyFill="1" applyBorder="1" applyAlignment="1">
      <alignment horizontal="left"/>
    </xf>
    <xf numFmtId="0" fontId="0" fillId="39" borderId="27" xfId="0" applyFont="1" applyFill="1" applyBorder="1" applyAlignment="1">
      <alignment horizontal="center"/>
    </xf>
    <xf numFmtId="3" fontId="0" fillId="39" borderId="20" xfId="42" applyNumberFormat="1" applyFont="1" applyFill="1" applyBorder="1" applyAlignment="1">
      <alignment horizontal="center"/>
    </xf>
    <xf numFmtId="0" fontId="0" fillId="39" borderId="22" xfId="42" applyNumberFormat="1" applyFont="1" applyFill="1" applyBorder="1" applyAlignment="1">
      <alignment/>
    </xf>
    <xf numFmtId="0" fontId="0" fillId="39" borderId="26" xfId="42" applyNumberFormat="1" applyFont="1" applyFill="1" applyBorder="1" applyAlignment="1">
      <alignment horizontal="left"/>
    </xf>
    <xf numFmtId="0" fontId="0" fillId="39" borderId="10" xfId="42" applyNumberFormat="1" applyFont="1" applyFill="1" applyBorder="1" applyAlignment="1">
      <alignment/>
    </xf>
    <xf numFmtId="0" fontId="0" fillId="39" borderId="0" xfId="0" applyFont="1" applyFill="1" applyAlignment="1">
      <alignment/>
    </xf>
    <xf numFmtId="0" fontId="0" fillId="39" borderId="10" xfId="0" applyFont="1" applyFill="1" applyBorder="1" applyAlignment="1" quotePrefix="1">
      <alignment/>
    </xf>
    <xf numFmtId="0" fontId="2" fillId="39" borderId="10" xfId="0" applyFont="1" applyFill="1" applyBorder="1" applyAlignment="1">
      <alignment/>
    </xf>
    <xf numFmtId="43" fontId="0" fillId="39" borderId="11" xfId="42" applyFont="1" applyFill="1" applyBorder="1" applyAlignment="1">
      <alignment horizontal="center"/>
    </xf>
    <xf numFmtId="0" fontId="0" fillId="39" borderId="18" xfId="0" applyFont="1" applyFill="1" applyBorder="1" applyAlignment="1">
      <alignment/>
    </xf>
    <xf numFmtId="0" fontId="0" fillId="39" borderId="18" xfId="0" applyFont="1" applyFill="1" applyBorder="1" applyAlignment="1">
      <alignment horizontal="center"/>
    </xf>
    <xf numFmtId="3" fontId="0" fillId="39" borderId="19" xfId="0" applyNumberFormat="1" applyFont="1" applyFill="1" applyBorder="1" applyAlignment="1">
      <alignment/>
    </xf>
    <xf numFmtId="0" fontId="0" fillId="39" borderId="19" xfId="0" applyFont="1" applyFill="1" applyBorder="1" applyAlignment="1">
      <alignment horizontal="center"/>
    </xf>
    <xf numFmtId="3" fontId="0" fillId="39" borderId="0" xfId="0" applyNumberFormat="1" applyFont="1" applyFill="1" applyAlignment="1">
      <alignment/>
    </xf>
    <xf numFmtId="0" fontId="0" fillId="39" borderId="26" xfId="0" applyFont="1" applyFill="1" applyBorder="1" applyAlignment="1">
      <alignment/>
    </xf>
    <xf numFmtId="0" fontId="0" fillId="39" borderId="26" xfId="42" applyNumberFormat="1" applyFont="1" applyFill="1" applyBorder="1" applyAlignment="1">
      <alignment/>
    </xf>
    <xf numFmtId="3" fontId="0" fillId="39" borderId="20" xfId="0" applyNumberFormat="1" applyFont="1" applyFill="1" applyBorder="1" applyAlignment="1">
      <alignment/>
    </xf>
    <xf numFmtId="9" fontId="0" fillId="39" borderId="0" xfId="42" applyNumberFormat="1" applyFont="1" applyFill="1" applyAlignment="1">
      <alignment/>
    </xf>
    <xf numFmtId="0" fontId="0" fillId="39" borderId="20" xfId="0" applyFont="1" applyFill="1" applyBorder="1" applyAlignment="1">
      <alignment horizontal="center"/>
    </xf>
    <xf numFmtId="164" fontId="0" fillId="39" borderId="11" xfId="0" applyNumberFormat="1" applyFont="1" applyFill="1" applyBorder="1" applyAlignment="1">
      <alignment/>
    </xf>
    <xf numFmtId="0" fontId="0" fillId="39" borderId="0" xfId="0" applyFont="1" applyFill="1" applyAlignment="1">
      <alignment horizontal="center"/>
    </xf>
    <xf numFmtId="0" fontId="0" fillId="39" borderId="18" xfId="0" applyFill="1" applyBorder="1" applyAlignment="1">
      <alignment/>
    </xf>
    <xf numFmtId="0" fontId="0" fillId="39" borderId="0" xfId="0" applyFont="1" applyFill="1" applyAlignment="1">
      <alignment horizontal="center"/>
    </xf>
    <xf numFmtId="9" fontId="0" fillId="39" borderId="18" xfId="68" applyFont="1" applyFill="1" applyBorder="1" applyAlignment="1">
      <alignment horizontal="center"/>
    </xf>
    <xf numFmtId="0" fontId="0" fillId="39" borderId="11" xfId="0" applyFont="1" applyFill="1" applyBorder="1" applyAlignment="1">
      <alignment horizontal="center"/>
    </xf>
    <xf numFmtId="9" fontId="0" fillId="39" borderId="18" xfId="68" applyFont="1" applyFill="1" applyBorder="1" applyAlignment="1">
      <alignment/>
    </xf>
    <xf numFmtId="9" fontId="0" fillId="39" borderId="19" xfId="68" applyFont="1" applyFill="1" applyBorder="1" applyAlignment="1">
      <alignment/>
    </xf>
    <xf numFmtId="0" fontId="0" fillId="39" borderId="19" xfId="0" applyFill="1" applyBorder="1" applyAlignment="1">
      <alignment horizontal="left"/>
    </xf>
    <xf numFmtId="0" fontId="0" fillId="39" borderId="19" xfId="0" applyFont="1" applyFill="1" applyBorder="1" applyAlignment="1">
      <alignment/>
    </xf>
    <xf numFmtId="1" fontId="0" fillId="39" borderId="19" xfId="0" applyNumberFormat="1" applyFont="1" applyFill="1" applyBorder="1" applyAlignment="1">
      <alignment horizontal="center"/>
    </xf>
    <xf numFmtId="9" fontId="0" fillId="39" borderId="20" xfId="68" applyFont="1" applyFill="1" applyBorder="1" applyAlignment="1">
      <alignment/>
    </xf>
    <xf numFmtId="9" fontId="0" fillId="39" borderId="20" xfId="68" applyFont="1" applyFill="1" applyBorder="1" applyAlignment="1">
      <alignment/>
    </xf>
    <xf numFmtId="0" fontId="0" fillId="39" borderId="34" xfId="0" applyFont="1" applyFill="1" applyBorder="1" applyAlignment="1">
      <alignment horizontal="left"/>
    </xf>
    <xf numFmtId="0" fontId="0" fillId="39" borderId="22" xfId="0" applyFont="1" applyFill="1" applyBorder="1" applyAlignment="1">
      <alignment/>
    </xf>
    <xf numFmtId="0" fontId="0" fillId="39" borderId="29" xfId="0" applyFont="1" applyFill="1" applyBorder="1" applyAlignment="1">
      <alignment/>
    </xf>
    <xf numFmtId="0" fontId="0" fillId="39" borderId="25" xfId="0" applyFont="1" applyFill="1" applyBorder="1" applyAlignment="1">
      <alignment/>
    </xf>
    <xf numFmtId="43" fontId="0" fillId="39" borderId="0" xfId="0" applyNumberFormat="1" applyFont="1" applyFill="1" applyAlignment="1">
      <alignment/>
    </xf>
    <xf numFmtId="0" fontId="0" fillId="39" borderId="28" xfId="0" applyFont="1" applyFill="1" applyBorder="1" applyAlignment="1">
      <alignment/>
    </xf>
    <xf numFmtId="0" fontId="0" fillId="39" borderId="10" xfId="0" applyFont="1" applyFill="1" applyBorder="1" applyAlignment="1">
      <alignment/>
    </xf>
    <xf numFmtId="0" fontId="2" fillId="39" borderId="0" xfId="0" applyFont="1" applyFill="1" applyBorder="1" applyAlignment="1">
      <alignment/>
    </xf>
    <xf numFmtId="0" fontId="2" fillId="39" borderId="0" xfId="0" applyFont="1" applyFill="1" applyBorder="1" applyAlignment="1">
      <alignment horizontal="center"/>
    </xf>
    <xf numFmtId="43" fontId="10" fillId="39" borderId="0" xfId="42" applyFont="1" applyFill="1" applyBorder="1" applyAlignment="1">
      <alignment/>
    </xf>
    <xf numFmtId="0" fontId="0" fillId="39" borderId="0" xfId="0" applyNumberFormat="1" applyFont="1" applyFill="1" applyAlignment="1">
      <alignment/>
    </xf>
    <xf numFmtId="0" fontId="2" fillId="39" borderId="11" xfId="0" applyNumberFormat="1" applyFont="1" applyFill="1" applyBorder="1" applyAlignment="1">
      <alignment horizontal="center"/>
    </xf>
    <xf numFmtId="0" fontId="2" fillId="39" borderId="19" xfId="0" applyFont="1" applyFill="1" applyBorder="1" applyAlignment="1">
      <alignment horizontal="center"/>
    </xf>
    <xf numFmtId="0" fontId="0" fillId="39" borderId="11" xfId="0" applyFont="1" applyFill="1" applyBorder="1" applyAlignment="1">
      <alignment/>
    </xf>
    <xf numFmtId="0" fontId="0" fillId="39" borderId="11" xfId="0" applyFont="1" applyFill="1" applyBorder="1" applyAlignment="1" quotePrefix="1">
      <alignment horizontal="center"/>
    </xf>
    <xf numFmtId="0" fontId="0" fillId="39" borderId="12" xfId="0" applyFont="1" applyFill="1" applyBorder="1" applyAlignment="1">
      <alignment horizontal="center"/>
    </xf>
    <xf numFmtId="0" fontId="0" fillId="39" borderId="0" xfId="0" applyNumberFormat="1" applyFont="1" applyFill="1" applyBorder="1" applyAlignment="1">
      <alignment/>
    </xf>
    <xf numFmtId="0" fontId="0" fillId="39" borderId="18" xfId="0" applyNumberFormat="1" applyFont="1" applyFill="1" applyBorder="1" applyAlignment="1">
      <alignment horizontal="center"/>
    </xf>
    <xf numFmtId="0" fontId="0" fillId="39" borderId="19" xfId="0" applyNumberFormat="1" applyFont="1" applyFill="1" applyBorder="1" applyAlignment="1">
      <alignment horizontal="center"/>
    </xf>
    <xf numFmtId="0" fontId="0" fillId="39" borderId="26" xfId="0" applyNumberFormat="1" applyFont="1" applyFill="1" applyBorder="1" applyAlignment="1">
      <alignment/>
    </xf>
    <xf numFmtId="0" fontId="0" fillId="39" borderId="19" xfId="0" applyNumberFormat="1" applyFont="1" applyFill="1" applyBorder="1" applyAlignment="1" quotePrefix="1">
      <alignment horizontal="center"/>
    </xf>
    <xf numFmtId="3" fontId="0" fillId="39" borderId="19" xfId="42" applyNumberFormat="1" applyFont="1" applyFill="1" applyBorder="1" applyAlignment="1">
      <alignment horizontal="center"/>
    </xf>
    <xf numFmtId="1" fontId="0" fillId="39" borderId="0" xfId="0" applyNumberFormat="1" applyFont="1" applyFill="1" applyAlignment="1">
      <alignment/>
    </xf>
    <xf numFmtId="0" fontId="0" fillId="39" borderId="26" xfId="0" applyNumberFormat="1" applyFont="1" applyFill="1" applyBorder="1" applyAlignment="1">
      <alignment/>
    </xf>
    <xf numFmtId="0" fontId="0" fillId="39" borderId="19" xfId="0" applyNumberFormat="1" applyFont="1" applyFill="1" applyBorder="1" applyAlignment="1">
      <alignment horizontal="center"/>
    </xf>
    <xf numFmtId="173" fontId="0" fillId="39" borderId="19" xfId="68" applyNumberFormat="1" applyFont="1" applyFill="1" applyBorder="1" applyAlignment="1">
      <alignment/>
    </xf>
    <xf numFmtId="3" fontId="0" fillId="39" borderId="19" xfId="42" applyNumberFormat="1" applyFont="1" applyFill="1" applyBorder="1" applyAlignment="1" quotePrefix="1">
      <alignment horizontal="center"/>
    </xf>
    <xf numFmtId="0" fontId="0" fillId="39" borderId="26" xfId="0" applyNumberFormat="1" applyFont="1" applyFill="1" applyBorder="1" applyAlignment="1" quotePrefix="1">
      <alignment horizontal="left"/>
    </xf>
    <xf numFmtId="0" fontId="0" fillId="39" borderId="27" xfId="0" applyNumberFormat="1" applyFont="1" applyFill="1" applyBorder="1" applyAlignment="1">
      <alignment/>
    </xf>
    <xf numFmtId="164" fontId="0" fillId="39" borderId="33" xfId="68" applyNumberFormat="1" applyFont="1" applyFill="1" applyBorder="1" applyAlignment="1">
      <alignment/>
    </xf>
    <xf numFmtId="164" fontId="0" fillId="39" borderId="26" xfId="68" applyNumberFormat="1" applyFont="1" applyFill="1" applyBorder="1" applyAlignment="1">
      <alignment/>
    </xf>
    <xf numFmtId="0" fontId="0" fillId="39" borderId="0" xfId="0" applyNumberFormat="1" applyFont="1" applyFill="1" applyAlignment="1">
      <alignment horizontal="center"/>
    </xf>
    <xf numFmtId="3" fontId="0" fillId="39" borderId="20" xfId="42" applyNumberFormat="1" applyFont="1" applyFill="1" applyBorder="1" applyAlignment="1">
      <alignment horizontal="center"/>
    </xf>
    <xf numFmtId="164" fontId="0" fillId="39" borderId="0" xfId="0" applyNumberFormat="1" applyFont="1" applyFill="1" applyAlignment="1">
      <alignment/>
    </xf>
    <xf numFmtId="9" fontId="0" fillId="39" borderId="0" xfId="0" applyNumberFormat="1" applyFont="1" applyFill="1" applyAlignment="1">
      <alignment/>
    </xf>
    <xf numFmtId="43" fontId="0" fillId="39" borderId="33" xfId="42" applyFont="1" applyFill="1" applyBorder="1" applyAlignment="1">
      <alignment/>
    </xf>
    <xf numFmtId="164" fontId="0" fillId="39" borderId="21" xfId="42" applyNumberFormat="1" applyFont="1" applyFill="1" applyBorder="1" applyAlignment="1">
      <alignment/>
    </xf>
    <xf numFmtId="43" fontId="0" fillId="39" borderId="20" xfId="42" applyFont="1" applyFill="1" applyBorder="1" applyAlignment="1">
      <alignment horizontal="center"/>
    </xf>
    <xf numFmtId="3" fontId="0" fillId="39" borderId="34" xfId="42" applyNumberFormat="1" applyFont="1" applyFill="1" applyBorder="1" applyAlignment="1">
      <alignment horizontal="center"/>
    </xf>
    <xf numFmtId="3" fontId="0" fillId="39" borderId="18" xfId="0" applyNumberFormat="1" applyFont="1" applyFill="1" applyBorder="1" applyAlignment="1">
      <alignment/>
    </xf>
    <xf numFmtId="0" fontId="0" fillId="39" borderId="22" xfId="0" applyFont="1" applyFill="1" applyBorder="1" applyAlignment="1">
      <alignment/>
    </xf>
    <xf numFmtId="3" fontId="0" fillId="39" borderId="26" xfId="42" applyNumberFormat="1" applyFont="1" applyFill="1" applyBorder="1" applyAlignment="1">
      <alignment horizontal="center"/>
    </xf>
    <xf numFmtId="0" fontId="0" fillId="39" borderId="19" xfId="0" applyNumberFormat="1" applyFont="1" applyFill="1" applyBorder="1" applyAlignment="1">
      <alignment/>
    </xf>
    <xf numFmtId="164" fontId="0" fillId="39" borderId="19" xfId="68" applyNumberFormat="1" applyFont="1" applyFill="1" applyBorder="1" applyAlignment="1">
      <alignment horizontal="center"/>
    </xf>
    <xf numFmtId="3" fontId="0" fillId="39" borderId="19" xfId="68" applyNumberFormat="1" applyFont="1" applyFill="1" applyBorder="1" applyAlignment="1">
      <alignment horizontal="center"/>
    </xf>
    <xf numFmtId="164" fontId="0" fillId="39" borderId="19" xfId="0" applyNumberFormat="1" applyFill="1" applyBorder="1" applyAlignment="1">
      <alignment horizontal="center"/>
    </xf>
    <xf numFmtId="0" fontId="0" fillId="39" borderId="19" xfId="0" applyFont="1" applyFill="1" applyBorder="1" applyAlignment="1">
      <alignment horizontal="left"/>
    </xf>
    <xf numFmtId="0" fontId="0" fillId="39" borderId="19" xfId="0" applyNumberFormat="1" applyFont="1" applyFill="1" applyBorder="1" applyAlignment="1">
      <alignment/>
    </xf>
    <xf numFmtId="1" fontId="0" fillId="39" borderId="19" xfId="68" applyNumberFormat="1" applyFont="1" applyFill="1" applyBorder="1" applyAlignment="1">
      <alignment horizontal="center"/>
    </xf>
    <xf numFmtId="0" fontId="0" fillId="39" borderId="19" xfId="0" applyNumberFormat="1" applyFont="1" applyFill="1" applyBorder="1" applyAlignment="1">
      <alignment horizontal="left"/>
    </xf>
    <xf numFmtId="9" fontId="0" fillId="39" borderId="19" xfId="68" applyNumberFormat="1" applyFont="1" applyFill="1" applyBorder="1" applyAlignment="1">
      <alignment horizontal="center"/>
    </xf>
    <xf numFmtId="0" fontId="0" fillId="39" borderId="20" xfId="0" applyNumberFormat="1" applyFont="1" applyFill="1" applyBorder="1" applyAlignment="1">
      <alignment horizontal="left"/>
    </xf>
    <xf numFmtId="9" fontId="0" fillId="39" borderId="20" xfId="0" applyNumberFormat="1" applyFont="1" applyFill="1" applyBorder="1" applyAlignment="1">
      <alignment horizontal="center"/>
    </xf>
    <xf numFmtId="0" fontId="0" fillId="39" borderId="33" xfId="42" applyNumberFormat="1" applyFont="1" applyFill="1" applyBorder="1" applyAlignment="1">
      <alignment/>
    </xf>
    <xf numFmtId="0" fontId="0" fillId="39" borderId="21" xfId="0" applyFont="1" applyFill="1" applyBorder="1" applyAlignment="1">
      <alignment horizontal="center"/>
    </xf>
    <xf numFmtId="1" fontId="0" fillId="39" borderId="12" xfId="68" applyNumberFormat="1" applyFont="1" applyFill="1" applyBorder="1" applyAlignment="1">
      <alignment horizontal="center"/>
    </xf>
    <xf numFmtId="3" fontId="0" fillId="39" borderId="27" xfId="42" applyNumberFormat="1" applyFont="1" applyFill="1" applyBorder="1" applyAlignment="1">
      <alignment horizontal="center"/>
    </xf>
    <xf numFmtId="0" fontId="0" fillId="39" borderId="10" xfId="0" applyFont="1" applyFill="1" applyBorder="1" applyAlignment="1">
      <alignment/>
    </xf>
    <xf numFmtId="0" fontId="0" fillId="39" borderId="27" xfId="0" applyFont="1" applyFill="1" applyBorder="1" applyAlignment="1">
      <alignment/>
    </xf>
    <xf numFmtId="0" fontId="0" fillId="39" borderId="10" xfId="0" applyFont="1" applyFill="1" applyBorder="1" applyAlignment="1">
      <alignment horizontal="right"/>
    </xf>
    <xf numFmtId="165" fontId="0" fillId="39" borderId="20" xfId="0" applyNumberFormat="1" applyFont="1" applyFill="1" applyBorder="1" applyAlignment="1">
      <alignment/>
    </xf>
    <xf numFmtId="165" fontId="0" fillId="39" borderId="0" xfId="42" applyNumberFormat="1" applyFont="1" applyFill="1" applyAlignment="1">
      <alignment horizontal="center"/>
    </xf>
    <xf numFmtId="0" fontId="5" fillId="39" borderId="0" xfId="0" applyFont="1" applyFill="1" applyAlignment="1">
      <alignment horizontal="center" vertical="center"/>
    </xf>
    <xf numFmtId="0" fontId="0" fillId="39" borderId="34" xfId="0" applyNumberFormat="1" applyFont="1" applyFill="1" applyBorder="1" applyAlignment="1">
      <alignment/>
    </xf>
    <xf numFmtId="173" fontId="0" fillId="39" borderId="26" xfId="42" applyNumberFormat="1" applyFont="1" applyFill="1" applyBorder="1" applyAlignment="1">
      <alignment/>
    </xf>
    <xf numFmtId="0" fontId="0" fillId="39" borderId="26" xfId="0" applyNumberFormat="1" applyFont="1" applyFill="1" applyBorder="1" applyAlignment="1">
      <alignment horizontal="left"/>
    </xf>
    <xf numFmtId="3" fontId="0" fillId="39" borderId="26" xfId="0" applyNumberFormat="1" applyFont="1" applyFill="1" applyBorder="1" applyAlignment="1">
      <alignment/>
    </xf>
    <xf numFmtId="0" fontId="0" fillId="39" borderId="19" xfId="0" applyFont="1" applyFill="1" applyBorder="1" applyAlignment="1" quotePrefix="1">
      <alignment horizontal="center"/>
    </xf>
    <xf numFmtId="17" fontId="0" fillId="39" borderId="19" xfId="0" applyNumberFormat="1" applyFont="1" applyFill="1" applyBorder="1" applyAlignment="1" quotePrefix="1">
      <alignment horizontal="center"/>
    </xf>
    <xf numFmtId="0" fontId="0" fillId="39" borderId="33" xfId="0" applyFont="1" applyFill="1" applyBorder="1" applyAlignment="1">
      <alignment/>
    </xf>
    <xf numFmtId="0" fontId="0" fillId="39" borderId="21" xfId="0" applyFont="1" applyFill="1" applyBorder="1" applyAlignment="1">
      <alignment/>
    </xf>
    <xf numFmtId="0" fontId="0" fillId="39" borderId="21" xfId="0" applyFont="1" applyFill="1" applyBorder="1" applyAlignment="1">
      <alignment/>
    </xf>
    <xf numFmtId="0" fontId="0" fillId="39" borderId="12" xfId="0" applyFont="1" applyFill="1" applyBorder="1" applyAlignment="1">
      <alignment/>
    </xf>
    <xf numFmtId="9" fontId="0" fillId="39" borderId="0" xfId="68" applyNumberFormat="1" applyFont="1" applyFill="1" applyBorder="1" applyAlignment="1">
      <alignment/>
    </xf>
    <xf numFmtId="0" fontId="0" fillId="39" borderId="25" xfId="0" applyFont="1" applyFill="1" applyBorder="1" applyAlignment="1">
      <alignment horizontal="center"/>
    </xf>
    <xf numFmtId="0" fontId="0" fillId="39" borderId="27" xfId="0" applyNumberFormat="1" applyFont="1" applyFill="1" applyBorder="1" applyAlignment="1">
      <alignment/>
    </xf>
    <xf numFmtId="0" fontId="0" fillId="39" borderId="20" xfId="0" applyFont="1" applyFill="1" applyBorder="1" applyAlignment="1">
      <alignment/>
    </xf>
    <xf numFmtId="165" fontId="0" fillId="39" borderId="10" xfId="42" applyNumberFormat="1" applyFont="1" applyFill="1" applyBorder="1" applyAlignment="1">
      <alignment/>
    </xf>
    <xf numFmtId="171" fontId="0" fillId="39" borderId="25" xfId="0" applyNumberFormat="1" applyFont="1" applyFill="1" applyBorder="1" applyAlignment="1">
      <alignment horizontal="center"/>
    </xf>
    <xf numFmtId="9" fontId="0" fillId="39" borderId="10" xfId="68" applyNumberFormat="1" applyFont="1" applyFill="1" applyBorder="1" applyAlignment="1">
      <alignment/>
    </xf>
    <xf numFmtId="171" fontId="0" fillId="39" borderId="28" xfId="0" applyNumberFormat="1" applyFont="1" applyFill="1" applyBorder="1" applyAlignment="1">
      <alignment horizontal="center"/>
    </xf>
    <xf numFmtId="165" fontId="0" fillId="39" borderId="10" xfId="0" applyNumberFormat="1" applyFont="1" applyFill="1" applyBorder="1" applyAlignment="1">
      <alignment/>
    </xf>
    <xf numFmtId="164" fontId="0" fillId="39" borderId="12" xfId="42" applyNumberFormat="1" applyFont="1" applyFill="1" applyBorder="1" applyAlignment="1">
      <alignment/>
    </xf>
    <xf numFmtId="0" fontId="0" fillId="39" borderId="20" xfId="0" applyFont="1" applyFill="1" applyBorder="1" applyAlignment="1">
      <alignment/>
    </xf>
    <xf numFmtId="164" fontId="0" fillId="39" borderId="19" xfId="0" applyNumberFormat="1" applyFill="1" applyBorder="1" applyAlignment="1">
      <alignment/>
    </xf>
    <xf numFmtId="165" fontId="0" fillId="39" borderId="29" xfId="42" applyNumberFormat="1" applyFont="1" applyFill="1" applyBorder="1" applyAlignment="1">
      <alignment horizontal="center"/>
    </xf>
    <xf numFmtId="166" fontId="0" fillId="39" borderId="19" xfId="42" applyNumberFormat="1" applyFont="1" applyFill="1" applyBorder="1" applyAlignment="1">
      <alignment horizontal="center"/>
    </xf>
    <xf numFmtId="173" fontId="0" fillId="39" borderId="19" xfId="68" applyNumberFormat="1" applyFont="1" applyFill="1" applyBorder="1" applyAlignment="1">
      <alignment horizontal="center"/>
    </xf>
    <xf numFmtId="0" fontId="0" fillId="39" borderId="20" xfId="0" applyFont="1" applyFill="1" applyBorder="1" applyAlignment="1">
      <alignment horizontal="left"/>
    </xf>
    <xf numFmtId="3" fontId="0" fillId="39" borderId="20" xfId="68" applyNumberFormat="1" applyFont="1" applyFill="1" applyBorder="1" applyAlignment="1">
      <alignment horizontal="center"/>
    </xf>
    <xf numFmtId="173" fontId="0" fillId="39" borderId="12" xfId="68" applyNumberFormat="1" applyFont="1" applyFill="1" applyBorder="1" applyAlignment="1">
      <alignment horizontal="center"/>
    </xf>
    <xf numFmtId="0" fontId="0" fillId="39" borderId="0" xfId="42" applyNumberFormat="1" applyFont="1" applyFill="1" applyAlignment="1">
      <alignment horizontal="left"/>
    </xf>
    <xf numFmtId="166" fontId="0" fillId="39" borderId="20" xfId="42" applyNumberFormat="1" applyFont="1" applyFill="1" applyBorder="1" applyAlignment="1">
      <alignment horizontal="center"/>
    </xf>
    <xf numFmtId="165" fontId="0" fillId="39" borderId="11" xfId="0" applyNumberFormat="1" applyFont="1" applyFill="1" applyBorder="1" applyAlignment="1">
      <alignment/>
    </xf>
    <xf numFmtId="3" fontId="0" fillId="39" borderId="26" xfId="0" applyNumberFormat="1" applyFill="1" applyBorder="1" applyAlignment="1">
      <alignment horizontal="center"/>
    </xf>
    <xf numFmtId="0" fontId="0" fillId="39" borderId="26" xfId="0" applyFill="1" applyBorder="1" applyAlignment="1" quotePrefix="1">
      <alignment horizontal="left"/>
    </xf>
    <xf numFmtId="43" fontId="0" fillId="39" borderId="0" xfId="0" applyNumberFormat="1" applyFill="1" applyAlignment="1">
      <alignment/>
    </xf>
    <xf numFmtId="165" fontId="0" fillId="39" borderId="0" xfId="0" applyNumberFormat="1" applyFont="1" applyFill="1" applyBorder="1" applyAlignment="1">
      <alignment horizontal="center"/>
    </xf>
    <xf numFmtId="0" fontId="0" fillId="39" borderId="0" xfId="0" applyFont="1" applyFill="1" applyBorder="1" applyAlignment="1">
      <alignment horizontal="center"/>
    </xf>
    <xf numFmtId="0" fontId="73" fillId="39" borderId="26" xfId="0" applyFont="1" applyFill="1" applyBorder="1" applyAlignment="1">
      <alignment/>
    </xf>
    <xf numFmtId="0" fontId="73" fillId="39" borderId="25" xfId="0" applyFont="1" applyFill="1" applyBorder="1" applyAlignment="1">
      <alignment/>
    </xf>
    <xf numFmtId="0" fontId="0" fillId="39" borderId="27" xfId="0" applyFill="1" applyBorder="1" applyAlignment="1">
      <alignment/>
    </xf>
    <xf numFmtId="3" fontId="0" fillId="39" borderId="27" xfId="0" applyNumberFormat="1" applyFill="1" applyBorder="1" applyAlignment="1">
      <alignment horizontal="center"/>
    </xf>
    <xf numFmtId="3" fontId="0" fillId="39" borderId="28" xfId="0" applyNumberFormat="1" applyFont="1" applyFill="1" applyBorder="1" applyAlignment="1">
      <alignment/>
    </xf>
    <xf numFmtId="9" fontId="0" fillId="39" borderId="0" xfId="0" applyNumberFormat="1" applyFill="1" applyAlignment="1">
      <alignment/>
    </xf>
    <xf numFmtId="3" fontId="0" fillId="39" borderId="10" xfId="0" applyNumberFormat="1" applyFill="1" applyBorder="1" applyAlignment="1">
      <alignment/>
    </xf>
    <xf numFmtId="3" fontId="0" fillId="39" borderId="27" xfId="0" applyNumberFormat="1" applyFill="1" applyBorder="1" applyAlignment="1">
      <alignment/>
    </xf>
    <xf numFmtId="0" fontId="0" fillId="39" borderId="28" xfId="0" applyFill="1" applyBorder="1" applyAlignment="1">
      <alignment/>
    </xf>
    <xf numFmtId="0" fontId="0" fillId="39" borderId="33" xfId="0" applyFill="1" applyBorder="1" applyAlignment="1">
      <alignment/>
    </xf>
    <xf numFmtId="3" fontId="0" fillId="39" borderId="21" xfId="0" applyNumberFormat="1" applyFill="1" applyBorder="1" applyAlignment="1">
      <alignment/>
    </xf>
    <xf numFmtId="165" fontId="0" fillId="39" borderId="21" xfId="0" applyNumberFormat="1" applyFill="1" applyBorder="1" applyAlignment="1">
      <alignment/>
    </xf>
    <xf numFmtId="0" fontId="0" fillId="39" borderId="21" xfId="0" applyFont="1" applyFill="1" applyBorder="1" applyAlignment="1">
      <alignment horizontal="right"/>
    </xf>
    <xf numFmtId="1" fontId="0" fillId="39" borderId="0" xfId="0" applyNumberFormat="1" applyFill="1" applyAlignment="1">
      <alignment/>
    </xf>
    <xf numFmtId="165" fontId="0" fillId="39" borderId="0" xfId="0" applyNumberFormat="1" applyFill="1" applyAlignment="1">
      <alignment horizontal="center"/>
    </xf>
    <xf numFmtId="0" fontId="2" fillId="39" borderId="18" xfId="0" applyFont="1" applyFill="1" applyBorder="1" applyAlignment="1">
      <alignment horizontal="center"/>
    </xf>
    <xf numFmtId="0" fontId="2" fillId="39" borderId="25" xfId="0" applyFont="1" applyFill="1" applyBorder="1" applyAlignment="1">
      <alignment horizontal="center"/>
    </xf>
    <xf numFmtId="0" fontId="0" fillId="39" borderId="34" xfId="0" applyFill="1" applyBorder="1" applyAlignment="1">
      <alignment/>
    </xf>
    <xf numFmtId="3" fontId="0" fillId="39" borderId="18" xfId="0" applyNumberFormat="1" applyFill="1" applyBorder="1" applyAlignment="1">
      <alignment/>
    </xf>
    <xf numFmtId="9" fontId="0" fillId="39" borderId="18" xfId="0" applyNumberFormat="1" applyFill="1" applyBorder="1" applyAlignment="1">
      <alignment/>
    </xf>
    <xf numFmtId="9" fontId="0" fillId="39" borderId="29" xfId="0" applyNumberFormat="1" applyFill="1" applyBorder="1" applyAlignment="1">
      <alignment/>
    </xf>
    <xf numFmtId="3" fontId="0" fillId="39" borderId="19" xfId="0" applyNumberFormat="1" applyFill="1" applyBorder="1" applyAlignment="1">
      <alignment/>
    </xf>
    <xf numFmtId="9" fontId="0" fillId="39" borderId="19" xfId="0" applyNumberFormat="1" applyFill="1" applyBorder="1" applyAlignment="1">
      <alignment/>
    </xf>
    <xf numFmtId="9" fontId="0" fillId="39" borderId="25" xfId="0" applyNumberFormat="1" applyFill="1" applyBorder="1" applyAlignment="1">
      <alignment/>
    </xf>
    <xf numFmtId="0" fontId="0" fillId="39" borderId="27" xfId="0" applyFill="1" applyBorder="1" applyAlignment="1">
      <alignment horizontal="left" indent="1"/>
    </xf>
    <xf numFmtId="3" fontId="0" fillId="39" borderId="20" xfId="0" applyNumberFormat="1" applyFill="1" applyBorder="1" applyAlignment="1">
      <alignment/>
    </xf>
    <xf numFmtId="9" fontId="0" fillId="39" borderId="20" xfId="0" applyNumberFormat="1" applyFill="1" applyBorder="1" applyAlignment="1">
      <alignment/>
    </xf>
    <xf numFmtId="9" fontId="0" fillId="39" borderId="28" xfId="0" applyNumberFormat="1" applyFill="1" applyBorder="1" applyAlignment="1">
      <alignment/>
    </xf>
    <xf numFmtId="9" fontId="0" fillId="39" borderId="27" xfId="0" applyNumberFormat="1" applyFill="1" applyBorder="1" applyAlignment="1">
      <alignment/>
    </xf>
    <xf numFmtId="9" fontId="0" fillId="39" borderId="10" xfId="0" applyNumberFormat="1" applyFill="1" applyBorder="1" applyAlignment="1">
      <alignment/>
    </xf>
    <xf numFmtId="9" fontId="0" fillId="39" borderId="0" xfId="0" applyNumberFormat="1" applyFill="1" applyBorder="1" applyAlignment="1">
      <alignment/>
    </xf>
    <xf numFmtId="0" fontId="0" fillId="39" borderId="0" xfId="0" applyFill="1" applyBorder="1" applyAlignment="1">
      <alignment horizontal="center"/>
    </xf>
    <xf numFmtId="0" fontId="0" fillId="39" borderId="27" xfId="0" applyFont="1" applyFill="1" applyBorder="1" applyAlignment="1">
      <alignment horizontal="left" indent="1"/>
    </xf>
    <xf numFmtId="0" fontId="0" fillId="39" borderId="10" xfId="0" applyFill="1" applyBorder="1" applyAlignment="1">
      <alignment horizontal="center"/>
    </xf>
    <xf numFmtId="0" fontId="0" fillId="39" borderId="0" xfId="0" applyFont="1" applyFill="1" applyAlignment="1">
      <alignment horizontal="left" indent="1"/>
    </xf>
    <xf numFmtId="9" fontId="0" fillId="39" borderId="25" xfId="68" applyFont="1" applyFill="1" applyBorder="1" applyAlignment="1">
      <alignment/>
    </xf>
    <xf numFmtId="9" fontId="0" fillId="39" borderId="28" xfId="68" applyFont="1" applyFill="1" applyBorder="1" applyAlignment="1">
      <alignment/>
    </xf>
    <xf numFmtId="0" fontId="8" fillId="39" borderId="11" xfId="0" applyFont="1" applyFill="1" applyBorder="1" applyAlignment="1">
      <alignment horizontal="center"/>
    </xf>
    <xf numFmtId="9" fontId="0" fillId="39" borderId="48" xfId="68" applyNumberFormat="1" applyFont="1" applyFill="1" applyBorder="1" applyAlignment="1">
      <alignment horizontal="center"/>
    </xf>
    <xf numFmtId="165" fontId="0" fillId="39" borderId="25" xfId="42" applyNumberFormat="1" applyFont="1" applyFill="1" applyBorder="1" applyAlignment="1">
      <alignment/>
    </xf>
    <xf numFmtId="164" fontId="0" fillId="39" borderId="41" xfId="68" applyNumberFormat="1" applyFont="1" applyFill="1" applyBorder="1" applyAlignment="1">
      <alignment horizontal="center"/>
    </xf>
    <xf numFmtId="164" fontId="0" fillId="39" borderId="0" xfId="42" applyNumberFormat="1" applyFont="1" applyFill="1" applyAlignment="1">
      <alignment/>
    </xf>
    <xf numFmtId="165" fontId="0" fillId="39" borderId="49" xfId="42" applyNumberFormat="1" applyFont="1" applyFill="1" applyBorder="1" applyAlignment="1">
      <alignment/>
    </xf>
    <xf numFmtId="165" fontId="0" fillId="39" borderId="22" xfId="42" applyNumberFormat="1" applyFont="1" applyFill="1" applyBorder="1" applyAlignment="1">
      <alignment/>
    </xf>
    <xf numFmtId="165" fontId="0" fillId="39" borderId="22" xfId="42" applyNumberFormat="1" applyFont="1" applyFill="1" applyBorder="1" applyAlignment="1">
      <alignment/>
    </xf>
    <xf numFmtId="165" fontId="0" fillId="39" borderId="29" xfId="42" applyNumberFormat="1" applyFont="1" applyFill="1" applyBorder="1" applyAlignment="1">
      <alignment/>
    </xf>
    <xf numFmtId="165" fontId="0" fillId="39" borderId="23" xfId="42" applyNumberFormat="1" applyFont="1" applyFill="1" applyBorder="1" applyAlignment="1">
      <alignment/>
    </xf>
    <xf numFmtId="172" fontId="0" fillId="39" borderId="0" xfId="42" applyNumberFormat="1" applyFont="1" applyFill="1" applyAlignment="1">
      <alignment/>
    </xf>
    <xf numFmtId="165" fontId="0" fillId="39" borderId="50" xfId="42" applyNumberFormat="1" applyFont="1" applyFill="1" applyBorder="1" applyAlignment="1">
      <alignment/>
    </xf>
    <xf numFmtId="165" fontId="0" fillId="39" borderId="10" xfId="42" applyNumberFormat="1" applyFont="1" applyFill="1" applyBorder="1" applyAlignment="1">
      <alignment/>
    </xf>
    <xf numFmtId="9" fontId="73" fillId="39" borderId="41" xfId="68" applyNumberFormat="1" applyFont="1" applyFill="1" applyBorder="1" applyAlignment="1">
      <alignment horizontal="center"/>
    </xf>
    <xf numFmtId="3" fontId="0" fillId="39" borderId="25" xfId="68" applyNumberFormat="1" applyFont="1" applyFill="1" applyBorder="1" applyAlignment="1">
      <alignment horizontal="center"/>
    </xf>
    <xf numFmtId="165" fontId="0" fillId="39" borderId="26" xfId="42" applyNumberFormat="1" applyFont="1" applyFill="1" applyBorder="1" applyAlignment="1">
      <alignment wrapText="1"/>
    </xf>
    <xf numFmtId="165" fontId="0" fillId="39" borderId="0" xfId="42" applyNumberFormat="1" applyFont="1" applyFill="1" applyAlignment="1">
      <alignment wrapText="1"/>
    </xf>
    <xf numFmtId="9" fontId="0" fillId="39" borderId="25" xfId="68" applyFont="1" applyFill="1" applyBorder="1" applyAlignment="1">
      <alignment horizontal="center"/>
    </xf>
    <xf numFmtId="9" fontId="0" fillId="39" borderId="25" xfId="42" applyNumberFormat="1" applyFont="1" applyFill="1" applyBorder="1" applyAlignment="1">
      <alignment horizontal="center"/>
    </xf>
    <xf numFmtId="166" fontId="0" fillId="39" borderId="25" xfId="42" applyNumberFormat="1" applyFont="1" applyFill="1" applyBorder="1" applyAlignment="1">
      <alignment horizontal="center"/>
    </xf>
    <xf numFmtId="1" fontId="0" fillId="39" borderId="25" xfId="68" applyNumberFormat="1" applyFont="1" applyFill="1" applyBorder="1" applyAlignment="1">
      <alignment horizontal="center"/>
    </xf>
    <xf numFmtId="165" fontId="0" fillId="39" borderId="11" xfId="42" applyNumberFormat="1" applyFont="1" applyFill="1" applyBorder="1" applyAlignment="1">
      <alignment/>
    </xf>
    <xf numFmtId="9" fontId="0" fillId="39" borderId="25" xfId="68" applyFont="1" applyFill="1" applyBorder="1" applyAlignment="1">
      <alignment/>
    </xf>
    <xf numFmtId="9" fontId="0" fillId="39" borderId="28" xfId="68" applyFont="1" applyFill="1" applyBorder="1" applyAlignment="1">
      <alignment/>
    </xf>
    <xf numFmtId="0" fontId="0" fillId="39" borderId="10" xfId="42" applyNumberFormat="1" applyFont="1" applyFill="1" applyBorder="1" applyAlignment="1">
      <alignment horizontal="center"/>
    </xf>
    <xf numFmtId="165" fontId="0" fillId="39" borderId="10" xfId="42" applyNumberFormat="1" applyFont="1" applyFill="1" applyBorder="1" applyAlignment="1">
      <alignment horizontal="center"/>
    </xf>
    <xf numFmtId="9" fontId="0" fillId="39" borderId="11" xfId="68" applyFont="1" applyFill="1" applyBorder="1" applyAlignment="1">
      <alignment/>
    </xf>
    <xf numFmtId="0" fontId="0" fillId="39" borderId="0" xfId="42" applyNumberFormat="1" applyFont="1" applyFill="1" applyAlignment="1">
      <alignment horizontal="center"/>
    </xf>
    <xf numFmtId="165" fontId="0" fillId="39" borderId="0" xfId="42" applyNumberFormat="1" applyFont="1" applyFill="1" applyAlignment="1">
      <alignment horizontal="center"/>
    </xf>
    <xf numFmtId="164" fontId="0" fillId="39" borderId="0" xfId="0" applyNumberFormat="1" applyFill="1" applyBorder="1" applyAlignment="1">
      <alignment/>
    </xf>
    <xf numFmtId="164" fontId="0" fillId="39" borderId="0" xfId="68" applyNumberFormat="1" applyFont="1" applyFill="1" applyBorder="1" applyAlignment="1">
      <alignment/>
    </xf>
    <xf numFmtId="164" fontId="0" fillId="39" borderId="25" xfId="68" applyNumberFormat="1" applyFont="1" applyFill="1" applyBorder="1" applyAlignment="1">
      <alignment/>
    </xf>
    <xf numFmtId="164" fontId="0" fillId="39" borderId="0" xfId="0" applyNumberFormat="1" applyFill="1" applyAlignment="1">
      <alignment/>
    </xf>
    <xf numFmtId="11" fontId="0" fillId="39" borderId="0" xfId="0" applyNumberFormat="1" applyFill="1" applyBorder="1" applyAlignment="1">
      <alignment/>
    </xf>
    <xf numFmtId="170" fontId="0" fillId="39" borderId="0" xfId="0" applyNumberFormat="1" applyFill="1" applyBorder="1" applyAlignment="1">
      <alignment/>
    </xf>
    <xf numFmtId="11" fontId="0" fillId="39" borderId="25" xfId="0" applyNumberFormat="1" applyFill="1" applyBorder="1" applyAlignment="1">
      <alignment/>
    </xf>
    <xf numFmtId="1" fontId="0" fillId="39" borderId="25" xfId="0" applyNumberFormat="1" applyFill="1" applyBorder="1" applyAlignment="1">
      <alignment/>
    </xf>
    <xf numFmtId="171" fontId="0" fillId="39" borderId="0" xfId="0" applyNumberFormat="1" applyFill="1" applyBorder="1" applyAlignment="1">
      <alignment/>
    </xf>
    <xf numFmtId="171" fontId="0" fillId="39" borderId="25" xfId="0" applyNumberFormat="1" applyFill="1" applyBorder="1" applyAlignment="1">
      <alignment/>
    </xf>
    <xf numFmtId="37" fontId="0" fillId="39" borderId="0" xfId="42" applyNumberFormat="1" applyFont="1" applyFill="1" applyBorder="1" applyAlignment="1">
      <alignment/>
    </xf>
    <xf numFmtId="37" fontId="0" fillId="39" borderId="25" xfId="42" applyNumberFormat="1" applyFont="1" applyFill="1" applyBorder="1" applyAlignment="1">
      <alignment/>
    </xf>
    <xf numFmtId="164" fontId="0" fillId="39" borderId="25" xfId="0" applyNumberFormat="1" applyFill="1" applyBorder="1" applyAlignment="1">
      <alignment/>
    </xf>
    <xf numFmtId="1" fontId="0" fillId="39" borderId="0" xfId="68" applyNumberFormat="1" applyFont="1" applyFill="1" applyBorder="1" applyAlignment="1">
      <alignment/>
    </xf>
    <xf numFmtId="1" fontId="0" fillId="39" borderId="25" xfId="68" applyNumberFormat="1" applyFont="1" applyFill="1" applyBorder="1" applyAlignment="1">
      <alignment/>
    </xf>
    <xf numFmtId="176" fontId="0" fillId="39" borderId="0" xfId="0" applyNumberFormat="1" applyFill="1" applyBorder="1" applyAlignment="1">
      <alignment/>
    </xf>
    <xf numFmtId="176" fontId="0" fillId="39" borderId="25" xfId="0" applyNumberFormat="1" applyFill="1" applyBorder="1" applyAlignment="1">
      <alignment/>
    </xf>
    <xf numFmtId="0" fontId="0" fillId="39" borderId="26" xfId="59" applyFill="1" applyBorder="1">
      <alignment/>
      <protection/>
    </xf>
    <xf numFmtId="176" fontId="0" fillId="39" borderId="0" xfId="59" applyNumberFormat="1" applyFill="1" applyBorder="1">
      <alignment/>
      <protection/>
    </xf>
    <xf numFmtId="176" fontId="0" fillId="39" borderId="25" xfId="59" applyNumberFormat="1" applyFill="1" applyBorder="1">
      <alignment/>
      <protection/>
    </xf>
    <xf numFmtId="176" fontId="0" fillId="39" borderId="0" xfId="59" applyNumberFormat="1" applyFill="1">
      <alignment/>
      <protection/>
    </xf>
    <xf numFmtId="0" fontId="0" fillId="39" borderId="0" xfId="59" applyFont="1" applyFill="1" applyBorder="1">
      <alignment/>
      <protection/>
    </xf>
    <xf numFmtId="3" fontId="74" fillId="39" borderId="0" xfId="0" applyNumberFormat="1" applyFont="1" applyFill="1" applyBorder="1" applyAlignment="1">
      <alignment/>
    </xf>
    <xf numFmtId="165" fontId="0" fillId="39" borderId="25" xfId="42" applyNumberFormat="1" applyFont="1" applyFill="1" applyBorder="1" applyAlignment="1">
      <alignment/>
    </xf>
    <xf numFmtId="177" fontId="0" fillId="39" borderId="0" xfId="68" applyNumberFormat="1" applyFont="1" applyFill="1" applyBorder="1" applyAlignment="1">
      <alignment/>
    </xf>
    <xf numFmtId="0" fontId="0" fillId="39" borderId="27" xfId="59" applyFill="1" applyBorder="1">
      <alignment/>
      <protection/>
    </xf>
    <xf numFmtId="0" fontId="0" fillId="39" borderId="10" xfId="59" applyFont="1" applyFill="1" applyBorder="1">
      <alignment/>
      <protection/>
    </xf>
    <xf numFmtId="0" fontId="0" fillId="39" borderId="10" xfId="59" applyFill="1" applyBorder="1">
      <alignment/>
      <protection/>
    </xf>
    <xf numFmtId="171" fontId="0" fillId="39" borderId="51" xfId="59" applyNumberFormat="1" applyFill="1" applyBorder="1">
      <alignment/>
      <protection/>
    </xf>
    <xf numFmtId="176" fontId="0" fillId="39" borderId="10" xfId="59" applyNumberFormat="1" applyFill="1" applyBorder="1">
      <alignment/>
      <protection/>
    </xf>
    <xf numFmtId="165" fontId="0" fillId="39" borderId="10" xfId="44" applyNumberFormat="1" applyFont="1" applyFill="1" applyBorder="1" applyAlignment="1">
      <alignment/>
    </xf>
    <xf numFmtId="176" fontId="0" fillId="39" borderId="28" xfId="59" applyNumberFormat="1" applyFill="1" applyBorder="1">
      <alignment/>
      <protection/>
    </xf>
    <xf numFmtId="176" fontId="0" fillId="39" borderId="0" xfId="0" applyNumberFormat="1" applyFill="1" applyAlignment="1">
      <alignment/>
    </xf>
    <xf numFmtId="0" fontId="0" fillId="39" borderId="27" xfId="0" applyFill="1" applyBorder="1" applyAlignment="1">
      <alignment horizontal="left"/>
    </xf>
    <xf numFmtId="0" fontId="0" fillId="39" borderId="10" xfId="0" applyFont="1" applyFill="1" applyBorder="1" applyAlignment="1" quotePrefix="1">
      <alignment horizontal="left"/>
    </xf>
    <xf numFmtId="165" fontId="0" fillId="0" borderId="0" xfId="0" applyNumberFormat="1" applyFill="1" applyBorder="1" applyAlignment="1">
      <alignment/>
    </xf>
    <xf numFmtId="164" fontId="75" fillId="39" borderId="0" xfId="68" applyNumberFormat="1" applyFont="1" applyFill="1" applyAlignment="1">
      <alignment horizontal="center"/>
    </xf>
    <xf numFmtId="165" fontId="75" fillId="39" borderId="0" xfId="42" applyNumberFormat="1" applyFont="1" applyFill="1" applyAlignment="1">
      <alignment/>
    </xf>
    <xf numFmtId="0" fontId="75" fillId="39" borderId="0" xfId="0" applyFont="1" applyFill="1" applyAlignment="1">
      <alignment/>
    </xf>
    <xf numFmtId="165" fontId="75" fillId="39" borderId="0" xfId="42" applyNumberFormat="1" applyFont="1" applyFill="1" applyBorder="1" applyAlignment="1">
      <alignment horizontal="left"/>
    </xf>
    <xf numFmtId="165" fontId="75" fillId="39" borderId="0" xfId="42" applyNumberFormat="1" applyFont="1" applyFill="1" applyBorder="1" applyAlignment="1">
      <alignment/>
    </xf>
    <xf numFmtId="164" fontId="0" fillId="39" borderId="50" xfId="0" applyNumberFormat="1" applyFill="1" applyBorder="1" applyAlignment="1">
      <alignment horizontal="center"/>
    </xf>
    <xf numFmtId="9" fontId="0" fillId="39" borderId="52" xfId="0" applyNumberFormat="1" applyFill="1" applyBorder="1" applyAlignment="1">
      <alignment horizontal="center"/>
    </xf>
    <xf numFmtId="9" fontId="75" fillId="39" borderId="52" xfId="0" applyNumberFormat="1" applyFont="1" applyFill="1" applyBorder="1" applyAlignment="1">
      <alignment horizontal="center"/>
    </xf>
    <xf numFmtId="9" fontId="0" fillId="39" borderId="49" xfId="0" applyNumberFormat="1" applyFill="1" applyBorder="1" applyAlignment="1">
      <alignment horizontal="center"/>
    </xf>
    <xf numFmtId="0" fontId="0" fillId="39" borderId="46" xfId="0" applyFont="1" applyFill="1" applyBorder="1" applyAlignment="1">
      <alignment horizontal="right"/>
    </xf>
    <xf numFmtId="0" fontId="0" fillId="39" borderId="44" xfId="0" applyFont="1" applyFill="1" applyBorder="1" applyAlignment="1">
      <alignment horizontal="left"/>
    </xf>
    <xf numFmtId="0" fontId="11" fillId="39" borderId="44" xfId="0" applyFont="1" applyFill="1" applyBorder="1" applyAlignment="1">
      <alignment horizontal="left"/>
    </xf>
    <xf numFmtId="0" fontId="0" fillId="39" borderId="45" xfId="0" applyFont="1" applyFill="1" applyBorder="1" applyAlignment="1">
      <alignment horizontal="right"/>
    </xf>
    <xf numFmtId="164" fontId="2" fillId="0" borderId="11" xfId="59" applyNumberFormat="1" applyFont="1" applyBorder="1" applyAlignment="1">
      <alignment horizontal="center"/>
      <protection/>
    </xf>
    <xf numFmtId="0" fontId="0" fillId="35" borderId="0" xfId="59" applyFill="1" applyBorder="1" applyAlignment="1" quotePrefix="1">
      <alignment vertical="center"/>
      <protection/>
    </xf>
    <xf numFmtId="0" fontId="30" fillId="35" borderId="0" xfId="59" applyFont="1" applyFill="1" applyBorder="1" applyAlignment="1">
      <alignment vertical="center"/>
      <protection/>
    </xf>
    <xf numFmtId="0" fontId="30" fillId="35" borderId="0" xfId="59" applyNumberFormat="1" applyFont="1" applyFill="1" applyBorder="1" applyAlignment="1">
      <alignment vertical="center" wrapText="1"/>
      <protection/>
    </xf>
    <xf numFmtId="0" fontId="30" fillId="35" borderId="0" xfId="59" applyFont="1" applyFill="1" applyBorder="1" applyAlignment="1">
      <alignment horizontal="justify" vertical="center" wrapText="1"/>
      <protection/>
    </xf>
    <xf numFmtId="0" fontId="0" fillId="0" borderId="0" xfId="0" applyAlignment="1">
      <alignment/>
    </xf>
    <xf numFmtId="167" fontId="4" fillId="0" borderId="0" xfId="64" applyFont="1" applyAlignment="1">
      <alignment horizontal="center"/>
      <protection/>
    </xf>
    <xf numFmtId="167" fontId="5" fillId="0" borderId="0" xfId="64" applyFont="1" applyAlignment="1">
      <alignment horizontal="center"/>
      <protection/>
    </xf>
    <xf numFmtId="164" fontId="7" fillId="0" borderId="33" xfId="68" applyNumberFormat="1" applyFont="1" applyBorder="1" applyAlignment="1" applyProtection="1">
      <alignment horizontal="center"/>
      <protection/>
    </xf>
    <xf numFmtId="164" fontId="7" fillId="0" borderId="12" xfId="68" applyNumberFormat="1" applyFont="1" applyBorder="1" applyAlignment="1">
      <alignment horizontal="center"/>
    </xf>
    <xf numFmtId="0" fontId="0" fillId="0" borderId="31" xfId="59" applyNumberFormat="1" applyFill="1" applyBorder="1" applyAlignment="1">
      <alignment horizontal="left" wrapText="1"/>
      <protection/>
    </xf>
    <xf numFmtId="0" fontId="0" fillId="0" borderId="24" xfId="59" applyFont="1" applyFill="1" applyBorder="1" applyAlignment="1">
      <alignment horizontal="center" vertical="center" wrapText="1"/>
      <protection/>
    </xf>
    <xf numFmtId="0" fontId="0" fillId="0" borderId="31" xfId="59" applyFont="1" applyFill="1" applyBorder="1" applyAlignment="1">
      <alignment horizontal="center" vertical="center" wrapText="1"/>
      <protection/>
    </xf>
    <xf numFmtId="0" fontId="0" fillId="0" borderId="30" xfId="59" applyFont="1" applyFill="1" applyBorder="1" applyAlignment="1">
      <alignment horizontal="center" vertical="center" wrapText="1"/>
      <protection/>
    </xf>
    <xf numFmtId="0" fontId="0" fillId="0" borderId="24" xfId="59" applyFont="1" applyFill="1" applyBorder="1" applyAlignment="1">
      <alignment horizontal="left" vertical="center" wrapText="1"/>
      <protection/>
    </xf>
    <xf numFmtId="0" fontId="0" fillId="0" borderId="30" xfId="59" applyFont="1" applyFill="1" applyBorder="1" applyAlignment="1">
      <alignment horizontal="left" vertical="center" wrapText="1"/>
      <protection/>
    </xf>
    <xf numFmtId="0" fontId="64" fillId="0" borderId="24" xfId="55" applyBorder="1" applyAlignment="1" applyProtection="1">
      <alignment horizontal="left" vertical="center" wrapText="1"/>
      <protection/>
    </xf>
    <xf numFmtId="0" fontId="64" fillId="0" borderId="30" xfId="55" applyBorder="1" applyAlignment="1" applyProtection="1">
      <alignment horizontal="left" vertical="center" wrapText="1"/>
      <protection/>
    </xf>
    <xf numFmtId="0" fontId="15" fillId="0" borderId="0" xfId="59" applyFont="1" applyBorder="1" applyAlignment="1">
      <alignment horizontal="right" vertical="center"/>
      <protection/>
    </xf>
    <xf numFmtId="0" fontId="0" fillId="0" borderId="53" xfId="59" applyFont="1" applyBorder="1" applyAlignment="1">
      <alignment horizontal="left" vertical="center" wrapText="1"/>
      <protection/>
    </xf>
    <xf numFmtId="0" fontId="0" fillId="0" borderId="31" xfId="59" applyNumberFormat="1" applyFill="1" applyBorder="1" applyAlignment="1">
      <alignment horizontal="left" vertical="top" wrapText="1"/>
      <protection/>
    </xf>
    <xf numFmtId="0" fontId="0" fillId="35" borderId="0" xfId="59" applyFill="1" applyBorder="1" applyAlignment="1">
      <alignment horizontal="left" vertical="center" wrapText="1"/>
      <protection/>
    </xf>
    <xf numFmtId="0" fontId="0" fillId="0" borderId="0" xfId="59" applyFont="1" applyFill="1" applyBorder="1" applyAlignment="1">
      <alignment horizontal="left" vertical="center" wrapText="1"/>
      <protection/>
    </xf>
    <xf numFmtId="0" fontId="2" fillId="0" borderId="0" xfId="59" applyFont="1" applyFill="1" applyBorder="1" applyAlignment="1">
      <alignment horizontal="left" vertical="center" wrapText="1"/>
      <protection/>
    </xf>
    <xf numFmtId="0" fontId="21" fillId="0" borderId="0" xfId="59" applyFont="1" applyBorder="1" applyAlignment="1">
      <alignment horizontal="center" vertical="center" wrapText="1"/>
      <protection/>
    </xf>
    <xf numFmtId="0" fontId="0" fillId="0" borderId="33" xfId="65" applyFont="1" applyBorder="1" applyAlignment="1">
      <alignment horizontal="center" vertical="center" wrapText="1"/>
      <protection/>
    </xf>
    <xf numFmtId="0" fontId="0" fillId="0" borderId="21" xfId="0" applyBorder="1" applyAlignment="1">
      <alignment horizontal="center"/>
    </xf>
    <xf numFmtId="0" fontId="0" fillId="0" borderId="12" xfId="0" applyBorder="1" applyAlignment="1">
      <alignment horizontal="center"/>
    </xf>
    <xf numFmtId="0" fontId="0" fillId="0" borderId="0" xfId="59" applyBorder="1" applyAlignment="1">
      <alignment horizontal="left" wrapText="1"/>
      <protection/>
    </xf>
    <xf numFmtId="0" fontId="2" fillId="0" borderId="18" xfId="59" applyFont="1" applyFill="1" applyBorder="1" applyAlignment="1">
      <alignment horizontal="center" vertical="center"/>
      <protection/>
    </xf>
    <xf numFmtId="0" fontId="2" fillId="0" borderId="54" xfId="59" applyFont="1" applyFill="1" applyBorder="1" applyAlignment="1">
      <alignment horizontal="center" vertical="center"/>
      <protection/>
    </xf>
    <xf numFmtId="0" fontId="7" fillId="0" borderId="18" xfId="59" applyFont="1" applyBorder="1" applyAlignment="1">
      <alignment horizontal="center" vertical="center"/>
      <protection/>
    </xf>
    <xf numFmtId="0" fontId="7" fillId="0" borderId="54" xfId="59" applyFont="1" applyBorder="1" applyAlignment="1">
      <alignment horizontal="center" vertical="center"/>
      <protection/>
    </xf>
    <xf numFmtId="9" fontId="7" fillId="0" borderId="33" xfId="59" applyNumberFormat="1" applyFont="1" applyBorder="1" applyAlignment="1">
      <alignment horizontal="center"/>
      <protection/>
    </xf>
    <xf numFmtId="9" fontId="7" fillId="0" borderId="21" xfId="59" applyNumberFormat="1" applyFont="1" applyBorder="1" applyAlignment="1">
      <alignment horizontal="center"/>
      <protection/>
    </xf>
    <xf numFmtId="9" fontId="7" fillId="0" borderId="12" xfId="59" applyNumberFormat="1" applyFont="1" applyBorder="1" applyAlignment="1">
      <alignment horizontal="center"/>
      <protection/>
    </xf>
    <xf numFmtId="0" fontId="0" fillId="0" borderId="18" xfId="59" applyFont="1" applyFill="1" applyBorder="1" applyAlignment="1">
      <alignment horizontal="center" vertical="center" wrapText="1" shrinkToFit="1"/>
      <protection/>
    </xf>
    <xf numFmtId="0" fontId="0" fillId="0" borderId="19" xfId="59" applyFont="1" applyFill="1" applyBorder="1" applyAlignment="1">
      <alignment horizontal="center" vertical="center" shrinkToFit="1"/>
      <protection/>
    </xf>
    <xf numFmtId="0" fontId="0" fillId="0" borderId="20" xfId="59" applyFont="1" applyFill="1" applyBorder="1" applyAlignment="1">
      <alignment horizontal="center" vertical="center" shrinkToFit="1"/>
      <protection/>
    </xf>
    <xf numFmtId="0" fontId="0" fillId="0" borderId="18" xfId="59" applyBorder="1" applyAlignment="1">
      <alignment horizontal="left" vertical="center"/>
      <protection/>
    </xf>
    <xf numFmtId="0" fontId="0" fillId="0" borderId="19" xfId="59" applyBorder="1" applyAlignment="1">
      <alignment horizontal="left" vertical="center"/>
      <protection/>
    </xf>
    <xf numFmtId="0" fontId="0" fillId="0" borderId="20" xfId="59" applyBorder="1" applyAlignment="1">
      <alignment horizontal="left" vertical="center"/>
      <protection/>
    </xf>
    <xf numFmtId="165" fontId="2" fillId="39" borderId="55" xfId="42" applyNumberFormat="1" applyFont="1" applyFill="1" applyBorder="1" applyAlignment="1">
      <alignment horizontal="center"/>
    </xf>
    <xf numFmtId="165" fontId="2" fillId="39" borderId="56" xfId="42" applyNumberFormat="1" applyFont="1" applyFill="1" applyBorder="1" applyAlignment="1">
      <alignment horizontal="center"/>
    </xf>
    <xf numFmtId="165" fontId="2" fillId="39" borderId="34" xfId="42" applyNumberFormat="1" applyFont="1" applyFill="1" applyBorder="1" applyAlignment="1">
      <alignment horizontal="center"/>
    </xf>
    <xf numFmtId="165" fontId="2" fillId="39" borderId="22" xfId="42" applyNumberFormat="1" applyFont="1" applyFill="1" applyBorder="1" applyAlignment="1">
      <alignment horizontal="center"/>
    </xf>
    <xf numFmtId="165" fontId="2" fillId="39" borderId="29" xfId="42" applyNumberFormat="1" applyFont="1" applyFill="1" applyBorder="1" applyAlignment="1">
      <alignment horizontal="center"/>
    </xf>
    <xf numFmtId="165" fontId="2" fillId="39" borderId="24" xfId="42" applyNumberFormat="1" applyFont="1" applyFill="1" applyBorder="1" applyAlignment="1">
      <alignment horizontal="center" vertical="center" wrapText="1"/>
    </xf>
    <xf numFmtId="165" fontId="2" fillId="39" borderId="31" xfId="42" applyNumberFormat="1" applyFont="1" applyFill="1" applyBorder="1" applyAlignment="1">
      <alignment horizontal="center" vertical="center" wrapText="1"/>
    </xf>
    <xf numFmtId="165" fontId="2" fillId="39" borderId="13" xfId="42" applyNumberFormat="1" applyFont="1" applyFill="1" applyBorder="1" applyAlignment="1">
      <alignment horizontal="center" vertical="center"/>
    </xf>
    <xf numFmtId="165" fontId="2" fillId="39" borderId="14" xfId="42" applyNumberFormat="1" applyFont="1" applyFill="1" applyBorder="1" applyAlignment="1">
      <alignment horizontal="center" vertical="center"/>
    </xf>
    <xf numFmtId="165" fontId="2" fillId="39" borderId="24" xfId="42" applyNumberFormat="1" applyFont="1" applyFill="1" applyBorder="1" applyAlignment="1">
      <alignment horizontal="center" vertical="center"/>
    </xf>
    <xf numFmtId="165" fontId="2" fillId="39" borderId="31" xfId="42" applyNumberFormat="1" applyFont="1" applyFill="1" applyBorder="1" applyAlignment="1">
      <alignment horizontal="center" vertical="center"/>
    </xf>
    <xf numFmtId="0" fontId="70" fillId="39" borderId="24" xfId="0" applyFont="1" applyFill="1" applyBorder="1" applyAlignment="1">
      <alignment horizontal="center" wrapText="1"/>
    </xf>
    <xf numFmtId="0" fontId="70" fillId="39" borderId="31" xfId="0" applyFont="1" applyFill="1" applyBorder="1" applyAlignment="1">
      <alignment horizontal="center" wrapText="1"/>
    </xf>
    <xf numFmtId="165" fontId="2" fillId="39" borderId="57" xfId="42" applyNumberFormat="1" applyFont="1" applyFill="1" applyBorder="1" applyAlignment="1">
      <alignment horizontal="center" vertical="center" wrapText="1"/>
    </xf>
    <xf numFmtId="165" fontId="2" fillId="39" borderId="58" xfId="42" applyNumberFormat="1" applyFont="1" applyFill="1" applyBorder="1" applyAlignment="1">
      <alignment horizontal="center" vertical="center" wrapText="1"/>
    </xf>
    <xf numFmtId="165" fontId="2" fillId="39" borderId="59" xfId="42" applyNumberFormat="1" applyFont="1" applyFill="1" applyBorder="1" applyAlignment="1">
      <alignment horizontal="center"/>
    </xf>
    <xf numFmtId="164" fontId="0" fillId="39" borderId="18" xfId="68" applyNumberFormat="1" applyFont="1" applyFill="1" applyBorder="1" applyAlignment="1">
      <alignment horizontal="right" vertical="center"/>
    </xf>
    <xf numFmtId="164" fontId="0" fillId="39" borderId="20" xfId="68" applyNumberFormat="1" applyFont="1" applyFill="1" applyBorder="1" applyAlignment="1">
      <alignment horizontal="right" vertical="center"/>
    </xf>
    <xf numFmtId="164" fontId="0" fillId="39" borderId="22" xfId="68" applyNumberFormat="1" applyFont="1" applyFill="1" applyBorder="1" applyAlignment="1">
      <alignment horizontal="right" vertical="center"/>
    </xf>
    <xf numFmtId="164" fontId="0" fillId="39" borderId="10" xfId="68" applyNumberFormat="1" applyFont="1" applyFill="1" applyBorder="1" applyAlignment="1">
      <alignment horizontal="right" vertical="center"/>
    </xf>
    <xf numFmtId="164" fontId="0" fillId="39" borderId="22" xfId="68" applyNumberFormat="1" applyFont="1" applyFill="1" applyBorder="1" applyAlignment="1">
      <alignment horizontal="right" vertical="center"/>
    </xf>
    <xf numFmtId="164" fontId="0" fillId="39" borderId="10" xfId="68" applyNumberFormat="1" applyFont="1" applyFill="1" applyBorder="1" applyAlignment="1">
      <alignment horizontal="right" vertical="center"/>
    </xf>
    <xf numFmtId="0" fontId="8" fillId="39" borderId="34" xfId="0" applyFont="1" applyFill="1" applyBorder="1" applyAlignment="1">
      <alignment horizontal="center" wrapText="1"/>
    </xf>
    <xf numFmtId="0" fontId="8" fillId="39" borderId="22" xfId="0" applyFont="1" applyFill="1" applyBorder="1" applyAlignment="1">
      <alignment horizontal="center" wrapText="1"/>
    </xf>
    <xf numFmtId="0" fontId="8" fillId="39" borderId="29" xfId="0" applyFont="1" applyFill="1" applyBorder="1" applyAlignment="1">
      <alignment horizontal="center" wrapText="1"/>
    </xf>
    <xf numFmtId="0" fontId="8" fillId="39" borderId="27" xfId="0" applyFont="1" applyFill="1" applyBorder="1" applyAlignment="1">
      <alignment horizontal="center" wrapText="1"/>
    </xf>
    <xf numFmtId="0" fontId="8" fillId="39" borderId="10" xfId="0" applyFont="1" applyFill="1" applyBorder="1" applyAlignment="1">
      <alignment horizontal="center" wrapText="1"/>
    </xf>
    <xf numFmtId="0" fontId="8" fillId="39" borderId="28" xfId="0" applyFont="1" applyFill="1" applyBorder="1" applyAlignment="1">
      <alignment horizontal="center" wrapText="1"/>
    </xf>
    <xf numFmtId="0" fontId="8" fillId="39" borderId="33" xfId="0" applyFont="1" applyFill="1" applyBorder="1" applyAlignment="1">
      <alignment horizontal="center"/>
    </xf>
    <xf numFmtId="0" fontId="8" fillId="39" borderId="21" xfId="0" applyFont="1" applyFill="1" applyBorder="1" applyAlignment="1">
      <alignment horizontal="center"/>
    </xf>
    <xf numFmtId="165" fontId="0" fillId="39" borderId="19" xfId="42" applyNumberFormat="1" applyFont="1" applyFill="1" applyBorder="1" applyAlignment="1">
      <alignment horizontal="right" wrapText="1"/>
    </xf>
    <xf numFmtId="165" fontId="0" fillId="39" borderId="20" xfId="42" applyNumberFormat="1" applyFont="1" applyFill="1" applyBorder="1" applyAlignment="1">
      <alignment horizontal="right" wrapText="1"/>
    </xf>
    <xf numFmtId="164" fontId="0" fillId="39" borderId="19" xfId="68" applyNumberFormat="1" applyFont="1" applyFill="1" applyBorder="1" applyAlignment="1">
      <alignment horizontal="right" vertical="center"/>
    </xf>
    <xf numFmtId="164" fontId="0" fillId="39" borderId="20" xfId="68" applyNumberFormat="1" applyFont="1" applyFill="1" applyBorder="1" applyAlignment="1">
      <alignment horizontal="right" vertical="center"/>
    </xf>
    <xf numFmtId="164" fontId="0" fillId="39" borderId="0" xfId="68" applyNumberFormat="1" applyFont="1" applyFill="1" applyBorder="1" applyAlignment="1">
      <alignment horizontal="right" vertical="center"/>
    </xf>
    <xf numFmtId="164" fontId="0" fillId="39" borderId="10" xfId="68" applyNumberFormat="1" applyFont="1" applyFill="1" applyBorder="1" applyAlignment="1">
      <alignment horizontal="right" vertical="center"/>
    </xf>
    <xf numFmtId="164" fontId="0" fillId="39" borderId="25" xfId="68" applyNumberFormat="1" applyFont="1" applyFill="1" applyBorder="1" applyAlignment="1">
      <alignment horizontal="right" vertical="center"/>
    </xf>
    <xf numFmtId="164" fontId="0" fillId="39" borderId="28" xfId="68" applyNumberFormat="1" applyFont="1" applyFill="1" applyBorder="1" applyAlignment="1">
      <alignment horizontal="right" vertical="center"/>
    </xf>
    <xf numFmtId="165" fontId="2" fillId="39" borderId="30" xfId="42" applyNumberFormat="1" applyFont="1" applyFill="1" applyBorder="1" applyAlignment="1">
      <alignment horizontal="center" vertical="center" wrapText="1"/>
    </xf>
    <xf numFmtId="165" fontId="2" fillId="39" borderId="41" xfId="42" applyNumberFormat="1" applyFont="1" applyFill="1" applyBorder="1" applyAlignment="1">
      <alignment horizontal="center"/>
    </xf>
    <xf numFmtId="165" fontId="2" fillId="39" borderId="42" xfId="42" applyNumberFormat="1" applyFont="1" applyFill="1" applyBorder="1" applyAlignment="1">
      <alignment horizontal="center"/>
    </xf>
    <xf numFmtId="165" fontId="2" fillId="39" borderId="23" xfId="42" applyNumberFormat="1" applyFont="1" applyFill="1" applyBorder="1" applyAlignment="1">
      <alignment horizontal="center"/>
    </xf>
    <xf numFmtId="164" fontId="0" fillId="39" borderId="33" xfId="68" applyNumberFormat="1" applyFont="1" applyFill="1" applyBorder="1" applyAlignment="1">
      <alignment horizontal="center"/>
    </xf>
    <xf numFmtId="164" fontId="0" fillId="39" borderId="21" xfId="68" applyNumberFormat="1" applyFont="1" applyFill="1" applyBorder="1" applyAlignment="1">
      <alignment horizontal="center"/>
    </xf>
    <xf numFmtId="164" fontId="0" fillId="39" borderId="12" xfId="68" applyNumberFormat="1" applyFont="1" applyFill="1" applyBorder="1" applyAlignment="1">
      <alignment horizontal="center"/>
    </xf>
    <xf numFmtId="0" fontId="2" fillId="39" borderId="33" xfId="42" applyNumberFormat="1" applyFont="1" applyFill="1" applyBorder="1" applyAlignment="1">
      <alignment horizontal="center"/>
    </xf>
    <xf numFmtId="0" fontId="2" fillId="39" borderId="21" xfId="42" applyNumberFormat="1" applyFont="1" applyFill="1" applyBorder="1" applyAlignment="1">
      <alignment horizontal="center"/>
    </xf>
    <xf numFmtId="0" fontId="0" fillId="39" borderId="14" xfId="42" applyNumberFormat="1" applyFont="1" applyFill="1" applyBorder="1" applyAlignment="1">
      <alignment horizontal="center"/>
    </xf>
    <xf numFmtId="0" fontId="0" fillId="39" borderId="0" xfId="42" applyNumberFormat="1" applyFont="1" applyFill="1" applyBorder="1" applyAlignment="1">
      <alignment horizontal="center"/>
    </xf>
    <xf numFmtId="0" fontId="0" fillId="39" borderId="25" xfId="42" applyNumberFormat="1" applyFont="1" applyFill="1" applyBorder="1" applyAlignment="1">
      <alignment horizontal="center"/>
    </xf>
    <xf numFmtId="165" fontId="0" fillId="39" borderId="18" xfId="42" applyNumberFormat="1" applyFont="1" applyFill="1" applyBorder="1" applyAlignment="1">
      <alignment horizontal="center" vertical="center" wrapText="1"/>
    </xf>
    <xf numFmtId="165" fontId="0" fillId="39" borderId="28" xfId="42" applyNumberFormat="1" applyFont="1" applyFill="1" applyBorder="1" applyAlignment="1">
      <alignment horizontal="center" vertical="center" wrapText="1"/>
    </xf>
    <xf numFmtId="0" fontId="2" fillId="39" borderId="24" xfId="42" applyNumberFormat="1" applyFont="1" applyFill="1" applyBorder="1" applyAlignment="1">
      <alignment horizontal="center" vertical="center" wrapText="1"/>
    </xf>
    <xf numFmtId="0" fontId="2" fillId="39" borderId="30" xfId="42" applyNumberFormat="1" applyFont="1" applyFill="1" applyBorder="1" applyAlignment="1">
      <alignment horizontal="center" vertical="center" wrapText="1"/>
    </xf>
    <xf numFmtId="165" fontId="8" fillId="39" borderId="33" xfId="42" applyNumberFormat="1" applyFont="1" applyFill="1" applyBorder="1" applyAlignment="1">
      <alignment horizontal="center"/>
    </xf>
    <xf numFmtId="165" fontId="8" fillId="39" borderId="21" xfId="42" applyNumberFormat="1" applyFont="1" applyFill="1" applyBorder="1" applyAlignment="1">
      <alignment horizontal="center"/>
    </xf>
    <xf numFmtId="165" fontId="8" fillId="39" borderId="12" xfId="42" applyNumberFormat="1" applyFont="1" applyFill="1" applyBorder="1" applyAlignment="1">
      <alignment horizontal="center"/>
    </xf>
    <xf numFmtId="165" fontId="2" fillId="39" borderId="39" xfId="42" applyNumberFormat="1" applyFont="1" applyFill="1" applyBorder="1" applyAlignment="1">
      <alignment horizontal="center" vertical="center"/>
    </xf>
    <xf numFmtId="165" fontId="2" fillId="39" borderId="60" xfId="42" applyNumberFormat="1" applyFont="1" applyFill="1" applyBorder="1" applyAlignment="1">
      <alignment horizontal="center" vertical="center"/>
    </xf>
    <xf numFmtId="165" fontId="2" fillId="39" borderId="61" xfId="42" applyNumberFormat="1" applyFont="1" applyFill="1" applyBorder="1" applyAlignment="1">
      <alignment horizontal="center" vertical="center" wrapText="1"/>
    </xf>
    <xf numFmtId="165" fontId="2" fillId="39" borderId="47" xfId="42" applyNumberFormat="1" applyFont="1" applyFill="1" applyBorder="1" applyAlignment="1">
      <alignment horizontal="center" vertical="center" wrapText="1"/>
    </xf>
    <xf numFmtId="0" fontId="0" fillId="39" borderId="33" xfId="42" applyNumberFormat="1" applyFont="1" applyFill="1" applyBorder="1" applyAlignment="1">
      <alignment horizontal="center"/>
    </xf>
    <xf numFmtId="0" fontId="0" fillId="39" borderId="21" xfId="42" applyNumberFormat="1" applyFont="1" applyFill="1" applyBorder="1" applyAlignment="1">
      <alignment horizontal="center"/>
    </xf>
    <xf numFmtId="0" fontId="0" fillId="39" borderId="12" xfId="42" applyNumberFormat="1" applyFont="1" applyFill="1" applyBorder="1" applyAlignment="1">
      <alignment horizontal="center"/>
    </xf>
    <xf numFmtId="165" fontId="0" fillId="39" borderId="11" xfId="42" applyNumberFormat="1" applyFont="1" applyFill="1" applyBorder="1" applyAlignment="1">
      <alignment horizontal="center" wrapText="1"/>
    </xf>
    <xf numFmtId="165" fontId="0" fillId="39" borderId="11" xfId="42" applyNumberFormat="1" applyFont="1" applyFill="1" applyBorder="1" applyAlignment="1">
      <alignment horizontal="center" wrapText="1"/>
    </xf>
    <xf numFmtId="165" fontId="8" fillId="39" borderId="34" xfId="42" applyNumberFormat="1" applyFont="1" applyFill="1" applyBorder="1" applyAlignment="1">
      <alignment horizontal="center"/>
    </xf>
    <xf numFmtId="165" fontId="8" fillId="39" borderId="22" xfId="42" applyNumberFormat="1" applyFont="1" applyFill="1" applyBorder="1" applyAlignment="1">
      <alignment horizontal="center"/>
    </xf>
    <xf numFmtId="165" fontId="8" fillId="39" borderId="29" xfId="42" applyNumberFormat="1" applyFont="1" applyFill="1" applyBorder="1" applyAlignment="1">
      <alignment horizontal="center"/>
    </xf>
    <xf numFmtId="165" fontId="2" fillId="39" borderId="34" xfId="42" applyNumberFormat="1" applyFont="1" applyFill="1" applyBorder="1" applyAlignment="1">
      <alignment horizontal="center" vertical="center"/>
    </xf>
    <xf numFmtId="165" fontId="2" fillId="39" borderId="22" xfId="42" applyNumberFormat="1" applyFont="1" applyFill="1" applyBorder="1" applyAlignment="1">
      <alignment horizontal="center" vertical="center"/>
    </xf>
    <xf numFmtId="165" fontId="2" fillId="39" borderId="29" xfId="42" applyNumberFormat="1" applyFont="1" applyFill="1" applyBorder="1" applyAlignment="1">
      <alignment horizontal="center" vertical="center"/>
    </xf>
    <xf numFmtId="165" fontId="2" fillId="39" borderId="27" xfId="42" applyNumberFormat="1" applyFont="1" applyFill="1" applyBorder="1" applyAlignment="1">
      <alignment horizontal="center" vertical="center"/>
    </xf>
    <xf numFmtId="165" fontId="2" fillId="39" borderId="10" xfId="42" applyNumberFormat="1" applyFont="1" applyFill="1" applyBorder="1" applyAlignment="1">
      <alignment horizontal="center" vertical="center"/>
    </xf>
    <xf numFmtId="165" fontId="2" fillId="39" borderId="28" xfId="42" applyNumberFormat="1" applyFont="1" applyFill="1" applyBorder="1" applyAlignment="1">
      <alignment horizontal="center" vertical="center"/>
    </xf>
    <xf numFmtId="165" fontId="2" fillId="39" borderId="62" xfId="42" applyNumberFormat="1" applyFont="1" applyFill="1" applyBorder="1" applyAlignment="1">
      <alignment horizontal="center"/>
    </xf>
    <xf numFmtId="165" fontId="2" fillId="39" borderId="32" xfId="42" applyNumberFormat="1" applyFont="1" applyFill="1" applyBorder="1" applyAlignment="1">
      <alignment horizontal="center"/>
    </xf>
    <xf numFmtId="3" fontId="0" fillId="39" borderId="27" xfId="42" applyNumberFormat="1" applyFont="1" applyFill="1" applyBorder="1" applyAlignment="1">
      <alignment horizontal="center"/>
    </xf>
    <xf numFmtId="3" fontId="0" fillId="39" borderId="10" xfId="42" applyNumberFormat="1" applyFont="1" applyFill="1" applyBorder="1" applyAlignment="1">
      <alignment horizontal="center"/>
    </xf>
    <xf numFmtId="165" fontId="0" fillId="39" borderId="34" xfId="42" applyNumberFormat="1" applyFont="1" applyFill="1" applyBorder="1" applyAlignment="1">
      <alignment horizontal="right" vertical="center" wrapText="1"/>
    </xf>
    <xf numFmtId="165" fontId="0" fillId="39" borderId="27" xfId="42" applyNumberFormat="1" applyFont="1" applyFill="1" applyBorder="1" applyAlignment="1">
      <alignment horizontal="right" vertical="center" wrapText="1"/>
    </xf>
    <xf numFmtId="165" fontId="0" fillId="39" borderId="0" xfId="42" applyNumberFormat="1" applyFont="1" applyFill="1" applyAlignment="1">
      <alignment horizontal="center"/>
    </xf>
    <xf numFmtId="3" fontId="0" fillId="39" borderId="34" xfId="42" applyNumberFormat="1" applyFont="1" applyFill="1" applyBorder="1" applyAlignment="1">
      <alignment horizontal="center"/>
    </xf>
    <xf numFmtId="3" fontId="0" fillId="39" borderId="22" xfId="42" applyNumberFormat="1" applyFont="1" applyFill="1" applyBorder="1" applyAlignment="1">
      <alignment horizontal="center"/>
    </xf>
    <xf numFmtId="0" fontId="2" fillId="39" borderId="0" xfId="0" applyFont="1" applyFill="1" applyAlignment="1">
      <alignment wrapText="1"/>
    </xf>
    <xf numFmtId="165" fontId="2" fillId="39" borderId="53" xfId="42" applyNumberFormat="1" applyFont="1" applyFill="1" applyBorder="1" applyAlignment="1">
      <alignment horizontal="center" vertical="center"/>
    </xf>
    <xf numFmtId="165" fontId="2" fillId="39" borderId="62" xfId="42" applyNumberFormat="1" applyFont="1" applyFill="1" applyBorder="1" applyAlignment="1">
      <alignment horizontal="center" vertical="center"/>
    </xf>
    <xf numFmtId="165" fontId="2" fillId="39" borderId="32" xfId="42" applyNumberFormat="1" applyFont="1" applyFill="1" applyBorder="1" applyAlignment="1">
      <alignment horizontal="center" vertical="center"/>
    </xf>
    <xf numFmtId="165" fontId="2" fillId="39" borderId="53" xfId="42" applyNumberFormat="1" applyFont="1" applyFill="1" applyBorder="1" applyAlignment="1">
      <alignment horizontal="center"/>
    </xf>
    <xf numFmtId="165" fontId="2" fillId="39" borderId="63" xfId="42" applyNumberFormat="1" applyFont="1" applyFill="1" applyBorder="1" applyAlignment="1">
      <alignment horizontal="center" vertical="center"/>
    </xf>
    <xf numFmtId="165" fontId="2" fillId="39" borderId="64" xfId="42" applyNumberFormat="1" applyFont="1" applyFill="1" applyBorder="1" applyAlignment="1">
      <alignment horizontal="center" vertical="center"/>
    </xf>
    <xf numFmtId="165" fontId="2" fillId="39" borderId="65" xfId="42" applyNumberFormat="1" applyFont="1" applyFill="1" applyBorder="1" applyAlignment="1">
      <alignment horizontal="center" vertical="center"/>
    </xf>
    <xf numFmtId="165" fontId="2" fillId="39" borderId="66" xfId="42" applyNumberFormat="1" applyFont="1" applyFill="1" applyBorder="1" applyAlignment="1">
      <alignment horizontal="center" vertical="center"/>
    </xf>
    <xf numFmtId="165" fontId="2" fillId="39" borderId="38" xfId="42" applyNumberFormat="1" applyFont="1" applyFill="1" applyBorder="1" applyAlignment="1">
      <alignment horizontal="center"/>
    </xf>
    <xf numFmtId="0" fontId="8" fillId="39" borderId="12" xfId="0" applyFont="1" applyFill="1" applyBorder="1" applyAlignment="1">
      <alignment horizontal="center"/>
    </xf>
    <xf numFmtId="0" fontId="0" fillId="39" borderId="27" xfId="0" applyFont="1" applyFill="1" applyBorder="1" applyAlignment="1">
      <alignment wrapText="1"/>
    </xf>
    <xf numFmtId="0" fontId="0" fillId="39" borderId="10" xfId="0" applyFill="1" applyBorder="1" applyAlignment="1">
      <alignment/>
    </xf>
    <xf numFmtId="0" fontId="0" fillId="39" borderId="28" xfId="0" applyFill="1" applyBorder="1" applyAlignment="1">
      <alignment/>
    </xf>
    <xf numFmtId="0" fontId="0" fillId="39" borderId="26" xfId="0" applyFont="1" applyFill="1" applyBorder="1" applyAlignment="1">
      <alignment wrapText="1"/>
    </xf>
    <xf numFmtId="0" fontId="0" fillId="39" borderId="0" xfId="0" applyFill="1" applyBorder="1" applyAlignment="1">
      <alignment/>
    </xf>
    <xf numFmtId="0" fontId="0" fillId="39" borderId="25" xfId="0" applyFill="1" applyBorder="1" applyAlignment="1">
      <alignment/>
    </xf>
    <xf numFmtId="0" fontId="0" fillId="39" borderId="34" xfId="0" applyFont="1" applyFill="1" applyBorder="1" applyAlignment="1">
      <alignment wrapText="1"/>
    </xf>
    <xf numFmtId="0" fontId="0" fillId="39" borderId="22" xfId="0" applyFont="1" applyFill="1" applyBorder="1" applyAlignment="1">
      <alignment wrapText="1"/>
    </xf>
    <xf numFmtId="0" fontId="0" fillId="39" borderId="29" xfId="0" applyFont="1" applyFill="1" applyBorder="1" applyAlignment="1">
      <alignment wrapText="1"/>
    </xf>
    <xf numFmtId="0" fontId="11" fillId="39" borderId="33" xfId="0" applyFont="1" applyFill="1" applyBorder="1" applyAlignment="1">
      <alignment horizontal="center"/>
    </xf>
    <xf numFmtId="0" fontId="11" fillId="39" borderId="21" xfId="0" applyFont="1" applyFill="1" applyBorder="1" applyAlignment="1">
      <alignment horizontal="center"/>
    </xf>
    <xf numFmtId="0" fontId="11" fillId="39" borderId="12" xfId="0" applyFont="1" applyFill="1" applyBorder="1" applyAlignment="1">
      <alignment horizontal="center"/>
    </xf>
    <xf numFmtId="0" fontId="0" fillId="39" borderId="0" xfId="0" applyFill="1" applyBorder="1" applyAlignment="1">
      <alignment wrapText="1"/>
    </xf>
    <xf numFmtId="0" fontId="0" fillId="39" borderId="25" xfId="0" applyFill="1" applyBorder="1" applyAlignment="1">
      <alignment wrapText="1"/>
    </xf>
    <xf numFmtId="43" fontId="2" fillId="39" borderId="33" xfId="42" applyFont="1" applyFill="1" applyBorder="1" applyAlignment="1">
      <alignment horizontal="center"/>
    </xf>
    <xf numFmtId="43" fontId="2" fillId="39" borderId="21" xfId="42" applyFont="1" applyFill="1" applyBorder="1" applyAlignment="1">
      <alignment horizontal="center"/>
    </xf>
    <xf numFmtId="43" fontId="2" fillId="39" borderId="12" xfId="42" applyFont="1" applyFill="1" applyBorder="1" applyAlignment="1">
      <alignment horizontal="center"/>
    </xf>
    <xf numFmtId="0" fontId="2" fillId="39" borderId="21" xfId="42" applyNumberFormat="1" applyFont="1" applyFill="1" applyBorder="1" applyAlignment="1" quotePrefix="1">
      <alignment horizontal="center"/>
    </xf>
    <xf numFmtId="0" fontId="2" fillId="39" borderId="12" xfId="42" applyNumberFormat="1" applyFont="1" applyFill="1" applyBorder="1" applyAlignment="1" quotePrefix="1">
      <alignment horizontal="center"/>
    </xf>
    <xf numFmtId="43" fontId="2" fillId="39" borderId="18" xfId="42" applyFont="1" applyFill="1" applyBorder="1" applyAlignment="1">
      <alignment horizontal="center" wrapText="1"/>
    </xf>
    <xf numFmtId="43" fontId="2" fillId="39" borderId="20" xfId="42" applyFont="1" applyFill="1" applyBorder="1" applyAlignment="1">
      <alignment horizontal="center" wrapText="1"/>
    </xf>
    <xf numFmtId="165" fontId="2" fillId="39" borderId="33" xfId="42" applyNumberFormat="1" applyFont="1" applyFill="1" applyBorder="1" applyAlignment="1">
      <alignment horizontal="center"/>
    </xf>
    <xf numFmtId="165" fontId="2" fillId="39" borderId="12" xfId="42" applyNumberFormat="1" applyFont="1" applyFill="1" applyBorder="1" applyAlignment="1">
      <alignment horizontal="center"/>
    </xf>
    <xf numFmtId="43" fontId="2" fillId="39" borderId="33" xfId="42" applyFont="1" applyFill="1" applyBorder="1" applyAlignment="1">
      <alignment horizontal="center" vertical="center"/>
    </xf>
    <xf numFmtId="43" fontId="2" fillId="39" borderId="21" xfId="42" applyFont="1" applyFill="1" applyBorder="1" applyAlignment="1">
      <alignment horizontal="center" vertical="center"/>
    </xf>
    <xf numFmtId="43" fontId="2" fillId="39" borderId="12" xfId="42" applyFont="1" applyFill="1" applyBorder="1" applyAlignment="1">
      <alignment horizontal="center" vertical="center"/>
    </xf>
    <xf numFmtId="9" fontId="0" fillId="39" borderId="26" xfId="68" applyFont="1" applyFill="1" applyBorder="1" applyAlignment="1">
      <alignment horizontal="center"/>
    </xf>
    <xf numFmtId="9" fontId="0" fillId="39" borderId="25" xfId="68" applyFont="1" applyFill="1" applyBorder="1" applyAlignment="1">
      <alignment horizontal="center"/>
    </xf>
    <xf numFmtId="0" fontId="0" fillId="39" borderId="21" xfId="0" applyFont="1" applyFill="1" applyBorder="1" applyAlignment="1">
      <alignment horizontal="center"/>
    </xf>
    <xf numFmtId="0" fontId="0" fillId="39" borderId="12" xfId="0" applyFont="1" applyFill="1" applyBorder="1" applyAlignment="1">
      <alignment horizontal="center"/>
    </xf>
    <xf numFmtId="0" fontId="2" fillId="39" borderId="18" xfId="0" applyFont="1" applyFill="1" applyBorder="1" applyAlignment="1">
      <alignment horizontal="center" vertical="center"/>
    </xf>
    <xf numFmtId="0" fontId="2" fillId="39" borderId="20" xfId="0" applyFont="1" applyFill="1" applyBorder="1" applyAlignment="1">
      <alignment horizontal="center" vertical="center"/>
    </xf>
    <xf numFmtId="43" fontId="2" fillId="39" borderId="34" xfId="42" applyFont="1" applyFill="1" applyBorder="1" applyAlignment="1">
      <alignment horizontal="center" wrapText="1"/>
    </xf>
    <xf numFmtId="43" fontId="2" fillId="39" borderId="29" xfId="42" applyFont="1" applyFill="1" applyBorder="1" applyAlignment="1">
      <alignment horizontal="center" wrapText="1"/>
    </xf>
    <xf numFmtId="43" fontId="2" fillId="39" borderId="27" xfId="42" applyFont="1" applyFill="1" applyBorder="1" applyAlignment="1">
      <alignment horizontal="center" wrapText="1"/>
    </xf>
    <xf numFmtId="43" fontId="2" fillId="39" borderId="28" xfId="42" applyFont="1" applyFill="1" applyBorder="1" applyAlignment="1">
      <alignment horizontal="center" wrapText="1"/>
    </xf>
    <xf numFmtId="165" fontId="2" fillId="39" borderId="21" xfId="42" applyNumberFormat="1" applyFont="1" applyFill="1" applyBorder="1" applyAlignment="1">
      <alignment horizontal="center"/>
    </xf>
    <xf numFmtId="3" fontId="0" fillId="39" borderId="26" xfId="68" applyNumberFormat="1" applyFont="1" applyFill="1" applyBorder="1" applyAlignment="1">
      <alignment horizontal="center"/>
    </xf>
    <xf numFmtId="3" fontId="0" fillId="39" borderId="25" xfId="68" applyNumberFormat="1" applyFont="1" applyFill="1" applyBorder="1" applyAlignment="1">
      <alignment horizontal="center"/>
    </xf>
    <xf numFmtId="9" fontId="0" fillId="39" borderId="26" xfId="68" applyNumberFormat="1" applyFont="1" applyFill="1" applyBorder="1" applyAlignment="1">
      <alignment horizontal="center"/>
    </xf>
    <xf numFmtId="9" fontId="0" fillId="39" borderId="25" xfId="68" applyNumberFormat="1" applyFont="1" applyFill="1" applyBorder="1" applyAlignment="1">
      <alignment horizontal="center"/>
    </xf>
    <xf numFmtId="1" fontId="0" fillId="39" borderId="26" xfId="68" applyNumberFormat="1" applyFont="1" applyFill="1" applyBorder="1" applyAlignment="1">
      <alignment horizontal="center"/>
    </xf>
    <xf numFmtId="1" fontId="0" fillId="39" borderId="25" xfId="68" applyNumberFormat="1" applyFont="1" applyFill="1" applyBorder="1" applyAlignment="1">
      <alignment horizontal="center"/>
    </xf>
    <xf numFmtId="43" fontId="2" fillId="39" borderId="33" xfId="42" applyFont="1" applyFill="1" applyBorder="1" applyAlignment="1" quotePrefix="1">
      <alignment horizontal="center"/>
    </xf>
    <xf numFmtId="43" fontId="2" fillId="39" borderId="21" xfId="42" applyFont="1" applyFill="1" applyBorder="1" applyAlignment="1" quotePrefix="1">
      <alignment horizontal="center"/>
    </xf>
    <xf numFmtId="43" fontId="2" fillId="39" borderId="12" xfId="42" applyFont="1" applyFill="1" applyBorder="1" applyAlignment="1" quotePrefix="1">
      <alignment horizontal="center"/>
    </xf>
    <xf numFmtId="0" fontId="2" fillId="39" borderId="33" xfId="0" applyFont="1" applyFill="1" applyBorder="1" applyAlignment="1">
      <alignment horizontal="center"/>
    </xf>
    <xf numFmtId="0" fontId="2" fillId="39" borderId="21" xfId="0" applyFont="1" applyFill="1" applyBorder="1" applyAlignment="1">
      <alignment horizontal="center"/>
    </xf>
    <xf numFmtId="0" fontId="2" fillId="39" borderId="12" xfId="0" applyFont="1" applyFill="1" applyBorder="1" applyAlignment="1">
      <alignment horizontal="center"/>
    </xf>
    <xf numFmtId="9" fontId="2" fillId="39" borderId="34" xfId="42" applyNumberFormat="1" applyFont="1" applyFill="1" applyBorder="1" applyAlignment="1">
      <alignment horizontal="center" wrapText="1"/>
    </xf>
    <xf numFmtId="9" fontId="2" fillId="39" borderId="22" xfId="42" applyNumberFormat="1" applyFont="1" applyFill="1" applyBorder="1" applyAlignment="1">
      <alignment horizontal="center" wrapText="1"/>
    </xf>
    <xf numFmtId="9" fontId="2" fillId="39" borderId="29" xfId="42" applyNumberFormat="1" applyFont="1" applyFill="1" applyBorder="1" applyAlignment="1">
      <alignment horizontal="center" wrapText="1"/>
    </xf>
    <xf numFmtId="9" fontId="2" fillId="39" borderId="27" xfId="42" applyNumberFormat="1" applyFont="1" applyFill="1" applyBorder="1" applyAlignment="1">
      <alignment horizontal="center" wrapText="1"/>
    </xf>
    <xf numFmtId="9" fontId="2" fillId="39" borderId="10" xfId="42" applyNumberFormat="1" applyFont="1" applyFill="1" applyBorder="1" applyAlignment="1">
      <alignment horizontal="center" wrapText="1"/>
    </xf>
    <xf numFmtId="9" fontId="2" fillId="39" borderId="28" xfId="42" applyNumberFormat="1" applyFont="1" applyFill="1" applyBorder="1" applyAlignment="1">
      <alignment horizontal="center" wrapText="1"/>
    </xf>
    <xf numFmtId="0" fontId="0" fillId="39" borderId="33" xfId="0" applyFont="1" applyFill="1" applyBorder="1" applyAlignment="1">
      <alignment horizontal="center"/>
    </xf>
    <xf numFmtId="0" fontId="0" fillId="39" borderId="21" xfId="0" applyFont="1" applyFill="1" applyBorder="1" applyAlignment="1">
      <alignment horizontal="center"/>
    </xf>
    <xf numFmtId="0" fontId="0" fillId="39" borderId="18" xfId="0" applyFont="1" applyFill="1" applyBorder="1" applyAlignment="1">
      <alignment horizontal="center" vertical="center"/>
    </xf>
    <xf numFmtId="0" fontId="0" fillId="39" borderId="20" xfId="0" applyFont="1" applyFill="1" applyBorder="1" applyAlignment="1">
      <alignment horizontal="center" vertical="center"/>
    </xf>
    <xf numFmtId="0" fontId="0" fillId="39" borderId="0" xfId="0" applyFont="1" applyFill="1" applyAlignment="1" quotePrefix="1">
      <alignment horizontal="left" wrapText="1"/>
    </xf>
    <xf numFmtId="0" fontId="0" fillId="39" borderId="19" xfId="0" applyFont="1" applyFill="1" applyBorder="1" applyAlignment="1">
      <alignment horizontal="left" wrapText="1"/>
    </xf>
    <xf numFmtId="0" fontId="0" fillId="39" borderId="20" xfId="0" applyFont="1" applyFill="1" applyBorder="1" applyAlignment="1">
      <alignment horizontal="left" wrapText="1"/>
    </xf>
    <xf numFmtId="0" fontId="0" fillId="39" borderId="0" xfId="0" applyFont="1" applyFill="1" applyAlignment="1">
      <alignment horizontal="center" vertical="center"/>
    </xf>
    <xf numFmtId="1" fontId="0" fillId="39" borderId="19" xfId="68" applyNumberFormat="1" applyFont="1" applyFill="1" applyBorder="1" applyAlignment="1">
      <alignment horizontal="center" vertical="center"/>
    </xf>
    <xf numFmtId="1" fontId="0" fillId="39" borderId="20" xfId="68" applyNumberFormat="1" applyFont="1" applyFill="1" applyBorder="1" applyAlignment="1">
      <alignment horizontal="center" vertical="center"/>
    </xf>
    <xf numFmtId="43" fontId="0" fillId="39" borderId="33" xfId="42" applyFont="1" applyFill="1" applyBorder="1" applyAlignment="1">
      <alignment horizontal="center"/>
    </xf>
    <xf numFmtId="43" fontId="0" fillId="39" borderId="21" xfId="42" applyFont="1" applyFill="1" applyBorder="1" applyAlignment="1">
      <alignment horizontal="center"/>
    </xf>
    <xf numFmtId="43" fontId="0" fillId="39" borderId="12" xfId="42" applyFont="1" applyFill="1" applyBorder="1" applyAlignment="1">
      <alignment horizontal="center"/>
    </xf>
    <xf numFmtId="0" fontId="0" fillId="39" borderId="34" xfId="0" applyFont="1" applyFill="1" applyBorder="1" applyAlignment="1">
      <alignment horizontal="center" wrapText="1"/>
    </xf>
    <xf numFmtId="0" fontId="0" fillId="39" borderId="26" xfId="0" applyFont="1" applyFill="1" applyBorder="1" applyAlignment="1">
      <alignment horizontal="center" wrapText="1"/>
    </xf>
    <xf numFmtId="0" fontId="0" fillId="39" borderId="18" xfId="0" applyFont="1" applyFill="1" applyBorder="1" applyAlignment="1">
      <alignment horizontal="center" wrapText="1"/>
    </xf>
    <xf numFmtId="0" fontId="0" fillId="39" borderId="19" xfId="0" applyFont="1" applyFill="1" applyBorder="1" applyAlignment="1">
      <alignment horizontal="center" wrapText="1"/>
    </xf>
    <xf numFmtId="0" fontId="0" fillId="39" borderId="20" xfId="0" applyFont="1" applyFill="1" applyBorder="1" applyAlignment="1">
      <alignment horizontal="center" wrapText="1"/>
    </xf>
    <xf numFmtId="0" fontId="0" fillId="39" borderId="19" xfId="0" applyFont="1" applyFill="1" applyBorder="1" applyAlignment="1">
      <alignment horizontal="center" wrapText="1"/>
    </xf>
    <xf numFmtId="0" fontId="0" fillId="39" borderId="20" xfId="0" applyFont="1" applyFill="1" applyBorder="1" applyAlignment="1">
      <alignment horizontal="center" wrapText="1"/>
    </xf>
    <xf numFmtId="0" fontId="2" fillId="39" borderId="33" xfId="0" applyNumberFormat="1" applyFont="1" applyFill="1" applyBorder="1" applyAlignment="1">
      <alignment horizontal="center"/>
    </xf>
    <xf numFmtId="0" fontId="2" fillId="39" borderId="21" xfId="0" applyNumberFormat="1" applyFont="1" applyFill="1" applyBorder="1" applyAlignment="1">
      <alignment horizontal="center"/>
    </xf>
    <xf numFmtId="0" fontId="2" fillId="39" borderId="12" xfId="0" applyNumberFormat="1" applyFont="1" applyFill="1" applyBorder="1" applyAlignment="1">
      <alignment horizontal="center"/>
    </xf>
    <xf numFmtId="43" fontId="2" fillId="39" borderId="22" xfId="42" applyFont="1" applyFill="1" applyBorder="1" applyAlignment="1">
      <alignment horizontal="center" wrapText="1"/>
    </xf>
    <xf numFmtId="43" fontId="2" fillId="39" borderId="10" xfId="42" applyFont="1" applyFill="1" applyBorder="1" applyAlignment="1">
      <alignment horizontal="center" wrapText="1"/>
    </xf>
    <xf numFmtId="0" fontId="0" fillId="39" borderId="22" xfId="0" applyFont="1" applyFill="1" applyBorder="1" applyAlignment="1">
      <alignment horizontal="center" wrapText="1"/>
    </xf>
    <xf numFmtId="0" fontId="0" fillId="39" borderId="0" xfId="0" applyFont="1" applyFill="1" applyBorder="1" applyAlignment="1">
      <alignment horizontal="center" wrapText="1"/>
    </xf>
    <xf numFmtId="43" fontId="0" fillId="39" borderId="34" xfId="42" applyFont="1" applyFill="1" applyBorder="1" applyAlignment="1">
      <alignment horizontal="center" vertical="center"/>
    </xf>
    <xf numFmtId="43" fontId="0" fillId="39" borderId="27" xfId="42" applyFont="1" applyFill="1" applyBorder="1" applyAlignment="1">
      <alignment horizontal="center" vertical="center"/>
    </xf>
    <xf numFmtId="43" fontId="0" fillId="39" borderId="18" xfId="42" applyFont="1" applyFill="1" applyBorder="1" applyAlignment="1">
      <alignment horizontal="center" vertical="center"/>
    </xf>
    <xf numFmtId="43" fontId="0" fillId="39" borderId="19" xfId="42" applyFont="1" applyFill="1" applyBorder="1" applyAlignment="1">
      <alignment horizontal="center" vertical="center"/>
    </xf>
    <xf numFmtId="43" fontId="0" fillId="39" borderId="20" xfId="42" applyFont="1" applyFill="1" applyBorder="1" applyAlignment="1">
      <alignment horizontal="center" vertical="center"/>
    </xf>
    <xf numFmtId="43" fontId="0" fillId="39" borderId="29" xfId="42" applyFont="1" applyFill="1" applyBorder="1" applyAlignment="1">
      <alignment horizontal="center" vertical="center" wrapText="1"/>
    </xf>
    <xf numFmtId="43" fontId="0" fillId="39" borderId="25" xfId="42" applyFont="1" applyFill="1" applyBorder="1" applyAlignment="1">
      <alignment horizontal="center" vertical="center" wrapText="1"/>
    </xf>
    <xf numFmtId="43" fontId="0" fillId="39" borderId="28" xfId="42" applyFont="1" applyFill="1" applyBorder="1" applyAlignment="1">
      <alignment horizontal="center" vertical="center" wrapText="1"/>
    </xf>
    <xf numFmtId="43" fontId="0" fillId="39" borderId="18" xfId="42" applyFont="1" applyFill="1" applyBorder="1" applyAlignment="1">
      <alignment horizontal="center" vertical="center" wrapText="1"/>
    </xf>
    <xf numFmtId="43" fontId="0" fillId="39" borderId="19" xfId="42" applyFont="1" applyFill="1" applyBorder="1" applyAlignment="1">
      <alignment horizontal="center" vertical="center" wrapText="1"/>
    </xf>
    <xf numFmtId="43" fontId="0" fillId="39" borderId="20" xfId="42" applyFont="1" applyFill="1" applyBorder="1" applyAlignment="1">
      <alignment horizontal="center" vertical="center" wrapText="1"/>
    </xf>
    <xf numFmtId="0" fontId="0" fillId="39" borderId="27" xfId="0" applyFont="1" applyFill="1" applyBorder="1" applyAlignment="1">
      <alignment horizontal="center" wrapText="1"/>
    </xf>
    <xf numFmtId="0" fontId="2" fillId="39" borderId="22" xfId="0" applyFont="1" applyFill="1" applyBorder="1" applyAlignment="1">
      <alignment horizontal="center"/>
    </xf>
    <xf numFmtId="0" fontId="0" fillId="39" borderId="29" xfId="0" applyFont="1" applyFill="1" applyBorder="1" applyAlignment="1">
      <alignment horizontal="center" wrapText="1"/>
    </xf>
    <xf numFmtId="0" fontId="0" fillId="39" borderId="10" xfId="0" applyFont="1" applyFill="1" applyBorder="1" applyAlignment="1">
      <alignment horizontal="center" wrapText="1"/>
    </xf>
    <xf numFmtId="9" fontId="73" fillId="39" borderId="26" xfId="0" applyNumberFormat="1" applyFont="1" applyFill="1" applyBorder="1" applyAlignment="1">
      <alignment horizontal="center"/>
    </xf>
    <xf numFmtId="9" fontId="73" fillId="39" borderId="25" xfId="0" applyNumberFormat="1" applyFont="1" applyFill="1" applyBorder="1" applyAlignment="1">
      <alignment horizontal="center"/>
    </xf>
    <xf numFmtId="9" fontId="73" fillId="39" borderId="34" xfId="0" applyNumberFormat="1" applyFont="1" applyFill="1" applyBorder="1" applyAlignment="1">
      <alignment horizontal="center"/>
    </xf>
    <xf numFmtId="9" fontId="73" fillId="39" borderId="29" xfId="0" applyNumberFormat="1" applyFont="1" applyFill="1" applyBorder="1" applyAlignment="1">
      <alignment horizontal="center"/>
    </xf>
    <xf numFmtId="0" fontId="2" fillId="39" borderId="34" xfId="0" applyFont="1" applyFill="1" applyBorder="1" applyAlignment="1">
      <alignment horizontal="center"/>
    </xf>
    <xf numFmtId="0" fontId="2" fillId="39" borderId="29" xfId="0" applyFont="1" applyFill="1" applyBorder="1" applyAlignment="1">
      <alignment horizontal="center"/>
    </xf>
    <xf numFmtId="0" fontId="2" fillId="39" borderId="11" xfId="0" applyFont="1" applyFill="1" applyBorder="1" applyAlignment="1">
      <alignment horizontal="center" vertical="center"/>
    </xf>
    <xf numFmtId="165" fontId="2" fillId="39" borderId="11" xfId="0" applyNumberFormat="1" applyFont="1" applyFill="1" applyBorder="1" applyAlignment="1">
      <alignment horizontal="center" vertical="center"/>
    </xf>
    <xf numFmtId="165" fontId="2" fillId="39" borderId="11" xfId="0" applyNumberFormat="1" applyFont="1" applyFill="1" applyBorder="1" applyAlignment="1" quotePrefix="1">
      <alignment horizontal="center" vertical="center"/>
    </xf>
    <xf numFmtId="0" fontId="2" fillId="39" borderId="22" xfId="0" applyFont="1" applyFill="1" applyBorder="1" applyAlignment="1">
      <alignment horizontal="center" wrapText="1"/>
    </xf>
    <xf numFmtId="0" fontId="2" fillId="39" borderId="10" xfId="0" applyFont="1" applyFill="1" applyBorder="1" applyAlignment="1">
      <alignment horizontal="center" wrapText="1"/>
    </xf>
    <xf numFmtId="0" fontId="2" fillId="39" borderId="34" xfId="0" applyFont="1" applyFill="1" applyBorder="1" applyAlignment="1">
      <alignment horizontal="center" wrapText="1"/>
    </xf>
    <xf numFmtId="0" fontId="2" fillId="39" borderId="29" xfId="0" applyFont="1" applyFill="1" applyBorder="1" applyAlignment="1">
      <alignment horizontal="center" wrapText="1"/>
    </xf>
    <xf numFmtId="0" fontId="2" fillId="39" borderId="27" xfId="0" applyFont="1" applyFill="1" applyBorder="1" applyAlignment="1">
      <alignment horizontal="center" wrapText="1"/>
    </xf>
    <xf numFmtId="0" fontId="2" fillId="39" borderId="28" xfId="0" applyFont="1" applyFill="1" applyBorder="1" applyAlignment="1">
      <alignment horizontal="center" wrapText="1"/>
    </xf>
    <xf numFmtId="0" fontId="2" fillId="39" borderId="19" xfId="0" applyFont="1" applyFill="1" applyBorder="1" applyAlignment="1">
      <alignment horizontal="center" vertical="center"/>
    </xf>
    <xf numFmtId="165" fontId="2" fillId="39" borderId="29" xfId="0" applyNumberFormat="1" applyFont="1" applyFill="1" applyBorder="1" applyAlignment="1" quotePrefix="1">
      <alignment horizontal="center" vertical="center"/>
    </xf>
    <xf numFmtId="165" fontId="2" fillId="39" borderId="25" xfId="0" applyNumberFormat="1" applyFont="1" applyFill="1" applyBorder="1" applyAlignment="1" quotePrefix="1">
      <alignment horizontal="center" vertical="center"/>
    </xf>
    <xf numFmtId="9" fontId="0" fillId="39" borderId="33" xfId="68" applyFont="1" applyFill="1" applyBorder="1" applyAlignment="1">
      <alignment horizontal="center"/>
    </xf>
    <xf numFmtId="9" fontId="0" fillId="39" borderId="12" xfId="68" applyFont="1" applyFill="1" applyBorder="1" applyAlignment="1">
      <alignment horizontal="center"/>
    </xf>
    <xf numFmtId="9" fontId="73" fillId="39" borderId="27" xfId="0" applyNumberFormat="1" applyFont="1" applyFill="1" applyBorder="1" applyAlignment="1">
      <alignment horizontal="center"/>
    </xf>
    <xf numFmtId="9" fontId="73" fillId="39" borderId="28" xfId="0" applyNumberFormat="1" applyFont="1" applyFill="1" applyBorder="1" applyAlignment="1">
      <alignment horizontal="center"/>
    </xf>
    <xf numFmtId="43" fontId="2" fillId="0" borderId="33" xfId="42" applyFont="1" applyBorder="1" applyAlignment="1" quotePrefix="1">
      <alignment horizontal="center"/>
    </xf>
    <xf numFmtId="43" fontId="2" fillId="0" borderId="21" xfId="42" applyFont="1" applyBorder="1" applyAlignment="1" quotePrefix="1">
      <alignment horizontal="center"/>
    </xf>
    <xf numFmtId="43" fontId="2" fillId="0" borderId="12" xfId="42" applyFont="1" applyBorder="1" applyAlignment="1" quotePrefix="1">
      <alignment horizontal="center"/>
    </xf>
    <xf numFmtId="43" fontId="2" fillId="0" borderId="10" xfId="42" applyFont="1" applyBorder="1" applyAlignment="1" quotePrefix="1">
      <alignment horizontal="center"/>
    </xf>
    <xf numFmtId="0" fontId="8" fillId="0" borderId="0" xfId="0" applyFont="1" applyAlignment="1" quotePrefix="1">
      <alignment horizontal="center"/>
    </xf>
    <xf numFmtId="0" fontId="9" fillId="0" borderId="0" xfId="0" applyFont="1" applyAlignment="1">
      <alignment/>
    </xf>
    <xf numFmtId="0" fontId="8" fillId="0" borderId="0" xfId="0" applyFont="1" applyAlignment="1">
      <alignment horizontal="center"/>
    </xf>
    <xf numFmtId="0" fontId="2" fillId="0" borderId="0" xfId="0" applyFont="1" applyAlignment="1">
      <alignment horizontal="center"/>
    </xf>
    <xf numFmtId="0" fontId="7" fillId="0" borderId="0" xfId="0" applyFont="1" applyAlignment="1" quotePrefix="1">
      <alignment horizontal="center"/>
    </xf>
    <xf numFmtId="0" fontId="0" fillId="0" borderId="0" xfId="0" applyAlignment="1">
      <alignment/>
    </xf>
    <xf numFmtId="0" fontId="0" fillId="0" borderId="0" xfId="0" applyAlignment="1">
      <alignment/>
    </xf>
    <xf numFmtId="0" fontId="8" fillId="40" borderId="33" xfId="0" applyFont="1" applyFill="1" applyBorder="1" applyAlignment="1">
      <alignment horizontal="center" vertical="center"/>
    </xf>
    <xf numFmtId="0" fontId="8" fillId="40" borderId="12" xfId="0" applyFont="1" applyFill="1" applyBorder="1" applyAlignment="1">
      <alignment horizontal="center" vertical="center"/>
    </xf>
    <xf numFmtId="0" fontId="8" fillId="40" borderId="34" xfId="0" applyFont="1" applyFill="1" applyBorder="1" applyAlignment="1">
      <alignment horizontal="center"/>
    </xf>
    <xf numFmtId="0" fontId="8" fillId="40" borderId="29" xfId="0" applyFont="1" applyFill="1" applyBorder="1" applyAlignment="1">
      <alignment horizontal="center"/>
    </xf>
    <xf numFmtId="0" fontId="64" fillId="0" borderId="26" xfId="55" applyBorder="1" applyAlignment="1" applyProtection="1">
      <alignment horizontal="left"/>
      <protection/>
    </xf>
    <xf numFmtId="0" fontId="64" fillId="0" borderId="25" xfId="55" applyBorder="1" applyAlignment="1" applyProtection="1">
      <alignment horizontal="left"/>
      <protection/>
    </xf>
    <xf numFmtId="0" fontId="64" fillId="0" borderId="26" xfId="55" applyBorder="1" applyAlignment="1" applyProtection="1">
      <alignment horizontal="left" vertical="center"/>
      <protection/>
    </xf>
    <xf numFmtId="0" fontId="64" fillId="0" borderId="25" xfId="55" applyBorder="1" applyAlignment="1" applyProtection="1">
      <alignment horizontal="left" vertical="center"/>
      <protection/>
    </xf>
    <xf numFmtId="0" fontId="64" fillId="0" borderId="26" xfId="55" applyBorder="1" applyAlignment="1" applyProtection="1">
      <alignment horizontal="left" vertical="center" wrapText="1"/>
      <protection/>
    </xf>
    <xf numFmtId="0" fontId="64" fillId="0" borderId="26" xfId="55" applyBorder="1" applyAlignment="1" applyProtection="1">
      <alignment vertical="center" wrapText="1"/>
      <protection/>
    </xf>
    <xf numFmtId="0" fontId="64" fillId="0" borderId="25" xfId="55" applyBorder="1" applyAlignment="1" applyProtection="1">
      <alignment vertical="center"/>
      <protection/>
    </xf>
    <xf numFmtId="0" fontId="64" fillId="0" borderId="34" xfId="55" applyBorder="1" applyAlignment="1" applyProtection="1">
      <alignment horizontal="left" vertical="center" wrapText="1"/>
      <protection/>
    </xf>
    <xf numFmtId="0" fontId="64" fillId="0" borderId="29" xfId="55" applyBorder="1" applyAlignment="1" applyProtection="1">
      <alignment horizontal="left"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omma 8"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 8" xfId="63"/>
    <cellStyle name="Normal_DISCOUNT" xfId="64"/>
    <cellStyle name="Normal_Mongolia Rail ERR.IM Cleaned" xfId="65"/>
    <cellStyle name="Note" xfId="66"/>
    <cellStyle name="Output" xfId="67"/>
    <cellStyle name="Percent" xfId="68"/>
    <cellStyle name="Title" xfId="69"/>
    <cellStyle name="Total" xfId="70"/>
    <cellStyle name="Warning Text" xfId="71"/>
  </cellStyles>
  <dxfs count="3">
    <dxf>
      <fill>
        <patternFill>
          <bgColor rgb="FFFF0000"/>
        </patternFill>
      </fill>
    </dxf>
    <dxf>
      <font>
        <color indexed="10"/>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Undiscounted Net Benefits of CEAC</a:t>
            </a:r>
          </a:p>
        </c:rich>
      </c:tx>
      <c:layout>
        <c:manualLayout>
          <c:xMode val="factor"/>
          <c:yMode val="factor"/>
          <c:x val="0.0065"/>
          <c:y val="-0.0055"/>
        </c:manualLayout>
      </c:layout>
      <c:spPr>
        <a:noFill/>
        <a:ln w="3175">
          <a:noFill/>
        </a:ln>
      </c:spPr>
    </c:title>
    <c:plotArea>
      <c:layout>
        <c:manualLayout>
          <c:xMode val="edge"/>
          <c:yMode val="edge"/>
          <c:x val="0.06825"/>
          <c:y val="0.17625"/>
          <c:w val="0.90475"/>
          <c:h val="0.68525"/>
        </c:manualLayout>
      </c:layout>
      <c:areaChart>
        <c:grouping val="standard"/>
        <c:varyColors val="0"/>
        <c:ser>
          <c:idx val="0"/>
          <c:order val="0"/>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'Combined Cost-Benefit'!$B$18:$B$38</c:f>
              <c:numCach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'Combined Cost-Benefit'!$B$18:$B$38</c:f>
              <c:numCach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val>
        </c:ser>
        <c:ser>
          <c:idx val="1"/>
          <c:order val="1"/>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'Combined Cost-Benefit'!$B$18:$B$38</c:f>
              <c:numCach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'Combined Cost-Benefit'!$K$18:$K$38</c:f>
              <c:numCache>
                <c:ptCount val="21"/>
                <c:pt idx="0">
                  <c:v>-7389143.238130688</c:v>
                </c:pt>
                <c:pt idx="1">
                  <c:v>-50684440.17104604</c:v>
                </c:pt>
                <c:pt idx="2">
                  <c:v>-21593592.310184278</c:v>
                </c:pt>
                <c:pt idx="3">
                  <c:v>-31923702.334888104</c:v>
                </c:pt>
                <c:pt idx="4">
                  <c:v>18166211.35117629</c:v>
                </c:pt>
                <c:pt idx="5">
                  <c:v>22267590.38255197</c:v>
                </c:pt>
                <c:pt idx="6">
                  <c:v>23512183.980040405</c:v>
                </c:pt>
                <c:pt idx="7">
                  <c:v>23644105.299927212</c:v>
                </c:pt>
                <c:pt idx="8">
                  <c:v>23872721.12996953</c:v>
                </c:pt>
                <c:pt idx="9">
                  <c:v>24157713.772508018</c:v>
                </c:pt>
                <c:pt idx="10">
                  <c:v>24499083.22754266</c:v>
                </c:pt>
                <c:pt idx="11">
                  <c:v>16031459.738461746</c:v>
                </c:pt>
                <c:pt idx="12">
                  <c:v>11577677.701317724</c:v>
                </c:pt>
                <c:pt idx="13">
                  <c:v>4425247.250750054</c:v>
                </c:pt>
                <c:pt idx="14">
                  <c:v>4996885.277930214</c:v>
                </c:pt>
                <c:pt idx="15">
                  <c:v>5568523.305110374</c:v>
                </c:pt>
                <c:pt idx="16">
                  <c:v>6140161.332290536</c:v>
                </c:pt>
                <c:pt idx="17">
                  <c:v>6711799.359470697</c:v>
                </c:pt>
                <c:pt idx="18">
                  <c:v>7283437.3866508575</c:v>
                </c:pt>
                <c:pt idx="19">
                  <c:v>7855075.413831016</c:v>
                </c:pt>
                <c:pt idx="20">
                  <c:v>84631108.38263014</c:v>
                </c:pt>
              </c:numCache>
            </c:numRef>
          </c:val>
        </c:ser>
        <c:axId val="62450956"/>
        <c:axId val="25187693"/>
      </c:areaChart>
      <c:catAx>
        <c:axId val="62450956"/>
        <c:scaling>
          <c:orientation val="minMax"/>
        </c:scaling>
        <c:axPos val="b"/>
        <c:title>
          <c:tx>
            <c:rich>
              <a:bodyPr vert="horz" rot="0" anchor="ctr"/>
              <a:lstStyle/>
              <a:p>
                <a:pPr algn="ctr">
                  <a:defRPr/>
                </a:pPr>
                <a:r>
                  <a:rPr lang="en-US" cap="none" sz="1425" b="1" i="0" u="none" baseline="0">
                    <a:solidFill>
                      <a:srgbClr val="000000"/>
                    </a:solidFill>
                    <a:latin typeface="Arial"/>
                    <a:ea typeface="Arial"/>
                    <a:cs typeface="Arial"/>
                  </a:rPr>
                  <a:t>Year</a:t>
                </a:r>
              </a:p>
            </c:rich>
          </c:tx>
          <c:layout>
            <c:manualLayout>
              <c:xMode val="factor"/>
              <c:yMode val="factor"/>
              <c:x val="-0.01575"/>
              <c:y val="0.0005"/>
            </c:manualLayout>
          </c:layout>
          <c:overlay val="0"/>
          <c:spPr>
            <a:noFill/>
            <a:ln w="3175">
              <a:noFill/>
            </a:ln>
          </c:spPr>
        </c:title>
        <c:delete val="0"/>
        <c:numFmt formatCode="General" sourceLinked="1"/>
        <c:majorTickMark val="none"/>
        <c:minorTickMark val="none"/>
        <c:tickLblPos val="low"/>
        <c:spPr>
          <a:ln w="12700">
            <a:solidFill>
              <a:srgbClr val="000000"/>
            </a:solidFill>
          </a:ln>
        </c:spPr>
        <c:txPr>
          <a:bodyPr vert="horz" rot="-2100000"/>
          <a:lstStyle/>
          <a:p>
            <a:pPr>
              <a:defRPr lang="en-US" cap="none" sz="1000" b="0" i="0" u="none" baseline="0">
                <a:solidFill>
                  <a:srgbClr val="000000"/>
                </a:solidFill>
                <a:latin typeface="Arial"/>
                <a:ea typeface="Arial"/>
                <a:cs typeface="Arial"/>
              </a:defRPr>
            </a:pPr>
          </a:p>
        </c:txPr>
        <c:crossAx val="25187693"/>
        <c:crosses val="autoZero"/>
        <c:auto val="1"/>
        <c:lblOffset val="100"/>
        <c:tickLblSkip val="1"/>
        <c:noMultiLvlLbl val="0"/>
      </c:catAx>
      <c:valAx>
        <c:axId val="25187693"/>
        <c:scaling>
          <c:orientation val="minMax"/>
        </c:scaling>
        <c:axPos val="l"/>
        <c:title>
          <c:tx>
            <c:rich>
              <a:bodyPr vert="horz" rot="-5400000" anchor="ctr"/>
              <a:lstStyle/>
              <a:p>
                <a:pPr algn="ctr">
                  <a:defRPr/>
                </a:pPr>
                <a:r>
                  <a:rPr lang="en-US" cap="none" sz="1430" b="1" i="0" u="none" baseline="0">
                    <a:solidFill>
                      <a:srgbClr val="000000"/>
                    </a:solidFill>
                    <a:latin typeface="Arial"/>
                    <a:ea typeface="Arial"/>
                    <a:cs typeface="Arial"/>
                  </a:rPr>
                  <a:t>US$ (millions)</a:t>
                </a:r>
              </a:p>
            </c:rich>
          </c:tx>
          <c:layout>
            <c:manualLayout>
              <c:xMode val="factor"/>
              <c:yMode val="factor"/>
              <c:x val="-0.0092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2450956"/>
        <c:crossesAt val="1"/>
        <c:crossBetween val="midCat"/>
        <c:dispUnits>
          <c:builtInUnit val="millions"/>
        </c:dispUnits>
      </c:valAx>
      <c:spPr>
        <a:solidFill>
          <a:srgbClr val="C0C0C0"/>
        </a:solidFill>
        <a:ln w="3175">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solidFill>
                  <a:srgbClr val="000000"/>
                </a:solidFill>
              </a:rPr>
              <a:t>Distribution of IBRD Subproject Funds</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tx>
                <c:rich>
                  <a:bodyPr vert="horz" rot="0" anchor="ctr"/>
                  <a:lstStyle/>
                  <a:p>
                    <a:pPr algn="ctr">
                      <a:defRPr/>
                    </a:pPr>
                    <a:r>
                      <a:rPr lang="en-US" cap="none" sz="225" b="1" i="0" u="none" baseline="0">
                        <a:solidFill>
                          <a:srgbClr val="000000"/>
                        </a:solidFill>
                      </a:rPr>
                      <a:t>DWS</a:t>
                    </a:r>
                    <a:r>
                      <a:rPr lang="en-US" cap="none" sz="225" b="0" i="0" u="none" baseline="0">
                        <a:solidFill>
                          <a:srgbClr val="000000"/>
                        </a:solidFill>
                      </a:rPr>
                      <a:t>
</a:t>
                    </a:r>
                    <a:r>
                      <a:rPr lang="en-US" cap="none" sz="225" b="0" i="0" u="none" baseline="0">
                        <a:solidFill>
                          <a:srgbClr val="000000"/>
                        </a:solidFill>
                      </a:rPr>
                      <a:t>15.06%</a:t>
                    </a:r>
                  </a:p>
                </c:rich>
              </c:tx>
              <c:numFmt formatCode="General" sourceLinked="1"/>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225" b="1" i="0" u="none" baseline="0">
                        <a:solidFill>
                          <a:srgbClr val="000000"/>
                        </a:solidFill>
                      </a:rPr>
                      <a:t>EDU</a:t>
                    </a:r>
                    <a:r>
                      <a:rPr lang="en-US" cap="none" sz="225" b="0" i="0" u="none" baseline="0">
                        <a:solidFill>
                          <a:srgbClr val="000000"/>
                        </a:solidFill>
                      </a:rPr>
                      <a:t>
</a:t>
                    </a:r>
                    <a:r>
                      <a:rPr lang="en-US" cap="none" sz="225" b="0" i="0" u="none" baseline="0">
                        <a:solidFill>
                          <a:srgbClr val="000000"/>
                        </a:solidFill>
                      </a:rPr>
                      <a:t>47.46%</a:t>
                    </a:r>
                  </a:p>
                </c:rich>
              </c:tx>
              <c:numFmt formatCode="General" sourceLinked="1"/>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225" b="1" i="0" u="none" baseline="0">
                        <a:solidFill>
                          <a:srgbClr val="000000"/>
                        </a:solidFill>
                      </a:rPr>
                      <a:t>HEA</a:t>
                    </a:r>
                    <a:r>
                      <a:rPr lang="en-US" cap="none" sz="225" b="0" i="0" u="none" baseline="0">
                        <a:solidFill>
                          <a:srgbClr val="000000"/>
                        </a:solidFill>
                      </a:rPr>
                      <a:t>
</a:t>
                    </a:r>
                    <a:r>
                      <a:rPr lang="en-US" cap="none" sz="225" b="0" i="0" u="none" baseline="0">
                        <a:solidFill>
                          <a:srgbClr val="000000"/>
                        </a:solidFill>
                      </a:rPr>
                      <a:t>6.35%</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225" b="1" i="0" u="none" baseline="0">
                        <a:solidFill>
                          <a:srgbClr val="000000"/>
                        </a:solidFill>
                      </a:rPr>
                      <a:t>IRR</a:t>
                    </a:r>
                    <a:r>
                      <a:rPr lang="en-US" cap="none" sz="225" b="0" i="0" u="none" baseline="0">
                        <a:solidFill>
                          <a:srgbClr val="000000"/>
                        </a:solidFill>
                      </a:rPr>
                      <a:t>
</a:t>
                    </a:r>
                    <a:r>
                      <a:rPr lang="en-US" cap="none" sz="225" b="0" i="0" u="none" baseline="0">
                        <a:solidFill>
                          <a:srgbClr val="000000"/>
                        </a:solidFill>
                      </a:rPr>
                      <a:t>1.45%</a:t>
                    </a:r>
                  </a:p>
                </c:rich>
              </c:tx>
              <c:numFmt formatCode="General" sourceLinked="1"/>
              <c:spPr>
                <a:noFill/>
                <a:ln w="3175">
                  <a:noFill/>
                </a:ln>
              </c:spPr>
              <c:dLblPos val="bestFit"/>
              <c:showLegendKey val="0"/>
              <c:showVal val="0"/>
              <c:showBubbleSize val="0"/>
              <c:showCatName val="1"/>
              <c:showSerName val="0"/>
              <c:showPercent val="0"/>
            </c:dLbl>
            <c:dLbl>
              <c:idx val="4"/>
              <c:tx>
                <c:rich>
                  <a:bodyPr vert="horz" rot="0" anchor="ctr"/>
                  <a:lstStyle/>
                  <a:p>
                    <a:pPr algn="ctr">
                      <a:defRPr/>
                    </a:pPr>
                    <a:r>
                      <a:rPr lang="en-US" cap="none" sz="225" b="1" i="0" u="none" baseline="0">
                        <a:solidFill>
                          <a:srgbClr val="000000"/>
                        </a:solidFill>
                      </a:rPr>
                      <a:t>OCF</a:t>
                    </a:r>
                    <a:r>
                      <a:rPr lang="en-US" cap="none" sz="225" b="0" i="0" u="none" baseline="0">
                        <a:solidFill>
                          <a:srgbClr val="000000"/>
                        </a:solidFill>
                      </a:rPr>
                      <a:t>
</a:t>
                    </a:r>
                    <a:r>
                      <a:rPr lang="en-US" cap="none" sz="225" b="0" i="0" u="none" baseline="0">
                        <a:solidFill>
                          <a:srgbClr val="000000"/>
                        </a:solidFill>
                      </a:rPr>
                      <a:t>3.35%</a:t>
                    </a:r>
                  </a:p>
                </c:rich>
              </c:tx>
              <c:numFmt formatCode="General" sourceLinked="1"/>
              <c:spPr>
                <a:noFill/>
                <a:ln w="3175">
                  <a:noFill/>
                </a:ln>
              </c:spPr>
              <c:dLblPos val="bestFit"/>
              <c:showLegendKey val="0"/>
              <c:showVal val="0"/>
              <c:showBubbleSize val="0"/>
              <c:showCatName val="1"/>
              <c:showSerName val="0"/>
              <c:showPercent val="0"/>
            </c:dLbl>
            <c:dLbl>
              <c:idx val="5"/>
              <c:tx>
                <c:rich>
                  <a:bodyPr vert="horz" rot="0" anchor="ctr"/>
                  <a:lstStyle/>
                  <a:p>
                    <a:pPr algn="ctr">
                      <a:defRPr/>
                    </a:pPr>
                    <a:r>
                      <a:rPr lang="en-US" cap="none" sz="225" b="1" i="0" u="none" baseline="0">
                        <a:solidFill>
                          <a:srgbClr val="000000"/>
                        </a:solidFill>
                      </a:rPr>
                      <a:t>PHF</a:t>
                    </a:r>
                    <a:r>
                      <a:rPr lang="en-US" cap="none" sz="225" b="0" i="0" u="none" baseline="0">
                        <a:solidFill>
                          <a:srgbClr val="000000"/>
                        </a:solidFill>
                      </a:rPr>
                      <a:t>
</a:t>
                    </a:r>
                    <a:r>
                      <a:rPr lang="en-US" cap="none" sz="225" b="0" i="0" u="none" baseline="0">
                        <a:solidFill>
                          <a:srgbClr val="000000"/>
                        </a:solidFill>
                      </a:rPr>
                      <a:t>15.44%</a:t>
                    </a:r>
                  </a:p>
                </c:rich>
              </c:tx>
              <c:numFmt formatCode="General" sourceLinked="1"/>
              <c:spPr>
                <a:noFill/>
                <a:ln w="3175">
                  <a:noFill/>
                </a:ln>
              </c:spPr>
              <c:dLblPos val="bestFit"/>
              <c:showLegendKey val="0"/>
              <c:showVal val="0"/>
              <c:showBubbleSize val="0"/>
              <c:showCatName val="1"/>
              <c:showSerName val="0"/>
              <c:showPercent val="0"/>
            </c:dLbl>
            <c:dLbl>
              <c:idx val="6"/>
              <c:tx>
                <c:rich>
                  <a:bodyPr vert="horz" rot="0" anchor="ctr"/>
                  <a:lstStyle/>
                  <a:p>
                    <a:pPr algn="ctr">
                      <a:defRPr/>
                    </a:pPr>
                    <a:r>
                      <a:rPr lang="en-US" cap="none" sz="225" b="1" i="0" u="none" baseline="0">
                        <a:solidFill>
                          <a:srgbClr val="000000"/>
                        </a:solidFill>
                      </a:rPr>
                      <a:t>RRD</a:t>
                    </a:r>
                    <a:r>
                      <a:rPr lang="en-US" cap="none" sz="225" b="0" i="0" u="none" baseline="0">
                        <a:solidFill>
                          <a:srgbClr val="000000"/>
                        </a:solidFill>
                      </a:rPr>
                      <a:t>
</a:t>
                    </a:r>
                    <a:r>
                      <a:rPr lang="en-US" cap="none" sz="225" b="0" i="0" u="none" baseline="0">
                        <a:solidFill>
                          <a:srgbClr val="000000"/>
                        </a:solidFill>
                      </a:rPr>
                      <a:t>7.15%</a:t>
                    </a:r>
                  </a:p>
                </c:rich>
              </c:tx>
              <c:numFmt formatCode="General" sourceLinked="1"/>
              <c:spPr>
                <a:noFill/>
                <a:ln w="3175">
                  <a:noFill/>
                </a:ln>
              </c:spPr>
              <c:dLblPos val="bestFit"/>
              <c:showLegendKey val="0"/>
              <c:showVal val="0"/>
              <c:showBubbleSize val="0"/>
              <c:showCatName val="1"/>
              <c:showSerName val="0"/>
              <c:showPercent val="0"/>
            </c:dLbl>
            <c:dLbl>
              <c:idx val="7"/>
              <c:tx>
                <c:rich>
                  <a:bodyPr vert="horz" rot="0" anchor="ctr"/>
                  <a:lstStyle/>
                  <a:p>
                    <a:pPr algn="ctr">
                      <a:defRPr/>
                    </a:pPr>
                    <a:r>
                      <a:rPr lang="en-US" cap="none" sz="225" b="1" i="0" u="none" baseline="0">
                        <a:solidFill>
                          <a:srgbClr val="000000"/>
                        </a:solidFill>
                      </a:rPr>
                      <a:t>SAN</a:t>
                    </a:r>
                    <a:r>
                      <a:rPr lang="en-US" cap="none" sz="225" b="0" i="0" u="none" baseline="0">
                        <a:solidFill>
                          <a:srgbClr val="000000"/>
                        </a:solidFill>
                      </a:rPr>
                      <a:t>
</a:t>
                    </a:r>
                    <a:r>
                      <a:rPr lang="en-US" cap="none" sz="225" b="0" i="0" u="none" baseline="0">
                        <a:solidFill>
                          <a:srgbClr val="000000"/>
                        </a:solidFill>
                      </a:rPr>
                      <a:t>3.75%</a:t>
                    </a:r>
                  </a:p>
                </c:rich>
              </c:tx>
              <c:numFmt formatCode="General" sourceLinked="1"/>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225" b="0" i="0" u="none" baseline="0">
                    <a:solidFill>
                      <a:srgbClr val="000000"/>
                    </a:solidFill>
                  </a:defRPr>
                </a:pPr>
              </a:p>
            </c:txPr>
            <c:showLegendKey val="0"/>
            <c:showVal val="0"/>
            <c:showBubbleSize val="0"/>
            <c:showCatName val="1"/>
            <c:showSerName val="0"/>
            <c:showLeaderLines val="1"/>
            <c:showPercent val="1"/>
          </c:dLbls>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152400</xdr:rowOff>
    </xdr:from>
    <xdr:to>
      <xdr:col>0</xdr:col>
      <xdr:colOff>2609850</xdr:colOff>
      <xdr:row>5</xdr:row>
      <xdr:rowOff>114300</xdr:rowOff>
    </xdr:to>
    <xdr:pic>
      <xdr:nvPicPr>
        <xdr:cNvPr id="1" name="Picture 2"/>
        <xdr:cNvPicPr preferRelativeResize="1">
          <a:picLocks noChangeAspect="1"/>
        </xdr:cNvPicPr>
      </xdr:nvPicPr>
      <xdr:blipFill>
        <a:blip r:embed="rId1"/>
        <a:stretch>
          <a:fillRect/>
        </a:stretch>
      </xdr:blipFill>
      <xdr:spPr>
        <a:xfrm>
          <a:off x="28575" y="152400"/>
          <a:ext cx="2581275"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419100</xdr:colOff>
      <xdr:row>1</xdr:row>
      <xdr:rowOff>66675</xdr:rowOff>
    </xdr:from>
    <xdr:to>
      <xdr:col>11</xdr:col>
      <xdr:colOff>209550</xdr:colOff>
      <xdr:row>2</xdr:row>
      <xdr:rowOff>28575</xdr:rowOff>
    </xdr:to>
    <xdr:pic>
      <xdr:nvPicPr>
        <xdr:cNvPr id="1" name="Picture 2" descr="MCC horizontal"/>
        <xdr:cNvPicPr preferRelativeResize="1">
          <a:picLocks noChangeAspect="1"/>
        </xdr:cNvPicPr>
      </xdr:nvPicPr>
      <xdr:blipFill>
        <a:blip r:embed="rId1"/>
        <a:stretch>
          <a:fillRect/>
        </a:stretch>
      </xdr:blipFill>
      <xdr:spPr>
        <a:xfrm>
          <a:off x="10525125" y="228600"/>
          <a:ext cx="1733550"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1</xdr:row>
      <xdr:rowOff>104775</xdr:rowOff>
    </xdr:from>
    <xdr:to>
      <xdr:col>11</xdr:col>
      <xdr:colOff>219075</xdr:colOff>
      <xdr:row>2</xdr:row>
      <xdr:rowOff>57150</xdr:rowOff>
    </xdr:to>
    <xdr:pic>
      <xdr:nvPicPr>
        <xdr:cNvPr id="1" name="Picture 2" descr="MCC horizontal"/>
        <xdr:cNvPicPr preferRelativeResize="1">
          <a:picLocks noChangeAspect="1"/>
        </xdr:cNvPicPr>
      </xdr:nvPicPr>
      <xdr:blipFill>
        <a:blip r:embed="rId1"/>
        <a:stretch>
          <a:fillRect/>
        </a:stretch>
      </xdr:blipFill>
      <xdr:spPr>
        <a:xfrm>
          <a:off x="9763125" y="266700"/>
          <a:ext cx="1733550"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514350</xdr:colOff>
      <xdr:row>1</xdr:row>
      <xdr:rowOff>85725</xdr:rowOff>
    </xdr:from>
    <xdr:to>
      <xdr:col>12</xdr:col>
      <xdr:colOff>152400</xdr:colOff>
      <xdr:row>2</xdr:row>
      <xdr:rowOff>38100</xdr:rowOff>
    </xdr:to>
    <xdr:pic>
      <xdr:nvPicPr>
        <xdr:cNvPr id="1" name="Picture 2" descr="MCC horizontal"/>
        <xdr:cNvPicPr preferRelativeResize="1">
          <a:picLocks noChangeAspect="1"/>
        </xdr:cNvPicPr>
      </xdr:nvPicPr>
      <xdr:blipFill>
        <a:blip r:embed="rId1"/>
        <a:stretch>
          <a:fillRect/>
        </a:stretch>
      </xdr:blipFill>
      <xdr:spPr>
        <a:xfrm>
          <a:off x="7800975" y="247650"/>
          <a:ext cx="1714500" cy="180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1</xdr:row>
      <xdr:rowOff>104775</xdr:rowOff>
    </xdr:from>
    <xdr:to>
      <xdr:col>10</xdr:col>
      <xdr:colOff>419100</xdr:colOff>
      <xdr:row>2</xdr:row>
      <xdr:rowOff>57150</xdr:rowOff>
    </xdr:to>
    <xdr:pic>
      <xdr:nvPicPr>
        <xdr:cNvPr id="1" name="Picture 2" descr="MCC horizontal"/>
        <xdr:cNvPicPr preferRelativeResize="1">
          <a:picLocks noChangeAspect="1"/>
        </xdr:cNvPicPr>
      </xdr:nvPicPr>
      <xdr:blipFill>
        <a:blip r:embed="rId1"/>
        <a:stretch>
          <a:fillRect/>
        </a:stretch>
      </xdr:blipFill>
      <xdr:spPr>
        <a:xfrm>
          <a:off x="9801225" y="266700"/>
          <a:ext cx="1724025" cy="180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4</xdr:col>
      <xdr:colOff>371475</xdr:colOff>
      <xdr:row>0</xdr:row>
      <xdr:rowOff>0</xdr:rowOff>
    </xdr:to>
    <xdr:graphicFrame>
      <xdr:nvGraphicFramePr>
        <xdr:cNvPr id="1" name="Chart 1"/>
        <xdr:cNvGraphicFramePr/>
      </xdr:nvGraphicFramePr>
      <xdr:xfrm>
        <a:off x="76200" y="0"/>
        <a:ext cx="4152900" cy="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238125</xdr:colOff>
      <xdr:row>1</xdr:row>
      <xdr:rowOff>66675</xdr:rowOff>
    </xdr:from>
    <xdr:to>
      <xdr:col>11</xdr:col>
      <xdr:colOff>133350</xdr:colOff>
      <xdr:row>2</xdr:row>
      <xdr:rowOff>19050</xdr:rowOff>
    </xdr:to>
    <xdr:pic>
      <xdr:nvPicPr>
        <xdr:cNvPr id="1" name="Picture 2" descr="MCC horizontal"/>
        <xdr:cNvPicPr preferRelativeResize="1">
          <a:picLocks noChangeAspect="1"/>
        </xdr:cNvPicPr>
      </xdr:nvPicPr>
      <xdr:blipFill>
        <a:blip r:embed="rId1"/>
        <a:stretch>
          <a:fillRect/>
        </a:stretch>
      </xdr:blipFill>
      <xdr:spPr>
        <a:xfrm>
          <a:off x="8743950" y="228600"/>
          <a:ext cx="1724025"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31</xdr:row>
      <xdr:rowOff>66675</xdr:rowOff>
    </xdr:from>
    <xdr:to>
      <xdr:col>1</xdr:col>
      <xdr:colOff>1914525</xdr:colOff>
      <xdr:row>32</xdr:row>
      <xdr:rowOff>28575</xdr:rowOff>
    </xdr:to>
    <xdr:pic>
      <xdr:nvPicPr>
        <xdr:cNvPr id="1" name="Picture 2" descr="MCC horizontal"/>
        <xdr:cNvPicPr preferRelativeResize="1">
          <a:picLocks noChangeAspect="1"/>
        </xdr:cNvPicPr>
      </xdr:nvPicPr>
      <xdr:blipFill>
        <a:blip r:embed="rId1"/>
        <a:stretch>
          <a:fillRect/>
        </a:stretch>
      </xdr:blipFill>
      <xdr:spPr>
        <a:xfrm>
          <a:off x="476250" y="9353550"/>
          <a:ext cx="1819275"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40</xdr:row>
      <xdr:rowOff>0</xdr:rowOff>
    </xdr:from>
    <xdr:to>
      <xdr:col>6</xdr:col>
      <xdr:colOff>762000</xdr:colOff>
      <xdr:row>61</xdr:row>
      <xdr:rowOff>133350</xdr:rowOff>
    </xdr:to>
    <xdr:graphicFrame>
      <xdr:nvGraphicFramePr>
        <xdr:cNvPr id="1" name="Chart 1"/>
        <xdr:cNvGraphicFramePr/>
      </xdr:nvGraphicFramePr>
      <xdr:xfrm>
        <a:off x="752475" y="8429625"/>
        <a:ext cx="7353300" cy="353377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571500</xdr:colOff>
      <xdr:row>2</xdr:row>
      <xdr:rowOff>95250</xdr:rowOff>
    </xdr:from>
    <xdr:to>
      <xdr:col>9</xdr:col>
      <xdr:colOff>409575</xdr:colOff>
      <xdr:row>3</xdr:row>
      <xdr:rowOff>123825</xdr:rowOff>
    </xdr:to>
    <xdr:pic>
      <xdr:nvPicPr>
        <xdr:cNvPr id="2" name="Picture 2" descr="MCC horizontal"/>
        <xdr:cNvPicPr preferRelativeResize="1">
          <a:picLocks noChangeAspect="1"/>
        </xdr:cNvPicPr>
      </xdr:nvPicPr>
      <xdr:blipFill>
        <a:blip r:embed="rId2"/>
        <a:stretch>
          <a:fillRect/>
        </a:stretch>
      </xdr:blipFill>
      <xdr:spPr>
        <a:xfrm>
          <a:off x="8715375" y="485775"/>
          <a:ext cx="1733550"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2</xdr:row>
      <xdr:rowOff>66675</xdr:rowOff>
    </xdr:from>
    <xdr:to>
      <xdr:col>9</xdr:col>
      <xdr:colOff>342900</xdr:colOff>
      <xdr:row>3</xdr:row>
      <xdr:rowOff>95250</xdr:rowOff>
    </xdr:to>
    <xdr:pic>
      <xdr:nvPicPr>
        <xdr:cNvPr id="1" name="Picture 2" descr="MCC horizontal"/>
        <xdr:cNvPicPr preferRelativeResize="1">
          <a:picLocks noChangeAspect="1"/>
        </xdr:cNvPicPr>
      </xdr:nvPicPr>
      <xdr:blipFill>
        <a:blip r:embed="rId1"/>
        <a:stretch>
          <a:fillRect/>
        </a:stretch>
      </xdr:blipFill>
      <xdr:spPr>
        <a:xfrm>
          <a:off x="8496300" y="457200"/>
          <a:ext cx="174307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542925</xdr:colOff>
      <xdr:row>2</xdr:row>
      <xdr:rowOff>133350</xdr:rowOff>
    </xdr:from>
    <xdr:to>
      <xdr:col>11</xdr:col>
      <xdr:colOff>314325</xdr:colOff>
      <xdr:row>3</xdr:row>
      <xdr:rowOff>142875</xdr:rowOff>
    </xdr:to>
    <xdr:pic>
      <xdr:nvPicPr>
        <xdr:cNvPr id="1" name="Picture 2" descr="MCC horizontal"/>
        <xdr:cNvPicPr preferRelativeResize="1">
          <a:picLocks noChangeAspect="1"/>
        </xdr:cNvPicPr>
      </xdr:nvPicPr>
      <xdr:blipFill>
        <a:blip r:embed="rId1"/>
        <a:stretch>
          <a:fillRect/>
        </a:stretch>
      </xdr:blipFill>
      <xdr:spPr>
        <a:xfrm>
          <a:off x="8096250" y="523875"/>
          <a:ext cx="1743075"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1</xdr:row>
      <xdr:rowOff>104775</xdr:rowOff>
    </xdr:from>
    <xdr:to>
      <xdr:col>11</xdr:col>
      <xdr:colOff>238125</xdr:colOff>
      <xdr:row>2</xdr:row>
      <xdr:rowOff>57150</xdr:rowOff>
    </xdr:to>
    <xdr:pic>
      <xdr:nvPicPr>
        <xdr:cNvPr id="1" name="Picture 2" descr="MCC horizontal"/>
        <xdr:cNvPicPr preferRelativeResize="1">
          <a:picLocks noChangeAspect="1"/>
        </xdr:cNvPicPr>
      </xdr:nvPicPr>
      <xdr:blipFill>
        <a:blip r:embed="rId1"/>
        <a:stretch>
          <a:fillRect/>
        </a:stretch>
      </xdr:blipFill>
      <xdr:spPr>
        <a:xfrm>
          <a:off x="10106025" y="266700"/>
          <a:ext cx="1724025" cy="180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266700</xdr:colOff>
      <xdr:row>1</xdr:row>
      <xdr:rowOff>85725</xdr:rowOff>
    </xdr:from>
    <xdr:to>
      <xdr:col>11</xdr:col>
      <xdr:colOff>238125</xdr:colOff>
      <xdr:row>2</xdr:row>
      <xdr:rowOff>47625</xdr:rowOff>
    </xdr:to>
    <xdr:pic>
      <xdr:nvPicPr>
        <xdr:cNvPr id="1" name="Picture 2" descr="MCC horizontal"/>
        <xdr:cNvPicPr preferRelativeResize="1">
          <a:picLocks noChangeAspect="1"/>
        </xdr:cNvPicPr>
      </xdr:nvPicPr>
      <xdr:blipFill>
        <a:blip r:embed="rId1"/>
        <a:stretch>
          <a:fillRect/>
        </a:stretch>
      </xdr:blipFill>
      <xdr:spPr>
        <a:xfrm>
          <a:off x="9848850" y="247650"/>
          <a:ext cx="172402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771525</xdr:colOff>
      <xdr:row>1</xdr:row>
      <xdr:rowOff>28575</xdr:rowOff>
    </xdr:from>
    <xdr:to>
      <xdr:col>11</xdr:col>
      <xdr:colOff>304800</xdr:colOff>
      <xdr:row>1</xdr:row>
      <xdr:rowOff>209550</xdr:rowOff>
    </xdr:to>
    <xdr:pic>
      <xdr:nvPicPr>
        <xdr:cNvPr id="1" name="Picture 2" descr="MCC horizontal"/>
        <xdr:cNvPicPr preferRelativeResize="1">
          <a:picLocks noChangeAspect="1"/>
        </xdr:cNvPicPr>
      </xdr:nvPicPr>
      <xdr:blipFill>
        <a:blip r:embed="rId1"/>
        <a:stretch>
          <a:fillRect/>
        </a:stretch>
      </xdr:blipFill>
      <xdr:spPr>
        <a:xfrm>
          <a:off x="9486900" y="190500"/>
          <a:ext cx="1733550" cy="180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342900</xdr:colOff>
      <xdr:row>1</xdr:row>
      <xdr:rowOff>95250</xdr:rowOff>
    </xdr:from>
    <xdr:to>
      <xdr:col>11</xdr:col>
      <xdr:colOff>200025</xdr:colOff>
      <xdr:row>2</xdr:row>
      <xdr:rowOff>47625</xdr:rowOff>
    </xdr:to>
    <xdr:pic>
      <xdr:nvPicPr>
        <xdr:cNvPr id="1" name="Picture 2" descr="MCC horizontal"/>
        <xdr:cNvPicPr preferRelativeResize="1">
          <a:picLocks noChangeAspect="1"/>
        </xdr:cNvPicPr>
      </xdr:nvPicPr>
      <xdr:blipFill>
        <a:blip r:embed="rId1"/>
        <a:stretch>
          <a:fillRect/>
        </a:stretch>
      </xdr:blipFill>
      <xdr:spPr>
        <a:xfrm>
          <a:off x="8391525" y="257175"/>
          <a:ext cx="172402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xe.com/" TargetMode="External" /><Relationship Id="rId2" Type="http://schemas.openxmlformats.org/officeDocument/2006/relationships/hyperlink" Target="http://web.worldbank.org/WBSITE/EXTERNAL/TOPICS/EXTCY/EXTECD/0,,contentMDK:20207747~menuPK:527098~pagePK:148956~piPK:216618~theSitePK:344939,00.html" TargetMode="External" /><Relationship Id="rId3" Type="http://schemas.openxmlformats.org/officeDocument/2006/relationships/hyperlink" Target="http://www.watsonwyatt.com/asia-pacific/localsites/philippines/news/retirement_maylene.asp" TargetMode="External" /><Relationship Id="rId4" Type="http://schemas.openxmlformats.org/officeDocument/2006/relationships/hyperlink" Target="http://faostat.fao.org/" TargetMode="External" /><Relationship Id="rId5" Type="http://schemas.openxmlformats.org/officeDocument/2006/relationships/hyperlink" Target="http://www.adb.org/documents/periodicals/adr/pdf/ADR-Vol24-1-Ali-Hwa-Son.pdf" TargetMode="External" /><Relationship Id="rId6" Type="http://schemas.openxmlformats.org/officeDocument/2006/relationships/hyperlink" Target="http://www.adb.org/Documents/Produced-Under-TA/40305/40305-02-REG-DPTA.pdf" TargetMode="External" /><Relationship Id="rId7" Type="http://schemas.openxmlformats.org/officeDocument/2006/relationships/hyperlink" Target="http://siteresources.worldbank.org/EXTSOCIALDEVELOPMENT/Resources/244362-1164107274725/3182370-1164201144397/3187094-1173195121091/SDP-102-Jan-2007.pdf" TargetMode="External" /><Relationship Id="rId8" Type="http://schemas.openxmlformats.org/officeDocument/2006/relationships/hyperlink" Target="http://ideas.repec.org/a/eee/asieco/v14y2003i5p759-769.html" TargetMode="External" /><Relationship Id="rId9" Type="http://schemas.openxmlformats.org/officeDocument/2006/relationships/hyperlink" Target="http://ideas.repec.org/a/phs/prejrn/v39y2002i2p37-72.html" TargetMode="External" /><Relationship Id="rId10" Type="http://schemas.openxmlformats.org/officeDocument/2006/relationships/hyperlink" Target="http://www.who.int/water_sanitation_health/wsh0404/en/index.html" TargetMode="External" /><Relationship Id="rId11" Type="http://schemas.openxmlformats.org/officeDocument/2006/relationships/hyperlink" Target="http://ideas.repec.org/p/wbk/wbrwps/2664.html" TargetMode="External" /><Relationship Id="rId12" Type="http://schemas.openxmlformats.org/officeDocument/2006/relationships/hyperlink" Target="http://www.bworldonline.com/main/content.php?id=2186" TargetMode="External" /><Relationship Id="rId13" Type="http://schemas.openxmlformats.org/officeDocument/2006/relationships/hyperlink" Target="http://ideas.repec.org/p/wbk/wbrwps/2664.html" TargetMode="External" /><Relationship Id="rId14" Type="http://schemas.openxmlformats.org/officeDocument/2006/relationships/drawing" Target="../drawings/drawing15.xml" /><Relationship Id="rId1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transitionEntry="1">
    <pageSetUpPr fitToPage="1"/>
  </sheetPr>
  <dimension ref="A1:J56"/>
  <sheetViews>
    <sheetView showGridLines="0" zoomScale="75" zoomScaleNormal="75" zoomScalePageLayoutView="0" workbookViewId="0" topLeftCell="A1">
      <selection activeCell="B5" sqref="B5"/>
    </sheetView>
  </sheetViews>
  <sheetFormatPr defaultColWidth="7.00390625" defaultRowHeight="12.75"/>
  <cols>
    <col min="1" max="1" width="3.28125" style="2" customWidth="1"/>
    <col min="2" max="2" width="6.8515625" style="2" customWidth="1"/>
    <col min="3" max="3" width="7.7109375" style="2" bestFit="1" customWidth="1"/>
    <col min="4" max="4" width="6.8515625" style="2" customWidth="1"/>
    <col min="5" max="5" width="7.7109375" style="2" bestFit="1" customWidth="1"/>
    <col min="6" max="8" width="6.8515625" style="2" customWidth="1"/>
    <col min="9" max="16384" width="7.00390625" style="2" customWidth="1"/>
  </cols>
  <sheetData>
    <row r="1" spans="1:9" ht="18">
      <c r="A1" s="833" t="s">
        <v>111</v>
      </c>
      <c r="B1" s="834"/>
      <c r="C1" s="834"/>
      <c r="D1" s="834"/>
      <c r="E1" s="834"/>
      <c r="F1" s="834"/>
      <c r="G1" s="834"/>
      <c r="H1" s="834"/>
      <c r="I1" s="834"/>
    </row>
    <row r="3" spans="2:9" s="3" customFormat="1" ht="15.75">
      <c r="B3" s="835">
        <v>0.02</v>
      </c>
      <c r="C3" s="836"/>
      <c r="D3" s="835">
        <v>0.04</v>
      </c>
      <c r="E3" s="836"/>
      <c r="F3" s="835">
        <v>0.199</v>
      </c>
      <c r="G3" s="836"/>
      <c r="H3" s="835">
        <v>0.15</v>
      </c>
      <c r="I3" s="836"/>
    </row>
    <row r="4" spans="1:9" s="3" customFormat="1" ht="15.75">
      <c r="A4" s="4" t="s">
        <v>112</v>
      </c>
      <c r="B4" s="5" t="s">
        <v>113</v>
      </c>
      <c r="C4" s="5" t="s">
        <v>114</v>
      </c>
      <c r="D4" s="5" t="s">
        <v>113</v>
      </c>
      <c r="E4" s="5" t="s">
        <v>114</v>
      </c>
      <c r="F4" s="5" t="s">
        <v>113</v>
      </c>
      <c r="G4" s="5" t="s">
        <v>114</v>
      </c>
      <c r="H4" s="5" t="s">
        <v>113</v>
      </c>
      <c r="I4" s="5" t="s">
        <v>114</v>
      </c>
    </row>
    <row r="5" spans="1:9" ht="15">
      <c r="A5" s="6">
        <v>1</v>
      </c>
      <c r="B5" s="7">
        <f>1/(1+B3)</f>
        <v>0.9803921568627451</v>
      </c>
      <c r="C5" s="7">
        <f>+B5</f>
        <v>0.9803921568627451</v>
      </c>
      <c r="D5" s="7">
        <f>1/(1+D3)</f>
        <v>0.9615384615384615</v>
      </c>
      <c r="E5" s="7">
        <f>+D5</f>
        <v>0.9615384615384615</v>
      </c>
      <c r="F5" s="7">
        <f>1/(1+F3)</f>
        <v>0.8340283569641367</v>
      </c>
      <c r="G5" s="7">
        <f>+F5</f>
        <v>0.8340283569641367</v>
      </c>
      <c r="H5" s="7">
        <f>1/(1+H3)</f>
        <v>0.8695652173913044</v>
      </c>
      <c r="I5" s="7">
        <f>+H5</f>
        <v>0.8695652173913044</v>
      </c>
    </row>
    <row r="6" spans="1:9" ht="15">
      <c r="A6" s="6">
        <v>2</v>
      </c>
      <c r="B6" s="7">
        <f aca="true" t="shared" si="0" ref="B6:B24">B5/(1+B$3)</f>
        <v>0.9611687812379853</v>
      </c>
      <c r="C6" s="7">
        <f aca="true" t="shared" si="1" ref="C6:C24">C5+B6</f>
        <v>1.9415609381007304</v>
      </c>
      <c r="D6" s="7">
        <f aca="true" t="shared" si="2" ref="D6:D24">D5/(1+D$3)</f>
        <v>0.9245562130177514</v>
      </c>
      <c r="E6" s="7">
        <f aca="true" t="shared" si="3" ref="E6:E24">E5+D6</f>
        <v>1.8860946745562128</v>
      </c>
      <c r="F6" s="7">
        <f aca="true" t="shared" si="4" ref="F6:F24">F5/(1+F$3)</f>
        <v>0.6956033002202975</v>
      </c>
      <c r="G6" s="7">
        <f aca="true" t="shared" si="5" ref="G6:G24">G5+F6</f>
        <v>1.5296316571844342</v>
      </c>
      <c r="H6" s="7">
        <f aca="true" t="shared" si="6" ref="H6:H24">H5/(1+H$3)</f>
        <v>0.7561436672967865</v>
      </c>
      <c r="I6" s="7">
        <f aca="true" t="shared" si="7" ref="I6:I24">I5+H6</f>
        <v>1.625708884688091</v>
      </c>
    </row>
    <row r="7" spans="1:9" ht="15">
      <c r="A7" s="6">
        <v>3</v>
      </c>
      <c r="B7" s="7">
        <f t="shared" si="0"/>
        <v>0.9423223345470444</v>
      </c>
      <c r="C7" s="7">
        <f t="shared" si="1"/>
        <v>2.8838832726477746</v>
      </c>
      <c r="D7" s="7">
        <f t="shared" si="2"/>
        <v>0.8889963586709148</v>
      </c>
      <c r="E7" s="7">
        <f t="shared" si="3"/>
        <v>2.7750910332271275</v>
      </c>
      <c r="F7" s="7">
        <f t="shared" si="4"/>
        <v>0.5801528775815659</v>
      </c>
      <c r="G7" s="7">
        <f t="shared" si="5"/>
        <v>2.109784534766</v>
      </c>
      <c r="H7" s="7">
        <f t="shared" si="6"/>
        <v>0.6575162324319883</v>
      </c>
      <c r="I7" s="7">
        <f t="shared" si="7"/>
        <v>2.2832251171200793</v>
      </c>
    </row>
    <row r="8" spans="1:9" ht="15">
      <c r="A8" s="6">
        <v>4</v>
      </c>
      <c r="B8" s="7">
        <f t="shared" si="0"/>
        <v>0.9238454260265141</v>
      </c>
      <c r="C8" s="7">
        <f t="shared" si="1"/>
        <v>3.8077286986742886</v>
      </c>
      <c r="D8" s="7">
        <f t="shared" si="2"/>
        <v>0.8548041910297257</v>
      </c>
      <c r="E8" s="7">
        <f t="shared" si="3"/>
        <v>3.6298952242568534</v>
      </c>
      <c r="F8" s="7">
        <f t="shared" si="4"/>
        <v>0.4838639512773693</v>
      </c>
      <c r="G8" s="7">
        <f t="shared" si="5"/>
        <v>2.593648486043369</v>
      </c>
      <c r="H8" s="7">
        <f t="shared" si="6"/>
        <v>0.5717532455930333</v>
      </c>
      <c r="I8" s="7">
        <f t="shared" si="7"/>
        <v>2.8549783627131124</v>
      </c>
    </row>
    <row r="9" spans="1:9" ht="15">
      <c r="A9" s="6">
        <v>5</v>
      </c>
      <c r="B9" s="7">
        <f t="shared" si="0"/>
        <v>0.9057308098299157</v>
      </c>
      <c r="C9" s="7">
        <f t="shared" si="1"/>
        <v>4.713459508504204</v>
      </c>
      <c r="D9" s="7">
        <f t="shared" si="2"/>
        <v>0.8219271067593517</v>
      </c>
      <c r="E9" s="7">
        <f t="shared" si="3"/>
        <v>4.451822331016205</v>
      </c>
      <c r="F9" s="7">
        <f t="shared" si="4"/>
        <v>0.4035562562780394</v>
      </c>
      <c r="G9" s="7">
        <f t="shared" si="5"/>
        <v>2.9972047423214083</v>
      </c>
      <c r="H9" s="7">
        <f t="shared" si="6"/>
        <v>0.4971767352982899</v>
      </c>
      <c r="I9" s="7">
        <f t="shared" si="7"/>
        <v>3.3521550980114023</v>
      </c>
    </row>
    <row r="10" spans="1:9" ht="15">
      <c r="A10" s="6">
        <v>6</v>
      </c>
      <c r="B10" s="7">
        <f t="shared" si="0"/>
        <v>0.8879713821861919</v>
      </c>
      <c r="C10" s="7">
        <f t="shared" si="1"/>
        <v>5.601430890690397</v>
      </c>
      <c r="D10" s="7">
        <f t="shared" si="2"/>
        <v>0.7903145257301458</v>
      </c>
      <c r="E10" s="7">
        <f t="shared" si="3"/>
        <v>5.242136856746351</v>
      </c>
      <c r="F10" s="7">
        <f t="shared" si="4"/>
        <v>0.33657736136617133</v>
      </c>
      <c r="G10" s="7">
        <f t="shared" si="5"/>
        <v>3.3337821036875797</v>
      </c>
      <c r="H10" s="7">
        <f t="shared" si="6"/>
        <v>0.43232759591155645</v>
      </c>
      <c r="I10" s="7">
        <f t="shared" si="7"/>
        <v>3.7844826939229588</v>
      </c>
    </row>
    <row r="11" spans="1:9" ht="15">
      <c r="A11" s="6">
        <v>7</v>
      </c>
      <c r="B11" s="7">
        <f t="shared" si="0"/>
        <v>0.8705601786139135</v>
      </c>
      <c r="C11" s="7">
        <f t="shared" si="1"/>
        <v>6.47199106930431</v>
      </c>
      <c r="D11" s="7">
        <f t="shared" si="2"/>
        <v>0.7599178132020633</v>
      </c>
      <c r="E11" s="7">
        <f t="shared" si="3"/>
        <v>6.002054669948414</v>
      </c>
      <c r="F11" s="7">
        <f t="shared" si="4"/>
        <v>0.2807150636915524</v>
      </c>
      <c r="G11" s="7">
        <f t="shared" si="5"/>
        <v>3.614497167379132</v>
      </c>
      <c r="H11" s="7">
        <f t="shared" si="6"/>
        <v>0.3759370399230926</v>
      </c>
      <c r="I11" s="7">
        <f t="shared" si="7"/>
        <v>4.160419733846052</v>
      </c>
    </row>
    <row r="12" spans="1:9" ht="15">
      <c r="A12" s="6">
        <v>8</v>
      </c>
      <c r="B12" s="7">
        <f t="shared" si="0"/>
        <v>0.8534903711901113</v>
      </c>
      <c r="C12" s="7">
        <f t="shared" si="1"/>
        <v>7.325481440494421</v>
      </c>
      <c r="D12" s="7">
        <f t="shared" si="2"/>
        <v>0.7306902050019839</v>
      </c>
      <c r="E12" s="7">
        <f t="shared" si="3"/>
        <v>6.732744874950399</v>
      </c>
      <c r="F12" s="7">
        <f t="shared" si="4"/>
        <v>0.23412432334574845</v>
      </c>
      <c r="G12" s="7">
        <f t="shared" si="5"/>
        <v>3.8486214907248804</v>
      </c>
      <c r="H12" s="7">
        <f t="shared" si="6"/>
        <v>0.3269017738461675</v>
      </c>
      <c r="I12" s="7">
        <f t="shared" si="7"/>
        <v>4.487321507692219</v>
      </c>
    </row>
    <row r="13" spans="1:9" ht="15">
      <c r="A13" s="6">
        <v>9</v>
      </c>
      <c r="B13" s="7">
        <f t="shared" si="0"/>
        <v>0.8367552658726581</v>
      </c>
      <c r="C13" s="7">
        <f t="shared" si="1"/>
        <v>8.162236706367079</v>
      </c>
      <c r="D13" s="7">
        <f t="shared" si="2"/>
        <v>0.7025867355788307</v>
      </c>
      <c r="E13" s="7">
        <f t="shared" si="3"/>
        <v>7.4353316105292295</v>
      </c>
      <c r="F13" s="7">
        <f t="shared" si="4"/>
        <v>0.19526632472539487</v>
      </c>
      <c r="G13" s="7">
        <f t="shared" si="5"/>
        <v>4.043887815450275</v>
      </c>
      <c r="H13" s="7">
        <f t="shared" si="6"/>
        <v>0.28426241204014563</v>
      </c>
      <c r="I13" s="7">
        <f t="shared" si="7"/>
        <v>4.771583919732365</v>
      </c>
    </row>
    <row r="14" spans="1:10" ht="15">
      <c r="A14" s="6">
        <v>10</v>
      </c>
      <c r="B14" s="7">
        <f t="shared" si="0"/>
        <v>0.820348299875155</v>
      </c>
      <c r="C14" s="7">
        <f t="shared" si="1"/>
        <v>8.982585006242234</v>
      </c>
      <c r="D14" s="7">
        <f t="shared" si="2"/>
        <v>0.6755641688257987</v>
      </c>
      <c r="E14" s="7">
        <f t="shared" si="3"/>
        <v>8.110895779355028</v>
      </c>
      <c r="F14" s="7">
        <f t="shared" si="4"/>
        <v>0.16285765198114668</v>
      </c>
      <c r="G14" s="9">
        <f t="shared" si="5"/>
        <v>4.206745467431422</v>
      </c>
      <c r="H14" s="7">
        <f t="shared" si="6"/>
        <v>0.24718470612186577</v>
      </c>
      <c r="I14" s="7">
        <f t="shared" si="7"/>
        <v>5.01876862585423</v>
      </c>
      <c r="J14" s="2">
        <f>Water!C44</f>
        <v>10</v>
      </c>
    </row>
    <row r="15" spans="1:10" ht="15">
      <c r="A15" s="6">
        <v>11</v>
      </c>
      <c r="B15" s="7">
        <f t="shared" si="0"/>
        <v>0.8042630390932892</v>
      </c>
      <c r="C15" s="7">
        <f t="shared" si="1"/>
        <v>9.786848045335523</v>
      </c>
      <c r="D15" s="7">
        <f t="shared" si="2"/>
        <v>0.649580931563268</v>
      </c>
      <c r="E15" s="7">
        <f t="shared" si="3"/>
        <v>8.760476710918295</v>
      </c>
      <c r="F15" s="7">
        <f t="shared" si="4"/>
        <v>0.13582789990087296</v>
      </c>
      <c r="G15" s="7">
        <f t="shared" si="5"/>
        <v>4.342573367332295</v>
      </c>
      <c r="H15" s="7">
        <f t="shared" si="6"/>
        <v>0.2149432227146659</v>
      </c>
      <c r="I15" s="7">
        <f t="shared" si="7"/>
        <v>5.2337118485688965</v>
      </c>
      <c r="J15" s="2">
        <f>Roads!D26</f>
        <v>10</v>
      </c>
    </row>
    <row r="16" spans="1:9" ht="15">
      <c r="A16" s="6">
        <v>12</v>
      </c>
      <c r="B16" s="7">
        <f t="shared" si="0"/>
        <v>0.7884931755816561</v>
      </c>
      <c r="C16" s="7">
        <f t="shared" si="1"/>
        <v>10.57534122091718</v>
      </c>
      <c r="D16" s="7">
        <f t="shared" si="2"/>
        <v>0.6245970495800653</v>
      </c>
      <c r="E16" s="7">
        <f t="shared" si="3"/>
        <v>9.385073760498361</v>
      </c>
      <c r="F16" s="7">
        <f t="shared" si="4"/>
        <v>0.1132843201842143</v>
      </c>
      <c r="G16" s="7">
        <f t="shared" si="5"/>
        <v>4.4558576875165095</v>
      </c>
      <c r="H16" s="7">
        <f t="shared" si="6"/>
        <v>0.186907150186666</v>
      </c>
      <c r="I16" s="7">
        <f t="shared" si="7"/>
        <v>5.420618998755563</v>
      </c>
    </row>
    <row r="17" spans="1:9" ht="15">
      <c r="A17" s="6">
        <v>13</v>
      </c>
      <c r="B17" s="7">
        <f t="shared" si="0"/>
        <v>0.773032525080055</v>
      </c>
      <c r="C17" s="7">
        <f t="shared" si="1"/>
        <v>11.348373745997234</v>
      </c>
      <c r="D17" s="7">
        <f t="shared" si="2"/>
        <v>0.6005740861346782</v>
      </c>
      <c r="E17" s="7">
        <f t="shared" si="3"/>
        <v>9.98564784663304</v>
      </c>
      <c r="F17" s="7">
        <f t="shared" si="4"/>
        <v>0.09448233543303945</v>
      </c>
      <c r="G17" s="7">
        <f t="shared" si="5"/>
        <v>4.550340022949549</v>
      </c>
      <c r="H17" s="7">
        <f t="shared" si="6"/>
        <v>0.16252795668405742</v>
      </c>
      <c r="I17" s="7">
        <f t="shared" si="7"/>
        <v>5.58314695543962</v>
      </c>
    </row>
    <row r="18" spans="1:9" ht="15">
      <c r="A18" s="6">
        <v>14</v>
      </c>
      <c r="B18" s="7">
        <f t="shared" si="0"/>
        <v>0.7578750245882893</v>
      </c>
      <c r="C18" s="7">
        <f t="shared" si="1"/>
        <v>12.106248770585523</v>
      </c>
      <c r="D18" s="7">
        <f t="shared" si="2"/>
        <v>0.5774750828218059</v>
      </c>
      <c r="E18" s="7">
        <f t="shared" si="3"/>
        <v>10.563122929454845</v>
      </c>
      <c r="F18" s="7">
        <f t="shared" si="4"/>
        <v>0.07880094698335233</v>
      </c>
      <c r="G18" s="7">
        <f t="shared" si="5"/>
        <v>4.629140969932902</v>
      </c>
      <c r="H18" s="7">
        <f t="shared" si="6"/>
        <v>0.1413286579861369</v>
      </c>
      <c r="I18" s="7">
        <f t="shared" si="7"/>
        <v>5.724475613425757</v>
      </c>
    </row>
    <row r="19" spans="1:9" ht="15">
      <c r="A19" s="6">
        <v>15</v>
      </c>
      <c r="B19" s="7">
        <f t="shared" si="0"/>
        <v>0.7430147299885189</v>
      </c>
      <c r="C19" s="7">
        <f t="shared" si="1"/>
        <v>12.849263500574041</v>
      </c>
      <c r="D19" s="7">
        <f t="shared" si="2"/>
        <v>0.5552645027132749</v>
      </c>
      <c r="E19" s="7">
        <f t="shared" si="3"/>
        <v>11.11838743216812</v>
      </c>
      <c r="F19" s="7">
        <f t="shared" si="4"/>
        <v>0.06572222433974338</v>
      </c>
      <c r="G19" s="7">
        <f t="shared" si="5"/>
        <v>4.694863194272645</v>
      </c>
      <c r="H19" s="7">
        <f t="shared" si="6"/>
        <v>0.12289448520533644</v>
      </c>
      <c r="I19" s="7">
        <f t="shared" si="7"/>
        <v>5.847370098631094</v>
      </c>
    </row>
    <row r="20" spans="1:9" ht="15">
      <c r="A20" s="6">
        <v>16</v>
      </c>
      <c r="B20" s="7">
        <f t="shared" si="0"/>
        <v>0.7284458137142342</v>
      </c>
      <c r="C20" s="7">
        <f t="shared" si="1"/>
        <v>13.577709314288276</v>
      </c>
      <c r="D20" s="7">
        <f t="shared" si="2"/>
        <v>0.5339081756858413</v>
      </c>
      <c r="E20" s="7">
        <f t="shared" si="3"/>
        <v>11.652295607853961</v>
      </c>
      <c r="F20" s="7">
        <f t="shared" si="4"/>
        <v>0.05481419878210457</v>
      </c>
      <c r="G20" s="7">
        <f t="shared" si="5"/>
        <v>4.74967739305475</v>
      </c>
      <c r="H20" s="7">
        <f t="shared" si="6"/>
        <v>0.10686476974377082</v>
      </c>
      <c r="I20" s="7">
        <f t="shared" si="7"/>
        <v>5.954234868374865</v>
      </c>
    </row>
    <row r="21" spans="1:9" ht="15">
      <c r="A21" s="6">
        <v>17</v>
      </c>
      <c r="B21" s="7">
        <f t="shared" si="0"/>
        <v>0.7141625624649355</v>
      </c>
      <c r="C21" s="7">
        <f t="shared" si="1"/>
        <v>14.291871876753211</v>
      </c>
      <c r="D21" s="7">
        <f t="shared" si="2"/>
        <v>0.5133732458517705</v>
      </c>
      <c r="E21" s="7">
        <f t="shared" si="3"/>
        <v>12.165668853705732</v>
      </c>
      <c r="F21" s="7">
        <f t="shared" si="4"/>
        <v>0.04571659614854426</v>
      </c>
      <c r="G21" s="7">
        <f t="shared" si="5"/>
        <v>4.795393989203294</v>
      </c>
      <c r="H21" s="7">
        <f t="shared" si="6"/>
        <v>0.09292588673371377</v>
      </c>
      <c r="I21" s="7">
        <f t="shared" si="7"/>
        <v>6.047160755108579</v>
      </c>
    </row>
    <row r="22" spans="1:9" ht="15">
      <c r="A22" s="6">
        <v>18</v>
      </c>
      <c r="B22" s="7">
        <f t="shared" si="0"/>
        <v>0.700159374965623</v>
      </c>
      <c r="C22" s="7">
        <f t="shared" si="1"/>
        <v>14.992031251718833</v>
      </c>
      <c r="D22" s="7">
        <f t="shared" si="2"/>
        <v>0.49362812101131776</v>
      </c>
      <c r="E22" s="7">
        <f t="shared" si="3"/>
        <v>12.65929697471705</v>
      </c>
      <c r="F22" s="7">
        <f t="shared" si="4"/>
        <v>0.03812893757176335</v>
      </c>
      <c r="G22" s="7">
        <f t="shared" si="5"/>
        <v>4.833522926775058</v>
      </c>
      <c r="H22" s="7">
        <f t="shared" si="6"/>
        <v>0.08080511889888155</v>
      </c>
      <c r="I22" s="7">
        <f t="shared" si="7"/>
        <v>6.127965874007461</v>
      </c>
    </row>
    <row r="23" spans="1:9" ht="15">
      <c r="A23" s="6">
        <v>19</v>
      </c>
      <c r="B23" s="7">
        <f t="shared" si="0"/>
        <v>0.6864307597702186</v>
      </c>
      <c r="C23" s="7">
        <f t="shared" si="1"/>
        <v>15.678462011489051</v>
      </c>
      <c r="D23" s="7">
        <f t="shared" si="2"/>
        <v>0.474642424049344</v>
      </c>
      <c r="E23" s="7">
        <f t="shared" si="3"/>
        <v>13.133939398766394</v>
      </c>
      <c r="F23" s="7">
        <f t="shared" si="4"/>
        <v>0.031800615155765925</v>
      </c>
      <c r="G23" s="7">
        <f t="shared" si="5"/>
        <v>4.865323541930824</v>
      </c>
      <c r="H23" s="7">
        <f t="shared" si="6"/>
        <v>0.07026532078163614</v>
      </c>
      <c r="I23" s="7">
        <f t="shared" si="7"/>
        <v>6.198231194789097</v>
      </c>
    </row>
    <row r="24" spans="1:10" ht="15">
      <c r="A24" s="6">
        <v>20</v>
      </c>
      <c r="B24" s="7">
        <f t="shared" si="0"/>
        <v>0.6729713331080575</v>
      </c>
      <c r="C24" s="7">
        <f t="shared" si="1"/>
        <v>16.35143334459711</v>
      </c>
      <c r="D24" s="7">
        <f t="shared" si="2"/>
        <v>0.4563869462012923</v>
      </c>
      <c r="E24" s="7">
        <f t="shared" si="3"/>
        <v>13.590326344967686</v>
      </c>
      <c r="F24" s="7">
        <f t="shared" si="4"/>
        <v>0.02652261480881228</v>
      </c>
      <c r="G24" s="9">
        <f t="shared" si="5"/>
        <v>4.8918461567396365</v>
      </c>
      <c r="H24" s="7">
        <f t="shared" si="6"/>
        <v>0.061100278940553164</v>
      </c>
      <c r="I24" s="7">
        <f t="shared" si="7"/>
        <v>6.25933147372965</v>
      </c>
      <c r="J24" s="2">
        <f>School!J28</f>
        <v>28</v>
      </c>
    </row>
    <row r="25" spans="1:9" ht="15">
      <c r="A25" s="6">
        <v>29</v>
      </c>
      <c r="B25" s="7">
        <f aca="true" t="shared" si="8" ref="B25:B56">1/(1+B$3)^$A25</f>
        <v>0.5631123067595103</v>
      </c>
      <c r="C25" s="7">
        <f aca="true" t="shared" si="9" ref="C25:C56">(1-(1+B$3)^-$A25)/B$3</f>
        <v>21.844384662024485</v>
      </c>
      <c r="D25" s="7">
        <f aca="true" t="shared" si="10" ref="D25:D56">1/(1+D$3)^$A25</f>
        <v>0.3206514146923571</v>
      </c>
      <c r="E25" s="7">
        <f aca="true" t="shared" si="11" ref="E25:E56">(1-(1+D$3)^-$A25)/D$3</f>
        <v>16.983714632691072</v>
      </c>
      <c r="F25" s="7">
        <f aca="true" t="shared" si="12" ref="F25:F56">1/(1+F$3)^$A25</f>
        <v>0.005178973515824101</v>
      </c>
      <c r="G25" s="7">
        <f aca="true" t="shared" si="13" ref="G25:G56">(1-(1+F$3)^-$A25)/F$3</f>
        <v>4.999100635598873</v>
      </c>
      <c r="H25" s="7">
        <f aca="true" t="shared" si="14" ref="H25:H56">1/(1+H$3)^$A25</f>
        <v>0.01736851266796737</v>
      </c>
      <c r="I25" s="7">
        <f aca="true" t="shared" si="15" ref="I25:I56">(1-(1+H$3)^-$A25)/H$3</f>
        <v>6.550876582213551</v>
      </c>
    </row>
    <row r="26" spans="1:10" ht="15.75">
      <c r="A26" s="6">
        <v>30</v>
      </c>
      <c r="B26" s="7">
        <f t="shared" si="8"/>
        <v>0.552070888979912</v>
      </c>
      <c r="C26" s="7">
        <f t="shared" si="9"/>
        <v>22.3964555510044</v>
      </c>
      <c r="D26" s="7">
        <f t="shared" si="10"/>
        <v>0.30831866797342034</v>
      </c>
      <c r="E26" s="7">
        <f t="shared" si="11"/>
        <v>17.292033300664492</v>
      </c>
      <c r="F26" s="7">
        <f t="shared" si="12"/>
        <v>0.004319410772163554</v>
      </c>
      <c r="G26" s="8">
        <f t="shared" si="13"/>
        <v>5.003420046371037</v>
      </c>
      <c r="H26" s="7">
        <f t="shared" si="14"/>
        <v>0.015103054493884669</v>
      </c>
      <c r="I26" s="7">
        <f t="shared" si="15"/>
        <v>6.565979636707436</v>
      </c>
      <c r="J26" s="2">
        <f>irrig!E18</f>
        <v>30</v>
      </c>
    </row>
    <row r="27" spans="1:9" ht="15">
      <c r="A27" s="6">
        <f aca="true" t="shared" si="16" ref="A27:A56">+A26+1</f>
        <v>31</v>
      </c>
      <c r="B27" s="7">
        <f t="shared" si="8"/>
        <v>0.5412459695881492</v>
      </c>
      <c r="C27" s="7">
        <f t="shared" si="9"/>
        <v>22.93770152059254</v>
      </c>
      <c r="D27" s="7">
        <f t="shared" si="10"/>
        <v>0.29646025766675027</v>
      </c>
      <c r="E27" s="7">
        <f t="shared" si="11"/>
        <v>17.58849355833124</v>
      </c>
      <c r="F27" s="7">
        <f t="shared" si="12"/>
        <v>0.003602511069360762</v>
      </c>
      <c r="G27" s="7">
        <f t="shared" si="13"/>
        <v>5.007022557440398</v>
      </c>
      <c r="H27" s="7">
        <f t="shared" si="14"/>
        <v>0.013133090864247542</v>
      </c>
      <c r="I27" s="7">
        <f t="shared" si="15"/>
        <v>6.579112727571683</v>
      </c>
    </row>
    <row r="28" spans="1:9" ht="15">
      <c r="A28" s="6">
        <f t="shared" si="16"/>
        <v>32</v>
      </c>
      <c r="B28" s="7">
        <f t="shared" si="8"/>
        <v>0.5306333035177931</v>
      </c>
      <c r="C28" s="7">
        <f t="shared" si="9"/>
        <v>23.468334824110343</v>
      </c>
      <c r="D28" s="7">
        <f t="shared" si="10"/>
        <v>0.28505794006418295</v>
      </c>
      <c r="E28" s="7">
        <f t="shared" si="11"/>
        <v>17.873551498395425</v>
      </c>
      <c r="F28" s="7">
        <f t="shared" si="12"/>
        <v>0.003004596388124071</v>
      </c>
      <c r="G28" s="7">
        <f t="shared" si="13"/>
        <v>5.0100271538285215</v>
      </c>
      <c r="H28" s="7">
        <f t="shared" si="14"/>
        <v>0.01142007901238917</v>
      </c>
      <c r="I28" s="7">
        <f t="shared" si="15"/>
        <v>6.590532806584072</v>
      </c>
    </row>
    <row r="29" spans="1:9" ht="15">
      <c r="A29" s="6">
        <f t="shared" si="16"/>
        <v>33</v>
      </c>
      <c r="B29" s="7">
        <f t="shared" si="8"/>
        <v>0.5202287289390128</v>
      </c>
      <c r="C29" s="7">
        <f t="shared" si="9"/>
        <v>23.988563553049357</v>
      </c>
      <c r="D29" s="7">
        <f t="shared" si="10"/>
        <v>0.27409417313863743</v>
      </c>
      <c r="E29" s="7">
        <f t="shared" si="11"/>
        <v>18.14764567153406</v>
      </c>
      <c r="F29" s="7">
        <f t="shared" si="12"/>
        <v>0.0025059185889274986</v>
      </c>
      <c r="G29" s="7">
        <f t="shared" si="13"/>
        <v>5.012533072417449</v>
      </c>
      <c r="H29" s="7">
        <f t="shared" si="14"/>
        <v>0.009930503489034062</v>
      </c>
      <c r="I29" s="7">
        <f t="shared" si="15"/>
        <v>6.600463310073107</v>
      </c>
    </row>
    <row r="30" spans="1:9" ht="15">
      <c r="A30" s="6">
        <f t="shared" si="16"/>
        <v>34</v>
      </c>
      <c r="B30" s="7">
        <f t="shared" si="8"/>
        <v>0.5100281656264832</v>
      </c>
      <c r="C30" s="7">
        <f t="shared" si="9"/>
        <v>24.498591718675836</v>
      </c>
      <c r="D30" s="7">
        <f t="shared" si="10"/>
        <v>0.26355208955638215</v>
      </c>
      <c r="E30" s="7">
        <f t="shared" si="11"/>
        <v>18.41119776109045</v>
      </c>
      <c r="F30" s="7">
        <f t="shared" si="12"/>
        <v>0.0020900071634090897</v>
      </c>
      <c r="G30" s="7">
        <f t="shared" si="13"/>
        <v>5.014623079580859</v>
      </c>
      <c r="H30" s="7">
        <f t="shared" si="14"/>
        <v>0.00863522042524701</v>
      </c>
      <c r="I30" s="7">
        <f t="shared" si="15"/>
        <v>6.609098530498353</v>
      </c>
    </row>
    <row r="31" spans="1:9" ht="15">
      <c r="A31" s="6">
        <f t="shared" si="16"/>
        <v>35</v>
      </c>
      <c r="B31" s="7">
        <f t="shared" si="8"/>
        <v>0.5000276133592974</v>
      </c>
      <c r="C31" s="7">
        <f t="shared" si="9"/>
        <v>24.998619332035133</v>
      </c>
      <c r="D31" s="7">
        <f t="shared" si="10"/>
        <v>0.2534154707272905</v>
      </c>
      <c r="E31" s="7">
        <f t="shared" si="11"/>
        <v>18.66461323181774</v>
      </c>
      <c r="F31" s="7">
        <f t="shared" si="12"/>
        <v>0.0017431252405413588</v>
      </c>
      <c r="G31" s="7">
        <f t="shared" si="13"/>
        <v>5.0163662048214</v>
      </c>
      <c r="H31" s="7">
        <f t="shared" si="14"/>
        <v>0.00750888732630175</v>
      </c>
      <c r="I31" s="7">
        <f t="shared" si="15"/>
        <v>6.616607417824655</v>
      </c>
    </row>
    <row r="32" spans="1:9" ht="15">
      <c r="A32" s="6">
        <f t="shared" si="16"/>
        <v>36</v>
      </c>
      <c r="B32" s="7">
        <f t="shared" si="8"/>
        <v>0.49022315035225233</v>
      </c>
      <c r="C32" s="7">
        <f t="shared" si="9"/>
        <v>25.488842482387387</v>
      </c>
      <c r="D32" s="7">
        <f t="shared" si="10"/>
        <v>0.24366872185316396</v>
      </c>
      <c r="E32" s="7">
        <f t="shared" si="11"/>
        <v>18.9082819536709</v>
      </c>
      <c r="F32" s="7">
        <f t="shared" si="12"/>
        <v>0.0014538158803514252</v>
      </c>
      <c r="G32" s="7">
        <f t="shared" si="13"/>
        <v>5.017820020701751</v>
      </c>
      <c r="H32" s="7">
        <f t="shared" si="14"/>
        <v>0.0065294672402623904</v>
      </c>
      <c r="I32" s="7">
        <f t="shared" si="15"/>
        <v>6.623136885064918</v>
      </c>
    </row>
    <row r="33" spans="1:9" ht="15">
      <c r="A33" s="6">
        <f t="shared" si="16"/>
        <v>37</v>
      </c>
      <c r="B33" s="7">
        <f t="shared" si="8"/>
        <v>0.4806109317178944</v>
      </c>
      <c r="C33" s="7">
        <f t="shared" si="9"/>
        <v>25.96945341410528</v>
      </c>
      <c r="D33" s="7">
        <f t="shared" si="10"/>
        <v>0.23429684793573452</v>
      </c>
      <c r="E33" s="7">
        <f t="shared" si="11"/>
        <v>19.142578801606636</v>
      </c>
      <c r="F33" s="7">
        <f t="shared" si="12"/>
        <v>0.0012125236700178692</v>
      </c>
      <c r="G33" s="7">
        <f t="shared" si="13"/>
        <v>5.019032544371769</v>
      </c>
      <c r="H33" s="7">
        <f t="shared" si="14"/>
        <v>0.005677797600228166</v>
      </c>
      <c r="I33" s="7">
        <f t="shared" si="15"/>
        <v>6.628814682665146</v>
      </c>
    </row>
    <row r="34" spans="1:9" ht="15">
      <c r="A34" s="6">
        <f t="shared" si="16"/>
        <v>38</v>
      </c>
      <c r="B34" s="7">
        <f t="shared" si="8"/>
        <v>0.4711871879587199</v>
      </c>
      <c r="C34" s="7">
        <f t="shared" si="9"/>
        <v>26.440640602064</v>
      </c>
      <c r="D34" s="7">
        <f t="shared" si="10"/>
        <v>0.22528543070743706</v>
      </c>
      <c r="E34" s="7">
        <f t="shared" si="11"/>
        <v>19.367864232314073</v>
      </c>
      <c r="F34" s="7">
        <f t="shared" si="12"/>
        <v>0.0010112791242851285</v>
      </c>
      <c r="G34" s="7">
        <f t="shared" si="13"/>
        <v>5.020043823496055</v>
      </c>
      <c r="H34" s="7">
        <f t="shared" si="14"/>
        <v>0.004937215304546232</v>
      </c>
      <c r="I34" s="7">
        <f t="shared" si="15"/>
        <v>6.633751897969692</v>
      </c>
    </row>
    <row r="35" spans="1:9" ht="15">
      <c r="A35" s="6">
        <f t="shared" si="16"/>
        <v>39</v>
      </c>
      <c r="B35" s="7">
        <f t="shared" si="8"/>
        <v>0.46194822348894127</v>
      </c>
      <c r="C35" s="7">
        <f t="shared" si="9"/>
        <v>26.902588825552936</v>
      </c>
      <c r="D35" s="7">
        <f t="shared" si="10"/>
        <v>0.21662060644945874</v>
      </c>
      <c r="E35" s="7">
        <f t="shared" si="11"/>
        <v>19.584484838763533</v>
      </c>
      <c r="F35" s="7">
        <f t="shared" si="12"/>
        <v>0.0008434354664596567</v>
      </c>
      <c r="G35" s="7">
        <f t="shared" si="13"/>
        <v>5.020887258962514</v>
      </c>
      <c r="H35" s="7">
        <f t="shared" si="14"/>
        <v>0.00429323069960542</v>
      </c>
      <c r="I35" s="7">
        <f t="shared" si="15"/>
        <v>6.638045128669297</v>
      </c>
    </row>
    <row r="36" spans="1:9" ht="15">
      <c r="A36" s="6">
        <f t="shared" si="16"/>
        <v>40</v>
      </c>
      <c r="B36" s="7">
        <f t="shared" si="8"/>
        <v>0.45289041518523643</v>
      </c>
      <c r="C36" s="7">
        <f t="shared" si="9"/>
        <v>27.355479240738177</v>
      </c>
      <c r="D36" s="7">
        <f t="shared" si="10"/>
        <v>0.20828904466294101</v>
      </c>
      <c r="E36" s="7">
        <f t="shared" si="11"/>
        <v>19.792773883426474</v>
      </c>
      <c r="F36" s="7">
        <f t="shared" si="12"/>
        <v>0.0007034490962966278</v>
      </c>
      <c r="G36" s="7">
        <f t="shared" si="13"/>
        <v>5.0215907080588105</v>
      </c>
      <c r="H36" s="7">
        <f t="shared" si="14"/>
        <v>0.0037332440866134084</v>
      </c>
      <c r="I36" s="7">
        <f t="shared" si="15"/>
        <v>6.64177837275591</v>
      </c>
    </row>
    <row r="37" spans="1:9" ht="15">
      <c r="A37" s="6">
        <f t="shared" si="16"/>
        <v>41</v>
      </c>
      <c r="B37" s="7">
        <f t="shared" si="8"/>
        <v>0.4440102109659181</v>
      </c>
      <c r="C37" s="7">
        <f t="shared" si="9"/>
        <v>27.799489451704094</v>
      </c>
      <c r="D37" s="7">
        <f t="shared" si="10"/>
        <v>0.2002779275605202</v>
      </c>
      <c r="E37" s="7">
        <f t="shared" si="11"/>
        <v>19.993051810986994</v>
      </c>
      <c r="F37" s="7">
        <f t="shared" si="12"/>
        <v>0.0005866964939921833</v>
      </c>
      <c r="G37" s="7">
        <f t="shared" si="13"/>
        <v>5.022177404552803</v>
      </c>
      <c r="H37" s="7">
        <f t="shared" si="14"/>
        <v>0.0032462992057507903</v>
      </c>
      <c r="I37" s="7">
        <f t="shared" si="15"/>
        <v>6.645024671961662</v>
      </c>
    </row>
    <row r="38" spans="1:9" ht="15">
      <c r="A38" s="6">
        <f t="shared" si="16"/>
        <v>42</v>
      </c>
      <c r="B38" s="7">
        <f t="shared" si="8"/>
        <v>0.4353041283979589</v>
      </c>
      <c r="C38" s="7">
        <f t="shared" si="9"/>
        <v>28.234793580102057</v>
      </c>
      <c r="D38" s="7">
        <f t="shared" si="10"/>
        <v>0.19257493034665407</v>
      </c>
      <c r="E38" s="7">
        <f t="shared" si="11"/>
        <v>20.185626741333646</v>
      </c>
      <c r="F38" s="7">
        <f t="shared" si="12"/>
        <v>0.0004893215129209201</v>
      </c>
      <c r="G38" s="7">
        <f t="shared" si="13"/>
        <v>5.022666726065724</v>
      </c>
      <c r="H38" s="7">
        <f t="shared" si="14"/>
        <v>0.002822868874565905</v>
      </c>
      <c r="I38" s="7">
        <f t="shared" si="15"/>
        <v>6.647847540836227</v>
      </c>
    </row>
    <row r="39" spans="1:9" ht="15">
      <c r="A39" s="6">
        <f t="shared" si="16"/>
        <v>43</v>
      </c>
      <c r="B39" s="7">
        <f t="shared" si="8"/>
        <v>0.4267687533313323</v>
      </c>
      <c r="C39" s="7">
        <f t="shared" si="9"/>
        <v>28.661562333433388</v>
      </c>
      <c r="D39" s="7">
        <f t="shared" si="10"/>
        <v>0.18516820225639813</v>
      </c>
      <c r="E39" s="7">
        <f t="shared" si="11"/>
        <v>20.37079494359005</v>
      </c>
      <c r="F39" s="7">
        <f t="shared" si="12"/>
        <v>0.0004081080174486406</v>
      </c>
      <c r="G39" s="7">
        <f t="shared" si="13"/>
        <v>5.023074834083173</v>
      </c>
      <c r="H39" s="7">
        <f t="shared" si="14"/>
        <v>0.002454668586579048</v>
      </c>
      <c r="I39" s="7">
        <f t="shared" si="15"/>
        <v>6.650302209422806</v>
      </c>
    </row>
    <row r="40" spans="1:9" ht="15">
      <c r="A40" s="6">
        <f t="shared" si="16"/>
        <v>44</v>
      </c>
      <c r="B40" s="7">
        <f t="shared" si="8"/>
        <v>0.41840073856012966</v>
      </c>
      <c r="C40" s="7">
        <f t="shared" si="9"/>
        <v>29.079963071993518</v>
      </c>
      <c r="D40" s="7">
        <f t="shared" si="10"/>
        <v>0.17804634832345972</v>
      </c>
      <c r="E40" s="7">
        <f t="shared" si="11"/>
        <v>20.548841291913504</v>
      </c>
      <c r="F40" s="7">
        <f t="shared" si="12"/>
        <v>0.0003403736592565809</v>
      </c>
      <c r="G40" s="7">
        <f t="shared" si="13"/>
        <v>5.0234152077424294</v>
      </c>
      <c r="H40" s="7">
        <f t="shared" si="14"/>
        <v>0.002134494423112216</v>
      </c>
      <c r="I40" s="7">
        <f t="shared" si="15"/>
        <v>6.652436703845919</v>
      </c>
    </row>
    <row r="41" spans="1:9" ht="15">
      <c r="A41" s="6">
        <f t="shared" si="16"/>
        <v>45</v>
      </c>
      <c r="B41" s="7">
        <f t="shared" si="8"/>
        <v>0.41019680250993107</v>
      </c>
      <c r="C41" s="7">
        <f t="shared" si="9"/>
        <v>29.490159874503448</v>
      </c>
      <c r="D41" s="7">
        <f t="shared" si="10"/>
        <v>0.17119841184948048</v>
      </c>
      <c r="E41" s="7">
        <f t="shared" si="11"/>
        <v>20.72003970376299</v>
      </c>
      <c r="F41" s="7">
        <f t="shared" si="12"/>
        <v>0.0002838812837836371</v>
      </c>
      <c r="G41" s="7">
        <f t="shared" si="13"/>
        <v>5.023699089026213</v>
      </c>
      <c r="H41" s="7">
        <f t="shared" si="14"/>
        <v>0.001856082107054101</v>
      </c>
      <c r="I41" s="7">
        <f t="shared" si="15"/>
        <v>6.654292785952973</v>
      </c>
    </row>
    <row r="42" spans="1:9" ht="15">
      <c r="A42" s="6">
        <f t="shared" si="16"/>
        <v>46</v>
      </c>
      <c r="B42" s="7">
        <f t="shared" si="8"/>
        <v>0.40215372795091275</v>
      </c>
      <c r="C42" s="7">
        <f t="shared" si="9"/>
        <v>29.89231360245436</v>
      </c>
      <c r="D42" s="7">
        <f t="shared" si="10"/>
        <v>0.1646138575475774</v>
      </c>
      <c r="E42" s="7">
        <f t="shared" si="11"/>
        <v>20.884653561310564</v>
      </c>
      <c r="F42" s="7">
        <f t="shared" si="12"/>
        <v>0.0002367650406869367</v>
      </c>
      <c r="G42" s="7">
        <f t="shared" si="13"/>
        <v>5.0239358540669</v>
      </c>
      <c r="H42" s="7">
        <f t="shared" si="14"/>
        <v>0.0016139844409166094</v>
      </c>
      <c r="I42" s="7">
        <f t="shared" si="15"/>
        <v>6.655906770393889</v>
      </c>
    </row>
    <row r="43" spans="1:9" ht="15">
      <c r="A43" s="6">
        <f t="shared" si="16"/>
        <v>47</v>
      </c>
      <c r="B43" s="7">
        <f t="shared" si="8"/>
        <v>0.3942683607361891</v>
      </c>
      <c r="C43" s="7">
        <f t="shared" si="9"/>
        <v>30.286581963190546</v>
      </c>
      <c r="D43" s="7">
        <f t="shared" si="10"/>
        <v>0.15828255533420904</v>
      </c>
      <c r="E43" s="7">
        <f t="shared" si="11"/>
        <v>21.04293611664477</v>
      </c>
      <c r="F43" s="7">
        <f t="shared" si="12"/>
        <v>0.0001974687578706728</v>
      </c>
      <c r="G43" s="7">
        <f t="shared" si="13"/>
        <v>5.02413332282477</v>
      </c>
      <c r="H43" s="7">
        <f t="shared" si="14"/>
        <v>0.0014034647312318347</v>
      </c>
      <c r="I43" s="7">
        <f t="shared" si="15"/>
        <v>6.657310235125121</v>
      </c>
    </row>
    <row r="44" spans="1:9" ht="15">
      <c r="A44" s="6">
        <f t="shared" si="16"/>
        <v>48</v>
      </c>
      <c r="B44" s="7">
        <f t="shared" si="8"/>
        <v>0.3865376085648912</v>
      </c>
      <c r="C44" s="7">
        <f t="shared" si="9"/>
        <v>30.673119571755436</v>
      </c>
      <c r="D44" s="7">
        <f t="shared" si="10"/>
        <v>0.15219476474443175</v>
      </c>
      <c r="E44" s="7">
        <f t="shared" si="11"/>
        <v>21.195130881389208</v>
      </c>
      <c r="F44" s="7">
        <f t="shared" si="12"/>
        <v>0.00016469454367862616</v>
      </c>
      <c r="G44" s="7">
        <f t="shared" si="13"/>
        <v>5.024298017368449</v>
      </c>
      <c r="H44" s="7">
        <f t="shared" si="14"/>
        <v>0.0012204041141146392</v>
      </c>
      <c r="I44" s="7">
        <f t="shared" si="15"/>
        <v>6.6585306392392365</v>
      </c>
    </row>
    <row r="45" spans="1:9" ht="15">
      <c r="A45" s="6">
        <f t="shared" si="16"/>
        <v>49</v>
      </c>
      <c r="B45" s="7">
        <f t="shared" si="8"/>
        <v>0.37895843976950117</v>
      </c>
      <c r="C45" s="7">
        <f t="shared" si="9"/>
        <v>31.05207801152494</v>
      </c>
      <c r="D45" s="7">
        <f t="shared" si="10"/>
        <v>0.14634111994656898</v>
      </c>
      <c r="E45" s="7">
        <f t="shared" si="11"/>
        <v>21.341472001335777</v>
      </c>
      <c r="F45" s="7">
        <f t="shared" si="12"/>
        <v>0.00013735991966524282</v>
      </c>
      <c r="G45" s="7">
        <f t="shared" si="13"/>
        <v>5.024435377288114</v>
      </c>
      <c r="H45" s="7">
        <f t="shared" si="14"/>
        <v>0.0010612209687953383</v>
      </c>
      <c r="I45" s="7">
        <f t="shared" si="15"/>
        <v>6.659591860208031</v>
      </c>
    </row>
    <row r="46" spans="1:9" ht="15">
      <c r="A46" s="6">
        <f t="shared" si="16"/>
        <v>50</v>
      </c>
      <c r="B46" s="7">
        <f t="shared" si="8"/>
        <v>0.3715278821269619</v>
      </c>
      <c r="C46" s="7">
        <f t="shared" si="9"/>
        <v>31.423605893651906</v>
      </c>
      <c r="D46" s="7">
        <f t="shared" si="10"/>
        <v>0.1407126153332394</v>
      </c>
      <c r="E46" s="7">
        <f t="shared" si="11"/>
        <v>21.482184616669013</v>
      </c>
      <c r="F46" s="7">
        <f t="shared" si="12"/>
        <v>0.00011456206811112829</v>
      </c>
      <c r="G46" s="7">
        <f t="shared" si="13"/>
        <v>5.024549939356225</v>
      </c>
      <c r="H46" s="7">
        <f t="shared" si="14"/>
        <v>0.0009228008424307291</v>
      </c>
      <c r="I46" s="7">
        <f t="shared" si="15"/>
        <v>6.660514661050462</v>
      </c>
    </row>
    <row r="47" spans="1:9" ht="15">
      <c r="A47" s="6">
        <f t="shared" si="16"/>
        <v>51</v>
      </c>
      <c r="B47" s="7">
        <f t="shared" si="8"/>
        <v>0.36424302169309997</v>
      </c>
      <c r="C47" s="7">
        <f t="shared" si="9"/>
        <v>31.787848915345002</v>
      </c>
      <c r="D47" s="7">
        <f t="shared" si="10"/>
        <v>0.13530059166657632</v>
      </c>
      <c r="E47" s="7">
        <f t="shared" si="11"/>
        <v>21.61748520833559</v>
      </c>
      <c r="F47" s="7">
        <f t="shared" si="12"/>
        <v>9.554801343713784E-05</v>
      </c>
      <c r="G47" s="7">
        <f t="shared" si="13"/>
        <v>5.024645487369662</v>
      </c>
      <c r="H47" s="7">
        <f t="shared" si="14"/>
        <v>0.0008024355151571558</v>
      </c>
      <c r="I47" s="7">
        <f t="shared" si="15"/>
        <v>6.661317096565619</v>
      </c>
    </row>
    <row r="48" spans="1:9" ht="15">
      <c r="A48" s="6">
        <f t="shared" si="16"/>
        <v>52</v>
      </c>
      <c r="B48" s="7">
        <f t="shared" si="8"/>
        <v>0.3571010016599019</v>
      </c>
      <c r="C48" s="7">
        <f t="shared" si="9"/>
        <v>32.14494991700491</v>
      </c>
      <c r="D48" s="7">
        <f t="shared" si="10"/>
        <v>0.1300967227563234</v>
      </c>
      <c r="E48" s="7">
        <f t="shared" si="11"/>
        <v>21.747581931091915</v>
      </c>
      <c r="F48" s="7">
        <f t="shared" si="12"/>
        <v>7.968975265816332E-05</v>
      </c>
      <c r="G48" s="7">
        <f t="shared" si="13"/>
        <v>5.0247251771223205</v>
      </c>
      <c r="H48" s="7">
        <f t="shared" si="14"/>
        <v>0.0006977700131801356</v>
      </c>
      <c r="I48" s="7">
        <f t="shared" si="15"/>
        <v>6.662014866578799</v>
      </c>
    </row>
    <row r="49" spans="1:9" ht="15">
      <c r="A49" s="6">
        <f t="shared" si="16"/>
        <v>53</v>
      </c>
      <c r="B49" s="7">
        <f t="shared" si="8"/>
        <v>0.350099021235198</v>
      </c>
      <c r="C49" s="7">
        <f t="shared" si="9"/>
        <v>32.4950489382401</v>
      </c>
      <c r="D49" s="7">
        <f t="shared" si="10"/>
        <v>0.12509300265031092</v>
      </c>
      <c r="E49" s="7">
        <f t="shared" si="11"/>
        <v>21.872674933742225</v>
      </c>
      <c r="F49" s="7">
        <f t="shared" si="12"/>
        <v>6.646351347636641E-05</v>
      </c>
      <c r="G49" s="7">
        <f t="shared" si="13"/>
        <v>5.024791640635796</v>
      </c>
      <c r="H49" s="7">
        <f t="shared" si="14"/>
        <v>0.0006067565332001179</v>
      </c>
      <c r="I49" s="7">
        <f t="shared" si="15"/>
        <v>6.662621623112</v>
      </c>
    </row>
    <row r="50" spans="1:9" ht="15">
      <c r="A50" s="6">
        <f t="shared" si="16"/>
        <v>54</v>
      </c>
      <c r="B50" s="7">
        <f t="shared" si="8"/>
        <v>0.3432343345443117</v>
      </c>
      <c r="C50" s="7">
        <f t="shared" si="9"/>
        <v>32.838283272784416</v>
      </c>
      <c r="D50" s="7">
        <f t="shared" si="10"/>
        <v>0.12028173331760666</v>
      </c>
      <c r="E50" s="7">
        <f t="shared" si="11"/>
        <v>21.992956667059833</v>
      </c>
      <c r="F50" s="7">
        <f t="shared" si="12"/>
        <v>5.543245494275764E-05</v>
      </c>
      <c r="G50" s="7">
        <f t="shared" si="13"/>
        <v>5.02484707309074</v>
      </c>
      <c r="H50" s="7">
        <f t="shared" si="14"/>
        <v>0.0005276143766957547</v>
      </c>
      <c r="I50" s="7">
        <f t="shared" si="15"/>
        <v>6.663149237488695</v>
      </c>
    </row>
    <row r="51" spans="1:9" ht="15">
      <c r="A51" s="6">
        <f t="shared" si="16"/>
        <v>55</v>
      </c>
      <c r="B51" s="7">
        <f t="shared" si="8"/>
        <v>0.33650424955324687</v>
      </c>
      <c r="C51" s="7">
        <f t="shared" si="9"/>
        <v>33.17478752233765</v>
      </c>
      <c r="D51" s="7">
        <f t="shared" si="10"/>
        <v>0.11565551280539103</v>
      </c>
      <c r="E51" s="7">
        <f t="shared" si="11"/>
        <v>22.108612179865226</v>
      </c>
      <c r="F51" s="7">
        <f t="shared" si="12"/>
        <v>4.623223931839669E-05</v>
      </c>
      <c r="G51" s="7">
        <f t="shared" si="13"/>
        <v>5.024893305330058</v>
      </c>
      <c r="H51" s="7">
        <f t="shared" si="14"/>
        <v>0.0004587951101702216</v>
      </c>
      <c r="I51" s="7">
        <f t="shared" si="15"/>
        <v>6.663608032598866</v>
      </c>
    </row>
    <row r="52" spans="1:9" ht="15">
      <c r="A52" s="6">
        <f t="shared" si="16"/>
        <v>56</v>
      </c>
      <c r="B52" s="7">
        <f t="shared" si="8"/>
        <v>0.3299061270129871</v>
      </c>
      <c r="C52" s="7">
        <f t="shared" si="9"/>
        <v>33.50469364935065</v>
      </c>
      <c r="D52" s="7">
        <f t="shared" si="10"/>
        <v>0.11120722385133754</v>
      </c>
      <c r="E52" s="7">
        <f t="shared" si="11"/>
        <v>22.21981940371656</v>
      </c>
      <c r="F52" s="7">
        <f t="shared" si="12"/>
        <v>3.855899859749515E-05</v>
      </c>
      <c r="G52" s="7">
        <f t="shared" si="13"/>
        <v>5.024931864328655</v>
      </c>
      <c r="H52" s="7">
        <f t="shared" si="14"/>
        <v>0.00039895226971323617</v>
      </c>
      <c r="I52" s="7">
        <f t="shared" si="15"/>
        <v>6.664006984868579</v>
      </c>
    </row>
    <row r="53" spans="1:9" ht="15">
      <c r="A53" s="6">
        <f t="shared" si="16"/>
        <v>57</v>
      </c>
      <c r="B53" s="7">
        <f t="shared" si="8"/>
        <v>0.32343737942449713</v>
      </c>
      <c r="C53" s="7">
        <f t="shared" si="9"/>
        <v>33.82813102877514</v>
      </c>
      <c r="D53" s="7">
        <f t="shared" si="10"/>
        <v>0.10693002293397837</v>
      </c>
      <c r="E53" s="7">
        <f t="shared" si="11"/>
        <v>22.32674942665054</v>
      </c>
      <c r="F53" s="7">
        <f t="shared" si="12"/>
        <v>3.2159298246451334E-05</v>
      </c>
      <c r="G53" s="7">
        <f t="shared" si="13"/>
        <v>5.024964023626902</v>
      </c>
      <c r="H53" s="7">
        <f t="shared" si="14"/>
        <v>0.00034691501714194454</v>
      </c>
      <c r="I53" s="7">
        <f t="shared" si="15"/>
        <v>6.664353899885721</v>
      </c>
    </row>
    <row r="54" spans="1:9" ht="15">
      <c r="A54" s="6">
        <f t="shared" si="16"/>
        <v>58</v>
      </c>
      <c r="B54" s="7">
        <f t="shared" si="8"/>
        <v>0.3170954700240168</v>
      </c>
      <c r="C54" s="7">
        <f t="shared" si="9"/>
        <v>34.14522649879916</v>
      </c>
      <c r="D54" s="7">
        <f t="shared" si="10"/>
        <v>0.10281732974420998</v>
      </c>
      <c r="E54" s="7">
        <f t="shared" si="11"/>
        <v>22.42956675639475</v>
      </c>
      <c r="F54" s="7">
        <f t="shared" si="12"/>
        <v>2.6821766677607447E-05</v>
      </c>
      <c r="G54" s="7">
        <f t="shared" si="13"/>
        <v>5.02499084539358</v>
      </c>
      <c r="H54" s="7">
        <f t="shared" si="14"/>
        <v>0.0003016652322973431</v>
      </c>
      <c r="I54" s="7">
        <f t="shared" si="15"/>
        <v>6.664655565118018</v>
      </c>
    </row>
    <row r="55" spans="1:9" ht="15">
      <c r="A55" s="6">
        <f t="shared" si="16"/>
        <v>59</v>
      </c>
      <c r="B55" s="7">
        <f t="shared" si="8"/>
        <v>0.3108779117882518</v>
      </c>
      <c r="C55" s="7">
        <f t="shared" si="9"/>
        <v>34.45610441058741</v>
      </c>
      <c r="D55" s="7">
        <f t="shared" si="10"/>
        <v>0.09886281706174037</v>
      </c>
      <c r="E55" s="7">
        <f t="shared" si="11"/>
        <v>22.52842957345649</v>
      </c>
      <c r="F55" s="7">
        <f t="shared" si="12"/>
        <v>2.2370113993000373E-05</v>
      </c>
      <c r="G55" s="7">
        <f t="shared" si="13"/>
        <v>5.025013215507573</v>
      </c>
      <c r="H55" s="7">
        <f t="shared" si="14"/>
        <v>0.0002623175933020375</v>
      </c>
      <c r="I55" s="7">
        <f t="shared" si="15"/>
        <v>6.66491788271132</v>
      </c>
    </row>
    <row r="56" spans="1:9" ht="15">
      <c r="A56" s="6">
        <f t="shared" si="16"/>
        <v>60</v>
      </c>
      <c r="B56" s="7">
        <f t="shared" si="8"/>
        <v>0.3047822664590703</v>
      </c>
      <c r="C56" s="7">
        <f t="shared" si="9"/>
        <v>34.760886677046486</v>
      </c>
      <c r="D56" s="7">
        <f t="shared" si="10"/>
        <v>0.09506040102090417</v>
      </c>
      <c r="E56" s="7">
        <f t="shared" si="11"/>
        <v>22.623489974477394</v>
      </c>
      <c r="F56" s="7">
        <f t="shared" si="12"/>
        <v>1.8657309418682544E-05</v>
      </c>
      <c r="G56" s="7">
        <f t="shared" si="13"/>
        <v>5.025031872816991</v>
      </c>
      <c r="H56" s="7">
        <f t="shared" si="14"/>
        <v>0.00022810225504525002</v>
      </c>
      <c r="I56" s="7">
        <f t="shared" si="15"/>
        <v>6.665145984966365</v>
      </c>
    </row>
  </sheetData>
  <sheetProtection/>
  <mergeCells count="5">
    <mergeCell ref="A1:I1"/>
    <mergeCell ref="B3:C3"/>
    <mergeCell ref="D3:E3"/>
    <mergeCell ref="F3:G3"/>
    <mergeCell ref="H3:I3"/>
  </mergeCells>
  <printOptions horizontalCentered="1"/>
  <pageMargins left="0.75" right="0.75" top="1" bottom="1" header="0.5" footer="0.5"/>
  <pageSetup fitToHeight="1" fitToWidth="1" horizontalDpi="300" verticalDpi="300" orientation="portrait" scale="96"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L58"/>
  <sheetViews>
    <sheetView zoomScale="85" zoomScaleNormal="85" zoomScalePageLayoutView="0" workbookViewId="0" topLeftCell="A1">
      <selection activeCell="A1" sqref="A1"/>
    </sheetView>
  </sheetViews>
  <sheetFormatPr defaultColWidth="5.7109375" defaultRowHeight="12.75"/>
  <cols>
    <col min="1" max="1" width="48.421875" style="586" customWidth="1"/>
    <col min="2" max="2" width="15.421875" style="586" customWidth="1"/>
    <col min="3" max="3" width="21.421875" style="586" customWidth="1"/>
    <col min="4" max="4" width="5.7109375" style="586" customWidth="1"/>
    <col min="5" max="5" width="5.7109375" style="431" customWidth="1"/>
    <col min="6" max="6" width="14.28125" style="431" customWidth="1"/>
    <col min="7" max="7" width="9.7109375" style="586" customWidth="1"/>
    <col min="8" max="8" width="10.8515625" style="586" bestFit="1" customWidth="1"/>
    <col min="9" max="16384" width="5.7109375" style="586" customWidth="1"/>
  </cols>
  <sheetData>
    <row r="1" ht="12.75">
      <c r="K1" s="200" t="s">
        <v>691</v>
      </c>
    </row>
    <row r="2" spans="1:7" s="204" customFormat="1" ht="18">
      <c r="A2" s="203" t="s">
        <v>607</v>
      </c>
      <c r="G2" s="205"/>
    </row>
    <row r="3" ht="12.75">
      <c r="A3" s="395">
        <f>IF('ERR &amp; Sensitivity Analysis'!$I$12="y",IF('ERR &amp; Sensitivity Analysis'!$I$16="y","","Note: Current calculations are based on user input and are not the original MCC estimates"),"Note: Current calculations are based on user input and are not the original MCC estimates")</f>
      </c>
    </row>
    <row r="4" ht="18">
      <c r="A4" s="394" t="s">
        <v>138</v>
      </c>
    </row>
    <row r="5" ht="12.75">
      <c r="A5" s="395"/>
    </row>
    <row r="6" spans="1:12" ht="12.75">
      <c r="A6" s="587" t="s">
        <v>284</v>
      </c>
      <c r="B6" s="588"/>
      <c r="C6" s="588"/>
      <c r="E6" s="985" t="s">
        <v>481</v>
      </c>
      <c r="F6" s="986"/>
      <c r="H6" s="983" t="s">
        <v>534</v>
      </c>
      <c r="J6" s="435"/>
      <c r="K6" s="456"/>
      <c r="L6" s="402"/>
    </row>
    <row r="7" spans="1:12" ht="12.75">
      <c r="A7" s="1010" t="s">
        <v>462</v>
      </c>
      <c r="B7" s="1011"/>
      <c r="C7" s="1012"/>
      <c r="E7" s="589" t="s">
        <v>60</v>
      </c>
      <c r="F7" s="500" t="s">
        <v>664</v>
      </c>
      <c r="H7" s="984"/>
      <c r="J7" s="431"/>
      <c r="K7" s="463"/>
      <c r="L7" s="402"/>
    </row>
    <row r="8" spans="2:12" ht="12.75">
      <c r="B8" s="466" t="s">
        <v>72</v>
      </c>
      <c r="C8" s="466" t="s">
        <v>39</v>
      </c>
      <c r="E8" s="252">
        <v>1</v>
      </c>
      <c r="F8" s="439">
        <f>-C9</f>
        <v>-1105575.3402723912</v>
      </c>
      <c r="H8" s="590">
        <v>0</v>
      </c>
      <c r="J8" s="441"/>
      <c r="K8" s="551"/>
      <c r="L8" s="402"/>
    </row>
    <row r="9" spans="1:12" ht="12.75">
      <c r="A9" s="442" t="s">
        <v>460</v>
      </c>
      <c r="B9" s="591" t="s">
        <v>270</v>
      </c>
      <c r="C9" s="553">
        <f>SUM(C10:C13)</f>
        <v>1105575.3402723912</v>
      </c>
      <c r="E9" s="250">
        <f>+E8+1</f>
        <v>2</v>
      </c>
      <c r="F9" s="444">
        <f>+C26</f>
        <v>177604.57173314225</v>
      </c>
      <c r="H9" s="592">
        <f>$C$26</f>
        <v>177604.57173314225</v>
      </c>
      <c r="J9" s="441"/>
      <c r="K9" s="551"/>
      <c r="L9" s="402"/>
    </row>
    <row r="10" spans="1:12" ht="12.75">
      <c r="A10" s="445" t="s">
        <v>461</v>
      </c>
      <c r="B10" s="593" t="s">
        <v>270</v>
      </c>
      <c r="C10" s="261">
        <f>'Subproject Data'!E19</f>
        <v>949814.9924804391</v>
      </c>
      <c r="D10" s="594"/>
      <c r="E10" s="250">
        <f>+E9+1</f>
        <v>3</v>
      </c>
      <c r="F10" s="444">
        <f>+F9</f>
        <v>177604.57173314225</v>
      </c>
      <c r="H10" s="592">
        <f aca="true" t="shared" si="0" ref="H10:H27">$C$26</f>
        <v>177604.57173314225</v>
      </c>
      <c r="J10" s="431"/>
      <c r="K10" s="456"/>
      <c r="L10" s="402"/>
    </row>
    <row r="11" spans="1:12" ht="12.75" customHeight="1">
      <c r="A11" s="447" t="s">
        <v>275</v>
      </c>
      <c r="B11" s="446" t="s">
        <v>270</v>
      </c>
      <c r="C11" s="261">
        <f>'Assumptions &amp; Data'!$L$21</f>
        <v>64302.003163979694</v>
      </c>
      <c r="E11" s="250">
        <f aca="true" t="shared" si="1" ref="E11:E16">+E10+1</f>
        <v>4</v>
      </c>
      <c r="F11" s="444">
        <f aca="true" t="shared" si="2" ref="F11:F16">+F10</f>
        <v>177604.57173314225</v>
      </c>
      <c r="H11" s="592">
        <f t="shared" si="0"/>
        <v>177604.57173314225</v>
      </c>
      <c r="J11" s="431"/>
      <c r="K11" s="456"/>
      <c r="L11" s="402"/>
    </row>
    <row r="12" spans="1:12" ht="12.75">
      <c r="A12" s="447" t="s">
        <v>289</v>
      </c>
      <c r="B12" s="446" t="s">
        <v>270</v>
      </c>
      <c r="C12" s="261">
        <f>'Assumptions &amp; Data'!$L$22</f>
        <v>89127.6129782695</v>
      </c>
      <c r="E12" s="250">
        <f t="shared" si="1"/>
        <v>5</v>
      </c>
      <c r="F12" s="444">
        <f t="shared" si="2"/>
        <v>177604.57173314225</v>
      </c>
      <c r="H12" s="592">
        <f t="shared" si="0"/>
        <v>177604.57173314225</v>
      </c>
      <c r="J12" s="431"/>
      <c r="K12" s="463"/>
      <c r="L12" s="402"/>
    </row>
    <row r="13" spans="1:12" ht="12.75">
      <c r="A13" s="447" t="s">
        <v>276</v>
      </c>
      <c r="B13" s="446" t="s">
        <v>270</v>
      </c>
      <c r="C13" s="261">
        <f>'Assumptions &amp; Data'!$L$23</f>
        <v>2330.731649702951</v>
      </c>
      <c r="E13" s="250">
        <f t="shared" si="1"/>
        <v>6</v>
      </c>
      <c r="F13" s="444">
        <f t="shared" si="2"/>
        <v>177604.57173314225</v>
      </c>
      <c r="H13" s="592">
        <f t="shared" si="0"/>
        <v>177604.57173314225</v>
      </c>
      <c r="J13" s="431"/>
      <c r="K13" s="463"/>
      <c r="L13" s="402"/>
    </row>
    <row r="14" spans="1:12" ht="12.75">
      <c r="A14" s="359" t="s">
        <v>457</v>
      </c>
      <c r="B14" s="472" t="s">
        <v>405</v>
      </c>
      <c r="C14" s="261">
        <f>'Subproject Data'!F19</f>
        <v>250</v>
      </c>
      <c r="E14" s="250">
        <f t="shared" si="1"/>
        <v>7</v>
      </c>
      <c r="F14" s="444">
        <f t="shared" si="2"/>
        <v>177604.57173314225</v>
      </c>
      <c r="H14" s="592">
        <f t="shared" si="0"/>
        <v>177604.57173314225</v>
      </c>
      <c r="J14" s="431"/>
      <c r="K14" s="456"/>
      <c r="L14" s="402"/>
    </row>
    <row r="15" spans="1:12" ht="12.75">
      <c r="A15" s="359" t="s">
        <v>463</v>
      </c>
      <c r="B15" s="472" t="s">
        <v>458</v>
      </c>
      <c r="C15" s="261">
        <f>+C14*'Assumptions &amp; Data'!J38</f>
        <v>1250</v>
      </c>
      <c r="E15" s="250">
        <f t="shared" si="1"/>
        <v>8</v>
      </c>
      <c r="F15" s="444">
        <f t="shared" si="2"/>
        <v>177604.57173314225</v>
      </c>
      <c r="H15" s="592">
        <f t="shared" si="0"/>
        <v>177604.57173314225</v>
      </c>
      <c r="J15" s="431"/>
      <c r="K15" s="456"/>
      <c r="L15" s="402"/>
    </row>
    <row r="16" spans="1:12" ht="12.75">
      <c r="A16" s="528" t="s">
        <v>473</v>
      </c>
      <c r="B16" s="472" t="s">
        <v>439</v>
      </c>
      <c r="C16" s="261">
        <f>C42*12</f>
        <v>1952.7272727272725</v>
      </c>
      <c r="E16" s="250">
        <f t="shared" si="1"/>
        <v>9</v>
      </c>
      <c r="F16" s="444">
        <f t="shared" si="2"/>
        <v>177604.57173314225</v>
      </c>
      <c r="H16" s="592">
        <f t="shared" si="0"/>
        <v>177604.57173314225</v>
      </c>
      <c r="J16" s="431"/>
      <c r="K16" s="456"/>
      <c r="L16" s="402"/>
    </row>
    <row r="17" spans="1:12" ht="12.75">
      <c r="A17" s="528" t="s">
        <v>474</v>
      </c>
      <c r="B17" s="472" t="s">
        <v>439</v>
      </c>
      <c r="C17" s="261">
        <f>C16*(11/7)</f>
        <v>3068.571428571428</v>
      </c>
      <c r="E17" s="250">
        <f aca="true" t="shared" si="3" ref="E17:E27">+E16+1</f>
        <v>10</v>
      </c>
      <c r="F17" s="444">
        <f aca="true" t="shared" si="4" ref="F17:F27">+F16</f>
        <v>177604.57173314225</v>
      </c>
      <c r="H17" s="592">
        <f t="shared" si="0"/>
        <v>177604.57173314225</v>
      </c>
      <c r="J17" s="431"/>
      <c r="K17" s="463"/>
      <c r="L17" s="402"/>
    </row>
    <row r="18" spans="1:12" ht="12.75">
      <c r="A18" s="359" t="s">
        <v>464</v>
      </c>
      <c r="B18" s="472" t="s">
        <v>396</v>
      </c>
      <c r="C18" s="261">
        <f>C16*(C46-C47)</f>
        <v>112243.2846200533</v>
      </c>
      <c r="E18" s="250">
        <f t="shared" si="3"/>
        <v>11</v>
      </c>
      <c r="F18" s="444">
        <f t="shared" si="4"/>
        <v>177604.57173314225</v>
      </c>
      <c r="H18" s="592">
        <f t="shared" si="0"/>
        <v>177604.57173314225</v>
      </c>
      <c r="J18" s="431"/>
      <c r="K18" s="372"/>
      <c r="L18" s="402"/>
    </row>
    <row r="19" spans="1:12" ht="12.75">
      <c r="A19" s="359" t="s">
        <v>477</v>
      </c>
      <c r="B19" s="472" t="s">
        <v>396</v>
      </c>
      <c r="C19" s="261">
        <f>(C17-C16)*C48</f>
        <v>177767.1421846921</v>
      </c>
      <c r="E19" s="250">
        <f t="shared" si="3"/>
        <v>12</v>
      </c>
      <c r="F19" s="444">
        <f t="shared" si="4"/>
        <v>177604.57173314225</v>
      </c>
      <c r="H19" s="592">
        <f t="shared" si="0"/>
        <v>177604.57173314225</v>
      </c>
      <c r="J19" s="431"/>
      <c r="K19" s="372"/>
      <c r="L19" s="402"/>
    </row>
    <row r="20" spans="1:12" ht="12.75">
      <c r="A20" s="595" t="s">
        <v>47</v>
      </c>
      <c r="B20" s="472" t="s">
        <v>396</v>
      </c>
      <c r="C20" s="261">
        <f>SUM(C18:C19)</f>
        <v>290010.4268047454</v>
      </c>
      <c r="E20" s="250">
        <f t="shared" si="3"/>
        <v>13</v>
      </c>
      <c r="F20" s="444">
        <f t="shared" si="4"/>
        <v>177604.57173314225</v>
      </c>
      <c r="H20" s="592">
        <f t="shared" si="0"/>
        <v>177604.57173314225</v>
      </c>
      <c r="K20" s="402"/>
      <c r="L20" s="402"/>
    </row>
    <row r="21" spans="1:12" ht="12.75">
      <c r="A21" s="595" t="s">
        <v>115</v>
      </c>
      <c r="B21" s="472" t="s">
        <v>396</v>
      </c>
      <c r="C21" s="261">
        <f>SUM(C22:C25)</f>
        <v>112405.85507160313</v>
      </c>
      <c r="E21" s="250">
        <f t="shared" si="3"/>
        <v>14</v>
      </c>
      <c r="F21" s="444">
        <f t="shared" si="4"/>
        <v>177604.57173314225</v>
      </c>
      <c r="H21" s="592">
        <f t="shared" si="0"/>
        <v>177604.57173314225</v>
      </c>
      <c r="K21" s="402"/>
      <c r="L21" s="402"/>
    </row>
    <row r="22" spans="1:12" ht="12.75">
      <c r="A22" s="595" t="s">
        <v>46</v>
      </c>
      <c r="B22" s="472" t="s">
        <v>396</v>
      </c>
      <c r="C22" s="261">
        <f>(26000+10800)*C38</f>
        <v>41876.244853563425</v>
      </c>
      <c r="E22" s="250">
        <f t="shared" si="3"/>
        <v>15</v>
      </c>
      <c r="F22" s="444">
        <f t="shared" si="4"/>
        <v>177604.57173314225</v>
      </c>
      <c r="H22" s="592">
        <f t="shared" si="0"/>
        <v>177604.57173314225</v>
      </c>
      <c r="K22" s="402"/>
      <c r="L22" s="402"/>
    </row>
    <row r="23" spans="1:8" ht="12.75">
      <c r="A23" s="595" t="s">
        <v>48</v>
      </c>
      <c r="B23" s="472" t="s">
        <v>396</v>
      </c>
      <c r="C23" s="261">
        <f>48000*C38</f>
        <v>54621.188939430554</v>
      </c>
      <c r="E23" s="250">
        <f t="shared" si="3"/>
        <v>16</v>
      </c>
      <c r="F23" s="444">
        <f t="shared" si="4"/>
        <v>177604.57173314225</v>
      </c>
      <c r="H23" s="592">
        <f t="shared" si="0"/>
        <v>177604.57173314225</v>
      </c>
    </row>
    <row r="24" spans="1:8" ht="12.75">
      <c r="A24" s="445" t="s">
        <v>326</v>
      </c>
      <c r="B24" s="472" t="s">
        <v>396</v>
      </c>
      <c r="C24" s="261">
        <f>(10000-2500)*C38</f>
        <v>8534.560771786024</v>
      </c>
      <c r="E24" s="250">
        <f t="shared" si="3"/>
        <v>17</v>
      </c>
      <c r="F24" s="444">
        <f t="shared" si="4"/>
        <v>177604.57173314225</v>
      </c>
      <c r="H24" s="592">
        <f t="shared" si="0"/>
        <v>177604.57173314225</v>
      </c>
    </row>
    <row r="25" spans="1:8" ht="12.75">
      <c r="A25" s="445" t="s">
        <v>325</v>
      </c>
      <c r="B25" s="472" t="s">
        <v>396</v>
      </c>
      <c r="C25" s="261">
        <f>6480*C38</f>
        <v>7373.860506823125</v>
      </c>
      <c r="E25" s="250">
        <f t="shared" si="3"/>
        <v>18</v>
      </c>
      <c r="F25" s="444">
        <f t="shared" si="4"/>
        <v>177604.57173314225</v>
      </c>
      <c r="H25" s="592">
        <f t="shared" si="0"/>
        <v>177604.57173314225</v>
      </c>
    </row>
    <row r="26" spans="1:8" ht="12.75">
      <c r="A26" s="596" t="s">
        <v>336</v>
      </c>
      <c r="B26" s="472" t="s">
        <v>396</v>
      </c>
      <c r="C26" s="261">
        <f>+C20-C21</f>
        <v>177604.57173314225</v>
      </c>
      <c r="E26" s="250">
        <f t="shared" si="3"/>
        <v>19</v>
      </c>
      <c r="F26" s="444">
        <f t="shared" si="4"/>
        <v>177604.57173314225</v>
      </c>
      <c r="H26" s="592">
        <f t="shared" si="0"/>
        <v>177604.57173314225</v>
      </c>
    </row>
    <row r="27" spans="1:8" ht="12.75">
      <c r="A27" s="595" t="s">
        <v>29</v>
      </c>
      <c r="B27" s="472" t="s">
        <v>304</v>
      </c>
      <c r="C27" s="261">
        <v>20</v>
      </c>
      <c r="E27" s="460">
        <f t="shared" si="3"/>
        <v>20</v>
      </c>
      <c r="F27" s="461">
        <f t="shared" si="4"/>
        <v>177604.57173314225</v>
      </c>
      <c r="H27" s="597">
        <f t="shared" si="0"/>
        <v>177604.57173314225</v>
      </c>
    </row>
    <row r="28" spans="1:6" ht="12.75">
      <c r="A28" s="595" t="s">
        <v>18</v>
      </c>
      <c r="B28" s="593"/>
      <c r="C28" s="261">
        <f>+C10/C26</f>
        <v>5.347919725329891</v>
      </c>
      <c r="F28" s="598"/>
    </row>
    <row r="29" spans="1:3" ht="12.75">
      <c r="A29" s="365" t="s">
        <v>14</v>
      </c>
      <c r="B29" s="599"/>
      <c r="C29" s="600">
        <f>IRR(F8:F27)</f>
        <v>0.14920801995057498</v>
      </c>
    </row>
    <row r="30" spans="2:6" ht="12.75">
      <c r="B30" s="601"/>
      <c r="C30" s="458"/>
      <c r="E30" s="586"/>
      <c r="F30" s="586"/>
    </row>
    <row r="31" spans="2:8" ht="12.75">
      <c r="B31" s="601"/>
      <c r="C31" s="458"/>
      <c r="E31" s="598"/>
      <c r="F31" s="1013" t="s">
        <v>465</v>
      </c>
      <c r="G31" s="1014"/>
      <c r="H31" s="1015"/>
    </row>
    <row r="32" spans="1:8" ht="12.75">
      <c r="A32" s="1010" t="s">
        <v>627</v>
      </c>
      <c r="B32" s="1011"/>
      <c r="C32" s="1012"/>
      <c r="F32" s="1016"/>
      <c r="G32" s="1017"/>
      <c r="H32" s="1018"/>
    </row>
    <row r="33" spans="1:8" ht="12.75">
      <c r="A33" s="602" t="str">
        <f>'Assumptions &amp; Data'!$A$9</f>
        <v>Inflation factors</v>
      </c>
      <c r="B33" s="466" t="s">
        <v>40</v>
      </c>
      <c r="C33" s="466" t="s">
        <v>624</v>
      </c>
      <c r="F33" s="1019" t="s">
        <v>466</v>
      </c>
      <c r="G33" s="1020"/>
      <c r="H33" s="1021" t="s">
        <v>635</v>
      </c>
    </row>
    <row r="34" spans="1:8" ht="12.75">
      <c r="A34" s="566" t="s">
        <v>263</v>
      </c>
      <c r="B34" s="603" t="s">
        <v>211</v>
      </c>
      <c r="C34" s="604">
        <f>'Assumptions &amp; Data'!J10</f>
        <v>1.4029987187133832</v>
      </c>
      <c r="E34" s="586"/>
      <c r="F34" s="605" t="s">
        <v>332</v>
      </c>
      <c r="G34" s="369" t="s">
        <v>333</v>
      </c>
      <c r="H34" s="1022"/>
    </row>
    <row r="35" spans="1:8" ht="12.75">
      <c r="A35" s="566" t="s">
        <v>264</v>
      </c>
      <c r="B35" s="603" t="s">
        <v>211</v>
      </c>
      <c r="C35" s="473">
        <f>'Assumptions &amp; Data'!J11</f>
        <v>1.3519277073511313</v>
      </c>
      <c r="F35" s="251">
        <v>600</v>
      </c>
      <c r="G35" s="251">
        <v>60</v>
      </c>
      <c r="H35" s="606">
        <f>-(G35-F35)/F35</f>
        <v>0.9</v>
      </c>
    </row>
    <row r="36" spans="1:8" ht="12.75">
      <c r="A36" s="566" t="s">
        <v>265</v>
      </c>
      <c r="B36" s="603" t="s">
        <v>211</v>
      </c>
      <c r="C36" s="473">
        <f>'Assumptions &amp; Data'!J12</f>
        <v>1.2742828526095011</v>
      </c>
      <c r="F36" s="248">
        <v>15</v>
      </c>
      <c r="G36" s="248">
        <v>2</v>
      </c>
      <c r="H36" s="607">
        <f aca="true" t="shared" si="5" ref="H36:H44">-(G36-F36)/F36</f>
        <v>0.8666666666666667</v>
      </c>
    </row>
    <row r="37" spans="1:8" ht="12.75">
      <c r="A37" s="566" t="s">
        <v>266</v>
      </c>
      <c r="B37" s="603" t="s">
        <v>211</v>
      </c>
      <c r="C37" s="473">
        <f>'Assumptions &amp; Data'!J13</f>
        <v>1.1967469699765447</v>
      </c>
      <c r="F37" s="248">
        <v>30</v>
      </c>
      <c r="G37" s="248">
        <v>20</v>
      </c>
      <c r="H37" s="607">
        <f t="shared" si="5"/>
        <v>0.3333333333333333</v>
      </c>
    </row>
    <row r="38" spans="1:8" ht="12.75">
      <c r="A38" s="566" t="s">
        <v>267</v>
      </c>
      <c r="B38" s="603" t="s">
        <v>211</v>
      </c>
      <c r="C38" s="473">
        <f>'Assumptions &amp; Data'!J14</f>
        <v>1.1379414362381366</v>
      </c>
      <c r="F38" s="248">
        <v>20</v>
      </c>
      <c r="G38" s="248">
        <v>5</v>
      </c>
      <c r="H38" s="607">
        <f t="shared" si="5"/>
        <v>0.75</v>
      </c>
    </row>
    <row r="39" spans="1:8" ht="12.75">
      <c r="A39" s="566" t="s">
        <v>268</v>
      </c>
      <c r="B39" s="603" t="s">
        <v>211</v>
      </c>
      <c r="C39" s="473">
        <f>'Assumptions &amp; Data'!J15</f>
        <v>1.10554605113744</v>
      </c>
      <c r="F39" s="248">
        <v>30</v>
      </c>
      <c r="G39" s="248">
        <v>5</v>
      </c>
      <c r="H39" s="607">
        <f t="shared" si="5"/>
        <v>0.8333333333333334</v>
      </c>
    </row>
    <row r="40" spans="1:8" ht="12.75">
      <c r="A40" s="566" t="s">
        <v>269</v>
      </c>
      <c r="B40" s="603" t="s">
        <v>211</v>
      </c>
      <c r="C40" s="473">
        <f>'Assumptions &amp; Data'!J16</f>
        <v>1.028</v>
      </c>
      <c r="F40" s="248">
        <v>120</v>
      </c>
      <c r="G40" s="248">
        <v>20</v>
      </c>
      <c r="H40" s="607">
        <f t="shared" si="5"/>
        <v>0.8333333333333334</v>
      </c>
    </row>
    <row r="41" spans="1:8" ht="12.75">
      <c r="A41" s="608"/>
      <c r="B41" s="603"/>
      <c r="C41" s="473"/>
      <c r="F41" s="248">
        <v>60</v>
      </c>
      <c r="G41" s="248">
        <v>6</v>
      </c>
      <c r="H41" s="607">
        <f t="shared" si="5"/>
        <v>0.9</v>
      </c>
    </row>
    <row r="42" spans="1:8" ht="12.75">
      <c r="A42" s="510" t="s">
        <v>459</v>
      </c>
      <c r="B42" s="603" t="s">
        <v>215</v>
      </c>
      <c r="C42" s="573">
        <f>AVERAGE(25,300,2,150,230,5,1000,13,50,15,0)</f>
        <v>162.72727272727272</v>
      </c>
      <c r="F42" s="248">
        <v>15</v>
      </c>
      <c r="G42" s="248">
        <v>5</v>
      </c>
      <c r="H42" s="607">
        <f t="shared" si="5"/>
        <v>0.6666666666666666</v>
      </c>
    </row>
    <row r="43" spans="1:8" ht="12.75">
      <c r="A43" s="609"/>
      <c r="C43" s="609"/>
      <c r="F43" s="248">
        <v>90</v>
      </c>
      <c r="G43" s="248">
        <v>4</v>
      </c>
      <c r="H43" s="607">
        <f t="shared" si="5"/>
        <v>0.9555555555555556</v>
      </c>
    </row>
    <row r="44" spans="1:8" ht="12.75">
      <c r="A44" s="510" t="s">
        <v>468</v>
      </c>
      <c r="B44" s="603" t="s">
        <v>435</v>
      </c>
      <c r="C44" s="610">
        <f>'Assumptions &amp; Data'!J39</f>
        <v>102.4147292614323</v>
      </c>
      <c r="F44" s="288">
        <v>60</v>
      </c>
      <c r="G44" s="288">
        <v>15</v>
      </c>
      <c r="H44" s="611">
        <f t="shared" si="5"/>
        <v>0.75</v>
      </c>
    </row>
    <row r="45" spans="1:8" ht="12.75">
      <c r="A45" s="510" t="s">
        <v>470</v>
      </c>
      <c r="B45" s="603" t="s">
        <v>320</v>
      </c>
      <c r="C45" s="610">
        <v>8</v>
      </c>
      <c r="D45" s="402"/>
      <c r="F45" s="1029" t="s">
        <v>469</v>
      </c>
      <c r="G45" s="1030"/>
      <c r="H45" s="1031"/>
    </row>
    <row r="46" spans="1:8" ht="12.75">
      <c r="A46" s="510" t="s">
        <v>471</v>
      </c>
      <c r="B46" s="603" t="s">
        <v>270</v>
      </c>
      <c r="C46" s="573">
        <f>F46/60/$C$45*$C$44*2*1.5</f>
        <v>66.569574019931</v>
      </c>
      <c r="F46" s="288">
        <f>AVERAGE(F35:F44)</f>
        <v>104</v>
      </c>
      <c r="G46" s="288">
        <f>AVERAGE(G35:G44)</f>
        <v>14.2</v>
      </c>
      <c r="H46" s="612">
        <f>AVERAGE(H35:H44)</f>
        <v>0.778888888888889</v>
      </c>
    </row>
    <row r="47" spans="1:3" ht="12.75">
      <c r="A47" s="510" t="s">
        <v>472</v>
      </c>
      <c r="B47" s="603" t="s">
        <v>270</v>
      </c>
      <c r="C47" s="572">
        <f>G46/60/$C$45*$C$44*2*1.5</f>
        <v>9.089307221952117</v>
      </c>
    </row>
    <row r="48" spans="1:3" ht="12.75">
      <c r="A48" s="1024" t="s">
        <v>476</v>
      </c>
      <c r="B48" s="1026" t="s">
        <v>475</v>
      </c>
      <c r="C48" s="1027">
        <f>C38*200*70%</f>
        <v>159.3118010733391</v>
      </c>
    </row>
    <row r="49" spans="1:3" ht="12.75">
      <c r="A49" s="1025"/>
      <c r="B49" s="1026"/>
      <c r="C49" s="1028"/>
    </row>
    <row r="50" spans="1:3" ht="12.75">
      <c r="A50" s="613" t="s">
        <v>452</v>
      </c>
      <c r="B50" s="614"/>
      <c r="C50" s="615"/>
    </row>
    <row r="51" spans="1:3" ht="12.75">
      <c r="A51" s="359" t="s">
        <v>453</v>
      </c>
      <c r="B51" s="402"/>
      <c r="C51" s="616"/>
    </row>
    <row r="52" spans="1:3" ht="12.75">
      <c r="A52" s="528" t="s">
        <v>454</v>
      </c>
      <c r="B52" s="402"/>
      <c r="C52" s="616"/>
    </row>
    <row r="53" spans="1:8" ht="12.75">
      <c r="A53" s="528" t="s">
        <v>455</v>
      </c>
      <c r="B53" s="402"/>
      <c r="C53" s="616"/>
      <c r="F53" s="435"/>
      <c r="H53" s="617"/>
    </row>
    <row r="54" spans="1:3" ht="12.75">
      <c r="A54" s="528" t="s">
        <v>456</v>
      </c>
      <c r="B54" s="402"/>
      <c r="C54" s="616"/>
    </row>
    <row r="55" spans="1:3" ht="12.75">
      <c r="A55" s="365" t="s">
        <v>374</v>
      </c>
      <c r="B55" s="413"/>
      <c r="C55" s="618"/>
    </row>
    <row r="57" ht="12.75">
      <c r="A57" s="212"/>
    </row>
    <row r="58" spans="1:3" ht="12.75">
      <c r="A58" s="1023"/>
      <c r="B58" s="1023"/>
      <c r="C58" s="1023"/>
    </row>
  </sheetData>
  <sheetProtection/>
  <mergeCells count="12">
    <mergeCell ref="A58:C58"/>
    <mergeCell ref="A48:A49"/>
    <mergeCell ref="B48:B49"/>
    <mergeCell ref="C48:C49"/>
    <mergeCell ref="F45:H45"/>
    <mergeCell ref="A32:C32"/>
    <mergeCell ref="H6:H7"/>
    <mergeCell ref="E6:F6"/>
    <mergeCell ref="F31:H32"/>
    <mergeCell ref="F33:G33"/>
    <mergeCell ref="H33:H34"/>
    <mergeCell ref="A7:C7"/>
  </mergeCells>
  <printOptions horizontalCentered="1"/>
  <pageMargins left="0.75" right="0.75" top="1" bottom="1" header="0.5" footer="0.5"/>
  <pageSetup fitToHeight="1" fitToWidth="1"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codeName="Sheet8">
    <pageSetUpPr fitToPage="1"/>
  </sheetPr>
  <dimension ref="A1:Q70"/>
  <sheetViews>
    <sheetView zoomScale="85" zoomScaleNormal="85" zoomScalePageLayoutView="0" workbookViewId="0" topLeftCell="A1">
      <selection activeCell="A1" sqref="A1"/>
    </sheetView>
  </sheetViews>
  <sheetFormatPr defaultColWidth="5.7109375" defaultRowHeight="12.75"/>
  <cols>
    <col min="1" max="1" width="54.7109375" style="586" customWidth="1"/>
    <col min="2" max="2" width="14.57421875" style="586" customWidth="1"/>
    <col min="3" max="4" width="13.140625" style="586" customWidth="1"/>
    <col min="5" max="6" width="15.140625" style="586" customWidth="1"/>
    <col min="7" max="7" width="12.28125" style="586" customWidth="1"/>
    <col min="8" max="8" width="13.421875" style="586" customWidth="1"/>
    <col min="9" max="9" width="9.7109375" style="586" customWidth="1"/>
    <col min="10" max="10" width="11.140625" style="586" customWidth="1"/>
    <col min="11" max="11" width="8.28125" style="586" customWidth="1"/>
    <col min="12" max="12" width="13.57421875" style="586" customWidth="1"/>
    <col min="13" max="13" width="9.7109375" style="586" customWidth="1"/>
    <col min="14" max="14" width="11.140625" style="586" bestFit="1" customWidth="1"/>
    <col min="15" max="15" width="8.28125" style="586" bestFit="1" customWidth="1"/>
    <col min="16" max="18" width="5.7109375" style="402" customWidth="1"/>
    <col min="19" max="16384" width="5.7109375" style="586" customWidth="1"/>
  </cols>
  <sheetData>
    <row r="1" ht="12.75">
      <c r="K1" s="200" t="s">
        <v>691</v>
      </c>
    </row>
    <row r="2" spans="1:7" s="204" customFormat="1" ht="18">
      <c r="A2" s="203" t="s">
        <v>607</v>
      </c>
      <c r="G2" s="205"/>
    </row>
    <row r="3" ht="12.75">
      <c r="A3" s="395">
        <f>IF('ERR &amp; Sensitivity Analysis'!$I$12="y",IF('ERR &amp; Sensitivity Analysis'!$I$16="y","","Note: Current calculations are based on user input and are not the original MCC estimates"),"Note: Current calculations are based on user input and are not the original MCC estimates")</f>
      </c>
    </row>
    <row r="4" ht="18">
      <c r="A4" s="394" t="s">
        <v>643</v>
      </c>
    </row>
    <row r="5" ht="12.75">
      <c r="A5" s="395"/>
    </row>
    <row r="6" spans="1:17" ht="12.75">
      <c r="A6" s="619" t="s">
        <v>284</v>
      </c>
      <c r="B6" s="588"/>
      <c r="C6" s="588"/>
      <c r="D6" s="588"/>
      <c r="E6" s="588"/>
      <c r="F6" s="620"/>
      <c r="P6" s="463"/>
      <c r="Q6" s="456"/>
    </row>
    <row r="7" spans="1:17" ht="15">
      <c r="A7" s="1010" t="s">
        <v>496</v>
      </c>
      <c r="B7" s="1011"/>
      <c r="C7" s="1011"/>
      <c r="D7" s="1011"/>
      <c r="E7" s="1012"/>
      <c r="F7" s="621"/>
      <c r="G7" s="985" t="s">
        <v>633</v>
      </c>
      <c r="H7" s="1000"/>
      <c r="I7" s="1000"/>
      <c r="J7" s="1000"/>
      <c r="K7" s="1000"/>
      <c r="L7" s="986"/>
      <c r="N7" s="983" t="s">
        <v>534</v>
      </c>
      <c r="P7" s="463"/>
      <c r="Q7" s="622"/>
    </row>
    <row r="8" spans="1:17" ht="12.75">
      <c r="A8" s="623"/>
      <c r="B8" s="624" t="s">
        <v>40</v>
      </c>
      <c r="C8" s="466" t="s">
        <v>118</v>
      </c>
      <c r="D8" s="466" t="s">
        <v>119</v>
      </c>
      <c r="E8" s="466" t="s">
        <v>636</v>
      </c>
      <c r="F8" s="625"/>
      <c r="G8" s="1034" t="s">
        <v>353</v>
      </c>
      <c r="H8" s="1034" t="s">
        <v>365</v>
      </c>
      <c r="I8" s="1034" t="s">
        <v>358</v>
      </c>
      <c r="J8" s="626" t="s">
        <v>349</v>
      </c>
      <c r="K8" s="627" t="s">
        <v>60</v>
      </c>
      <c r="L8" s="628" t="s">
        <v>664</v>
      </c>
      <c r="N8" s="984"/>
      <c r="P8" s="629"/>
      <c r="Q8" s="465"/>
    </row>
    <row r="9" spans="1:17" ht="12.75">
      <c r="A9" s="442" t="s">
        <v>346</v>
      </c>
      <c r="B9" s="630" t="s">
        <v>270</v>
      </c>
      <c r="C9" s="254">
        <v>0</v>
      </c>
      <c r="D9" s="254">
        <f>SUM(D10:D13)</f>
        <v>1520583.6636786922</v>
      </c>
      <c r="E9" s="273">
        <f>SUM(E10:E13)</f>
        <v>1520583.6636786922</v>
      </c>
      <c r="F9" s="263"/>
      <c r="G9" s="1035"/>
      <c r="H9" s="1037"/>
      <c r="I9" s="1037"/>
      <c r="J9" s="593">
        <v>9</v>
      </c>
      <c r="K9" s="251">
        <v>1</v>
      </c>
      <c r="L9" s="439">
        <f>-E9</f>
        <v>-1520583.6636786922</v>
      </c>
      <c r="N9" s="590">
        <v>0</v>
      </c>
      <c r="P9" s="456"/>
      <c r="Q9" s="463"/>
    </row>
    <row r="10" spans="1:17" ht="12.75" customHeight="1">
      <c r="A10" s="445" t="s">
        <v>347</v>
      </c>
      <c r="B10" s="631" t="s">
        <v>270</v>
      </c>
      <c r="C10" s="261">
        <v>0</v>
      </c>
      <c r="D10" s="261">
        <f>'Subproject Data'!E16</f>
        <v>1364823.31588674</v>
      </c>
      <c r="E10" s="263">
        <f aca="true" t="shared" si="0" ref="E10:E16">+D10-C10</f>
        <v>1364823.31588674</v>
      </c>
      <c r="F10" s="263"/>
      <c r="G10" s="1036"/>
      <c r="H10" s="1038"/>
      <c r="I10" s="1038"/>
      <c r="J10" s="593">
        <v>10</v>
      </c>
      <c r="K10" s="248">
        <f>+K9+1</f>
        <v>2</v>
      </c>
      <c r="L10" s="444">
        <f>-$E$20</f>
        <v>-9825.334222697342</v>
      </c>
      <c r="N10" s="609">
        <v>0</v>
      </c>
      <c r="P10" s="456"/>
      <c r="Q10" s="463"/>
    </row>
    <row r="11" spans="1:17" ht="12.75">
      <c r="A11" s="447" t="s">
        <v>275</v>
      </c>
      <c r="B11" s="446" t="s">
        <v>270</v>
      </c>
      <c r="C11" s="592">
        <v>0</v>
      </c>
      <c r="D11" s="261">
        <f>'Assumptions &amp; Data'!$L$21</f>
        <v>64302.003163979694</v>
      </c>
      <c r="E11" s="263">
        <f t="shared" si="0"/>
        <v>64302.003163979694</v>
      </c>
      <c r="F11" s="263"/>
      <c r="G11" s="625"/>
      <c r="H11" s="625"/>
      <c r="I11" s="472">
        <v>0</v>
      </c>
      <c r="J11" s="593">
        <v>11</v>
      </c>
      <c r="K11" s="248">
        <f>+K10+1</f>
        <v>3</v>
      </c>
      <c r="L11" s="444">
        <f>-$E$20</f>
        <v>-9825.334222697342</v>
      </c>
      <c r="N11" s="609">
        <v>0</v>
      </c>
      <c r="P11" s="456"/>
      <c r="Q11" s="456"/>
    </row>
    <row r="12" spans="1:17" ht="12.75">
      <c r="A12" s="447" t="s">
        <v>289</v>
      </c>
      <c r="B12" s="446" t="s">
        <v>270</v>
      </c>
      <c r="C12" s="592">
        <v>0</v>
      </c>
      <c r="D12" s="261">
        <f>'Assumptions &amp; Data'!$L$22</f>
        <v>89127.6129782695</v>
      </c>
      <c r="E12" s="263">
        <f t="shared" si="0"/>
        <v>89127.6129782695</v>
      </c>
      <c r="F12" s="263"/>
      <c r="G12" s="261"/>
      <c r="H12" s="261"/>
      <c r="I12" s="472">
        <v>0</v>
      </c>
      <c r="J12" s="593">
        <v>12</v>
      </c>
      <c r="K12" s="248">
        <f aca="true" t="shared" si="1" ref="K12:K19">+K11+1</f>
        <v>4</v>
      </c>
      <c r="L12" s="444">
        <f>-$E$20</f>
        <v>-9825.334222697342</v>
      </c>
      <c r="N12" s="609">
        <v>0</v>
      </c>
      <c r="P12" s="463"/>
      <c r="Q12" s="456"/>
    </row>
    <row r="13" spans="1:17" ht="12.75">
      <c r="A13" s="447" t="s">
        <v>276</v>
      </c>
      <c r="B13" s="446" t="s">
        <v>270</v>
      </c>
      <c r="C13" s="592">
        <v>0</v>
      </c>
      <c r="D13" s="261">
        <f>'Assumptions &amp; Data'!$L$23</f>
        <v>2330.731649702951</v>
      </c>
      <c r="E13" s="263">
        <f t="shared" si="0"/>
        <v>2330.731649702951</v>
      </c>
      <c r="F13" s="263"/>
      <c r="G13" s="261"/>
      <c r="H13" s="261"/>
      <c r="I13" s="472">
        <v>0</v>
      </c>
      <c r="J13" s="593">
        <v>13</v>
      </c>
      <c r="K13" s="248">
        <f t="shared" si="1"/>
        <v>5</v>
      </c>
      <c r="L13" s="444">
        <f>-$E$20</f>
        <v>-9825.334222697342</v>
      </c>
      <c r="N13" s="609">
        <v>0</v>
      </c>
      <c r="P13" s="456"/>
      <c r="Q13" s="456"/>
    </row>
    <row r="14" spans="1:17" ht="12.75">
      <c r="A14" s="632" t="s">
        <v>41</v>
      </c>
      <c r="B14" s="633" t="s">
        <v>135</v>
      </c>
      <c r="C14" s="261">
        <f>D14</f>
        <v>271</v>
      </c>
      <c r="D14" s="261">
        <v>271</v>
      </c>
      <c r="E14" s="263">
        <f t="shared" si="0"/>
        <v>0</v>
      </c>
      <c r="F14" s="263"/>
      <c r="G14" s="261"/>
      <c r="H14" s="634">
        <v>3</v>
      </c>
      <c r="I14" s="634">
        <v>1</v>
      </c>
      <c r="J14" s="593">
        <v>14</v>
      </c>
      <c r="K14" s="248">
        <f t="shared" si="1"/>
        <v>6</v>
      </c>
      <c r="L14" s="444">
        <f>$E$19*I14*AVERAGE($H$14:H14)-$E$20</f>
        <v>17671.958932125206</v>
      </c>
      <c r="M14" s="635"/>
      <c r="N14" s="248">
        <f>$E$19*I14*AVERAGE($H$14:H14)-$E$20</f>
        <v>17671.958932125206</v>
      </c>
      <c r="P14" s="456"/>
      <c r="Q14" s="456"/>
    </row>
    <row r="15" spans="1:17" ht="12.75">
      <c r="A15" s="632" t="s">
        <v>42</v>
      </c>
      <c r="B15" s="631" t="s">
        <v>134</v>
      </c>
      <c r="C15" s="261">
        <f>+D15</f>
        <v>1355</v>
      </c>
      <c r="D15" s="261">
        <f>+D14*C43</f>
        <v>1355</v>
      </c>
      <c r="E15" s="263">
        <f t="shared" si="0"/>
        <v>0</v>
      </c>
      <c r="F15" s="263"/>
      <c r="G15" s="261"/>
      <c r="H15" s="634">
        <v>4</v>
      </c>
      <c r="I15" s="634">
        <v>2</v>
      </c>
      <c r="J15" s="593">
        <v>15</v>
      </c>
      <c r="K15" s="248">
        <f t="shared" si="1"/>
        <v>7</v>
      </c>
      <c r="L15" s="444">
        <f>$E$19*I15*AVERAGE($H$14:H15)-$E$20</f>
        <v>54335.0164718886</v>
      </c>
      <c r="N15" s="248">
        <f>$E$19*I15*AVERAGE($H$14:H15)-$E$20</f>
        <v>54335.0164718886</v>
      </c>
      <c r="P15" s="456"/>
      <c r="Q15" s="456"/>
    </row>
    <row r="16" spans="1:17" ht="12.75">
      <c r="A16" s="632" t="s">
        <v>43</v>
      </c>
      <c r="B16" s="631" t="s">
        <v>134</v>
      </c>
      <c r="C16" s="261">
        <f>+D16</f>
        <v>235.76999999999998</v>
      </c>
      <c r="D16" s="261">
        <f>C38*D15</f>
        <v>235.76999999999998</v>
      </c>
      <c r="E16" s="263">
        <f t="shared" si="0"/>
        <v>0</v>
      </c>
      <c r="F16" s="263"/>
      <c r="G16" s="261"/>
      <c r="H16" s="634">
        <v>5</v>
      </c>
      <c r="I16" s="634">
        <v>3</v>
      </c>
      <c r="J16" s="593">
        <v>16</v>
      </c>
      <c r="K16" s="248">
        <f t="shared" si="1"/>
        <v>8</v>
      </c>
      <c r="L16" s="444">
        <f>$E$19*I16*AVERAGE($H$14:H16)-$E$20</f>
        <v>100163.83839659284</v>
      </c>
      <c r="N16" s="248">
        <f>$E$19*I16*AVERAGE($H$14:H16)-$E$20</f>
        <v>100163.83839659284</v>
      </c>
      <c r="P16" s="456"/>
      <c r="Q16" s="456"/>
    </row>
    <row r="17" spans="1:17" ht="12.75">
      <c r="A17" s="632" t="s">
        <v>44</v>
      </c>
      <c r="B17" s="631" t="s">
        <v>134</v>
      </c>
      <c r="C17" s="261">
        <f>C44*C16</f>
        <v>188.804616</v>
      </c>
      <c r="D17" s="261">
        <f>C47*D16</f>
        <v>206.65146192</v>
      </c>
      <c r="E17" s="263">
        <f>+D17-C17</f>
        <v>17.846845919999993</v>
      </c>
      <c r="F17" s="263"/>
      <c r="G17" s="261"/>
      <c r="H17" s="634">
        <v>6</v>
      </c>
      <c r="I17" s="634">
        <v>4</v>
      </c>
      <c r="J17" s="593">
        <v>17</v>
      </c>
      <c r="K17" s="248">
        <f t="shared" si="1"/>
        <v>9</v>
      </c>
      <c r="L17" s="444">
        <f>$E$19*I17*AVERAGE($H$14:H17)-$E$20</f>
        <v>155158.42470623794</v>
      </c>
      <c r="N17" s="248">
        <f>$E$19*I17*AVERAGE($H$14:H17)-$E$20</f>
        <v>155158.42470623794</v>
      </c>
      <c r="P17" s="463"/>
      <c r="Q17" s="456"/>
    </row>
    <row r="18" spans="1:17" ht="12.75">
      <c r="A18" s="636" t="s">
        <v>364</v>
      </c>
      <c r="B18" s="637" t="s">
        <v>337</v>
      </c>
      <c r="C18" s="452">
        <f>D18</f>
        <v>0.4287542157599303</v>
      </c>
      <c r="D18" s="638">
        <f>'Day Care'!U28</f>
        <v>0.4287542157599303</v>
      </c>
      <c r="E18" s="263">
        <f>+D18-C18</f>
        <v>0</v>
      </c>
      <c r="F18" s="263"/>
      <c r="G18" s="261"/>
      <c r="H18" s="634">
        <v>7</v>
      </c>
      <c r="I18" s="634">
        <v>5</v>
      </c>
      <c r="J18" s="593">
        <v>18</v>
      </c>
      <c r="K18" s="248">
        <f t="shared" si="1"/>
        <v>10</v>
      </c>
      <c r="L18" s="444">
        <f>$E$19*I18*AVERAGE($H$14:H18)-$E$20</f>
        <v>219318.77540082388</v>
      </c>
      <c r="N18" s="248">
        <f>$E$19*I18*AVERAGE($H$14:H18)-$E$20</f>
        <v>219318.77540082388</v>
      </c>
      <c r="P18" s="372"/>
      <c r="Q18" s="456"/>
    </row>
    <row r="19" spans="1:17" ht="12.75">
      <c r="A19" s="636" t="s">
        <v>369</v>
      </c>
      <c r="B19" s="633" t="s">
        <v>291</v>
      </c>
      <c r="C19" s="261">
        <f>C17*C18*$C$39*$C$40</f>
        <v>96966.0764037815</v>
      </c>
      <c r="D19" s="261">
        <f>D17*D18*$C$39*$C$40</f>
        <v>106131.84078872234</v>
      </c>
      <c r="E19" s="263">
        <f>+D19-C19</f>
        <v>9165.764384940849</v>
      </c>
      <c r="F19" s="263"/>
      <c r="G19" s="261"/>
      <c r="H19" s="634">
        <v>7</v>
      </c>
      <c r="I19" s="634">
        <v>6</v>
      </c>
      <c r="J19" s="593">
        <v>19</v>
      </c>
      <c r="K19" s="248">
        <f t="shared" si="1"/>
        <v>11</v>
      </c>
      <c r="L19" s="444">
        <f>$E$19*I19*AVERAGE($H$14:H19)-$E$20</f>
        <v>283479.1260954098</v>
      </c>
      <c r="N19" s="248">
        <f>$E$19*I19*AVERAGE($H$14:H19)-$E$20</f>
        <v>283479.1260954098</v>
      </c>
      <c r="O19" s="456"/>
      <c r="Q19" s="456"/>
    </row>
    <row r="20" spans="1:17" ht="12.75">
      <c r="A20" s="636" t="s">
        <v>340</v>
      </c>
      <c r="B20" s="633" t="s">
        <v>291</v>
      </c>
      <c r="C20" s="261">
        <f>SUM(C21:C24)</f>
        <v>341951.4015895601</v>
      </c>
      <c r="D20" s="261">
        <f>SUM(D21:D24)</f>
        <v>351776.73581225745</v>
      </c>
      <c r="E20" s="263">
        <f>SUM(E21:E24)</f>
        <v>9825.334222697342</v>
      </c>
      <c r="F20" s="263"/>
      <c r="G20" s="261"/>
      <c r="H20" s="634">
        <v>7</v>
      </c>
      <c r="I20" s="634">
        <v>7</v>
      </c>
      <c r="J20" s="593">
        <v>20</v>
      </c>
      <c r="K20" s="248">
        <f aca="true" t="shared" si="2" ref="K20:K28">+K19+1</f>
        <v>12</v>
      </c>
      <c r="L20" s="444">
        <f>$E$19*I20*AVERAGE($H$14:H20)-$E$20</f>
        <v>347639.47678999574</v>
      </c>
      <c r="N20" s="248">
        <f>$E$19*I20*AVERAGE($H$14:H20)-$E$20</f>
        <v>347639.47678999574</v>
      </c>
      <c r="O20" s="463"/>
      <c r="P20" s="456"/>
      <c r="Q20" s="456"/>
    </row>
    <row r="21" spans="1:17" ht="12.75">
      <c r="A21" s="636" t="s">
        <v>345</v>
      </c>
      <c r="B21" s="633" t="s">
        <v>291</v>
      </c>
      <c r="C21" s="261">
        <f>2*10000*13*C34</f>
        <v>295864.77342191554</v>
      </c>
      <c r="D21" s="261">
        <f>2*10000*13*C34</f>
        <v>295864.77342191554</v>
      </c>
      <c r="E21" s="263">
        <f>D21-C21</f>
        <v>0</v>
      </c>
      <c r="F21" s="263"/>
      <c r="G21" s="639" t="s">
        <v>637</v>
      </c>
      <c r="H21" s="634">
        <v>7</v>
      </c>
      <c r="I21" s="634">
        <v>8</v>
      </c>
      <c r="J21" s="593">
        <v>21</v>
      </c>
      <c r="K21" s="248">
        <f t="shared" si="2"/>
        <v>13</v>
      </c>
      <c r="L21" s="444">
        <f>$E$19*I21*AVERAGE($H$14:H21)-$E$20</f>
        <v>411799.8274845817</v>
      </c>
      <c r="N21" s="248">
        <f>$E$19*I21*AVERAGE($H$14:H21)-$E$20</f>
        <v>411799.8274845817</v>
      </c>
      <c r="O21" s="463"/>
      <c r="P21" s="456"/>
      <c r="Q21" s="456"/>
    </row>
    <row r="22" spans="1:17" ht="12.75">
      <c r="A22" s="640" t="s">
        <v>45</v>
      </c>
      <c r="B22" s="633" t="s">
        <v>291</v>
      </c>
      <c r="C22" s="261">
        <f>10%*C21</f>
        <v>29586.477342191556</v>
      </c>
      <c r="D22" s="261">
        <f>10%*D21</f>
        <v>29586.477342191556</v>
      </c>
      <c r="E22" s="263">
        <f>D22-C22</f>
        <v>0</v>
      </c>
      <c r="F22" s="263"/>
      <c r="G22" s="261"/>
      <c r="H22" s="634">
        <v>7</v>
      </c>
      <c r="I22" s="634">
        <v>9</v>
      </c>
      <c r="J22" s="593">
        <v>22</v>
      </c>
      <c r="K22" s="248">
        <f t="shared" si="2"/>
        <v>14</v>
      </c>
      <c r="L22" s="444">
        <f>$E$19*I22*AVERAGE($H$14:H22)-$E$20</f>
        <v>475960.1781791677</v>
      </c>
      <c r="N22" s="248">
        <f>$E$19*I22*AVERAGE($H$14:H22)-$E$20</f>
        <v>475960.1781791677</v>
      </c>
      <c r="O22" s="463"/>
      <c r="P22" s="456"/>
      <c r="Q22" s="456"/>
    </row>
    <row r="23" spans="1:17" ht="12.75">
      <c r="A23" s="445" t="s">
        <v>326</v>
      </c>
      <c r="B23" s="633" t="s">
        <v>291</v>
      </c>
      <c r="C23" s="261">
        <f>2500*C34</f>
        <v>2844.8535905953413</v>
      </c>
      <c r="D23" s="261">
        <f>10000*C34</f>
        <v>11379.414362381365</v>
      </c>
      <c r="E23" s="263">
        <f>D23-C23</f>
        <v>8534.560771786024</v>
      </c>
      <c r="F23" s="263"/>
      <c r="G23" s="261"/>
      <c r="H23" s="634">
        <v>7</v>
      </c>
      <c r="I23" s="634">
        <v>10</v>
      </c>
      <c r="J23" s="593">
        <v>23</v>
      </c>
      <c r="K23" s="248">
        <f t="shared" si="2"/>
        <v>15</v>
      </c>
      <c r="L23" s="444">
        <f>$E$19*I23*AVERAGE($H$14:H23)-$E$20</f>
        <v>540120.5288737536</v>
      </c>
      <c r="N23" s="248">
        <f>$E$19*I23*AVERAGE($H$14:H23)-$E$20</f>
        <v>540120.5288737536</v>
      </c>
      <c r="O23" s="463"/>
      <c r="P23" s="456"/>
      <c r="Q23" s="456"/>
    </row>
    <row r="24" spans="1:14" ht="12.75">
      <c r="A24" s="445" t="s">
        <v>325</v>
      </c>
      <c r="B24" s="633" t="s">
        <v>291</v>
      </c>
      <c r="C24" s="261">
        <f>12*1000*C34</f>
        <v>13655.297234857639</v>
      </c>
      <c r="D24" s="261">
        <f>C24*(D17/C17)</f>
        <v>14946.070685768957</v>
      </c>
      <c r="E24" s="263">
        <f>D24-C24</f>
        <v>1290.773450911318</v>
      </c>
      <c r="F24" s="263"/>
      <c r="G24" s="261"/>
      <c r="H24" s="634">
        <v>7</v>
      </c>
      <c r="I24" s="634">
        <v>11</v>
      </c>
      <c r="J24" s="593">
        <v>24</v>
      </c>
      <c r="K24" s="248">
        <f t="shared" si="2"/>
        <v>16</v>
      </c>
      <c r="L24" s="444">
        <f>$E$19*I24*AVERAGE($H$14:H24)-$E$20</f>
        <v>604280.8795683396</v>
      </c>
      <c r="N24" s="248">
        <f>$E$19*I24*AVERAGE($H$14:H24)-$E$20</f>
        <v>604280.8795683396</v>
      </c>
    </row>
    <row r="25" spans="1:14" ht="12.75">
      <c r="A25" s="632" t="s">
        <v>29</v>
      </c>
      <c r="B25" s="234" t="s">
        <v>32</v>
      </c>
      <c r="C25" s="261"/>
      <c r="D25" s="261"/>
      <c r="E25" s="263">
        <v>20</v>
      </c>
      <c r="F25" s="263"/>
      <c r="G25" s="261"/>
      <c r="H25" s="634">
        <v>7</v>
      </c>
      <c r="I25" s="634">
        <v>12</v>
      </c>
      <c r="J25" s="593">
        <v>25</v>
      </c>
      <c r="K25" s="248">
        <f t="shared" si="2"/>
        <v>17</v>
      </c>
      <c r="L25" s="444">
        <f>$E$19*I25*AVERAGE($H$14:H25)-$E$20</f>
        <v>668441.2302629255</v>
      </c>
      <c r="N25" s="248">
        <f>$E$19*I25*AVERAGE($H$14:H25)-$E$20</f>
        <v>668441.2302629255</v>
      </c>
    </row>
    <row r="26" spans="1:14" ht="12.75">
      <c r="A26" s="641" t="s">
        <v>14</v>
      </c>
      <c r="B26" s="555"/>
      <c r="C26" s="558"/>
      <c r="D26" s="558"/>
      <c r="E26" s="642">
        <f>IRR(L9:L28)</f>
        <v>0.1442996055489949</v>
      </c>
      <c r="F26" s="643"/>
      <c r="G26" s="261"/>
      <c r="H26" s="634">
        <v>7</v>
      </c>
      <c r="I26" s="634">
        <v>13</v>
      </c>
      <c r="J26" s="593">
        <v>26</v>
      </c>
      <c r="K26" s="248">
        <f t="shared" si="2"/>
        <v>18</v>
      </c>
      <c r="L26" s="444">
        <f>$E$19*I26*AVERAGE($H$14:H26)-$E$20</f>
        <v>732601.5809575114</v>
      </c>
      <c r="N26" s="248">
        <f>$E$19*I26*AVERAGE($H$14:H26)-$E$20</f>
        <v>732601.5809575114</v>
      </c>
    </row>
    <row r="27" spans="1:14" ht="12.75">
      <c r="A27" s="623"/>
      <c r="B27" s="644"/>
      <c r="G27" s="261"/>
      <c r="H27" s="634">
        <v>7</v>
      </c>
      <c r="I27" s="634">
        <v>14</v>
      </c>
      <c r="J27" s="593">
        <v>27</v>
      </c>
      <c r="K27" s="248">
        <f t="shared" si="2"/>
        <v>19</v>
      </c>
      <c r="L27" s="444">
        <f>$E$19*I27*AVERAGE($H$14:H27)-$E$20</f>
        <v>796761.9316520974</v>
      </c>
      <c r="N27" s="248">
        <f>$E$19*I27*AVERAGE($H$14:H27)-$E$20</f>
        <v>796761.9316520974</v>
      </c>
    </row>
    <row r="28" spans="1:14" ht="12.75">
      <c r="A28" s="1039" t="s">
        <v>627</v>
      </c>
      <c r="B28" s="1040"/>
      <c r="C28" s="1041"/>
      <c r="G28" s="276"/>
      <c r="H28" s="645">
        <v>7</v>
      </c>
      <c r="I28" s="645">
        <v>15</v>
      </c>
      <c r="J28" s="599">
        <v>28</v>
      </c>
      <c r="K28" s="288">
        <f t="shared" si="2"/>
        <v>20</v>
      </c>
      <c r="L28" s="461">
        <f>$E$19*I28*AVERAGE($H$14:H28)-$E$20+N68</f>
        <v>8525197.654517276</v>
      </c>
      <c r="N28" s="288">
        <f>$E$19*I28*AVERAGE($H$14:H28)-$E$20+N68</f>
        <v>8525197.654517276</v>
      </c>
    </row>
    <row r="29" spans="1:12" ht="12.75">
      <c r="A29" s="602" t="str">
        <f>'Assumptions &amp; Data'!$A$9</f>
        <v>Inflation factors</v>
      </c>
      <c r="B29" s="466" t="s">
        <v>40</v>
      </c>
      <c r="C29" s="466" t="s">
        <v>624</v>
      </c>
      <c r="G29" s="458"/>
      <c r="H29" s="458"/>
      <c r="I29" s="458"/>
      <c r="L29" s="646"/>
    </row>
    <row r="30" spans="1:12" ht="12.75">
      <c r="A30" s="566" t="s">
        <v>263</v>
      </c>
      <c r="B30" s="472" t="s">
        <v>211</v>
      </c>
      <c r="C30" s="473">
        <f>'Assumptions &amp; Data'!J10</f>
        <v>1.4029987187133832</v>
      </c>
      <c r="G30" s="458"/>
      <c r="H30" s="458"/>
      <c r="I30" s="458"/>
      <c r="K30" s="647"/>
      <c r="L30" s="458"/>
    </row>
    <row r="31" spans="1:14" ht="12.75" customHeight="1">
      <c r="A31" s="566" t="s">
        <v>264</v>
      </c>
      <c r="B31" s="472" t="s">
        <v>211</v>
      </c>
      <c r="C31" s="579">
        <f>'Assumptions &amp; Data'!J11</f>
        <v>1.3519277073511313</v>
      </c>
      <c r="G31" s="458"/>
      <c r="H31" s="996" t="s">
        <v>354</v>
      </c>
      <c r="I31" s="1042"/>
      <c r="J31" s="1042"/>
      <c r="K31" s="1042"/>
      <c r="L31" s="1042"/>
      <c r="M31" s="1042"/>
      <c r="N31" s="997"/>
    </row>
    <row r="32" spans="1:14" ht="12.75" customHeight="1">
      <c r="A32" s="566" t="s">
        <v>265</v>
      </c>
      <c r="B32" s="472" t="s">
        <v>211</v>
      </c>
      <c r="C32" s="579">
        <f>'Assumptions &amp; Data'!J12</f>
        <v>1.2742828526095011</v>
      </c>
      <c r="G32" s="458"/>
      <c r="H32" s="998"/>
      <c r="I32" s="1043"/>
      <c r="J32" s="1043"/>
      <c r="K32" s="1043"/>
      <c r="L32" s="1043"/>
      <c r="M32" s="1043"/>
      <c r="N32" s="999"/>
    </row>
    <row r="33" spans="1:14" ht="12.75">
      <c r="A33" s="566" t="s">
        <v>266</v>
      </c>
      <c r="B33" s="472" t="s">
        <v>211</v>
      </c>
      <c r="C33" s="579">
        <f>'Assumptions &amp; Data'!J13</f>
        <v>1.1967469699765447</v>
      </c>
      <c r="G33" s="431"/>
      <c r="H33" s="1032" t="s">
        <v>365</v>
      </c>
      <c r="I33" s="1044" t="s">
        <v>358</v>
      </c>
      <c r="J33" s="648" t="s">
        <v>247</v>
      </c>
      <c r="K33" s="649">
        <v>0.1442082373829087</v>
      </c>
      <c r="L33" s="649">
        <f>K33-E26</f>
        <v>-9.136816608620868E-05</v>
      </c>
      <c r="M33" s="1048" t="s">
        <v>246</v>
      </c>
      <c r="N33" s="1051" t="s">
        <v>248</v>
      </c>
    </row>
    <row r="34" spans="1:14" ht="12.75">
      <c r="A34" s="566" t="s">
        <v>267</v>
      </c>
      <c r="B34" s="472" t="s">
        <v>211</v>
      </c>
      <c r="C34" s="579">
        <f>'Assumptions &amp; Data'!J14</f>
        <v>1.1379414362381366</v>
      </c>
      <c r="H34" s="1033"/>
      <c r="I34" s="1045"/>
      <c r="J34" s="564" t="s">
        <v>349</v>
      </c>
      <c r="K34" s="505" t="s">
        <v>243</v>
      </c>
      <c r="L34" s="1046" t="s">
        <v>245</v>
      </c>
      <c r="M34" s="1049"/>
      <c r="N34" s="1052"/>
    </row>
    <row r="35" spans="1:14" ht="12.75">
      <c r="A35" s="566" t="s">
        <v>268</v>
      </c>
      <c r="B35" s="472" t="s">
        <v>211</v>
      </c>
      <c r="C35" s="579">
        <f>'Assumptions &amp; Data'!J15</f>
        <v>1.10554605113744</v>
      </c>
      <c r="H35" s="1033"/>
      <c r="I35" s="1045"/>
      <c r="J35" s="409" t="s">
        <v>350</v>
      </c>
      <c r="K35" s="650" t="s">
        <v>244</v>
      </c>
      <c r="L35" s="1047"/>
      <c r="M35" s="1050"/>
      <c r="N35" s="1053"/>
    </row>
    <row r="36" spans="1:14" ht="12.75">
      <c r="A36" s="566" t="s">
        <v>269</v>
      </c>
      <c r="B36" s="472" t="s">
        <v>211</v>
      </c>
      <c r="C36" s="579">
        <f>'Assumptions &amp; Data'!J16</f>
        <v>1.028</v>
      </c>
      <c r="H36" s="651">
        <v>7</v>
      </c>
      <c r="I36" s="652">
        <f>I28+1</f>
        <v>16</v>
      </c>
      <c r="J36" s="653">
        <v>29</v>
      </c>
      <c r="K36" s="474">
        <v>1</v>
      </c>
      <c r="L36" s="474">
        <f>$E$19*I36*AVERAGE($H$14:$H$28,$H$36:H36)-$E$20</f>
        <v>925082.6330412693</v>
      </c>
      <c r="M36" s="475">
        <f aca="true" t="shared" si="3" ref="M36:M67">(1+$K$33)^-K36</f>
        <v>0.8739667897228662</v>
      </c>
      <c r="N36" s="474">
        <f>L36*M36</f>
        <v>808491.4990274544</v>
      </c>
    </row>
    <row r="37" spans="1:14" ht="12.75">
      <c r="A37" s="609"/>
      <c r="B37" s="609"/>
      <c r="C37" s="609"/>
      <c r="H37" s="654">
        <v>7</v>
      </c>
      <c r="I37" s="592">
        <f>I36+1</f>
        <v>17</v>
      </c>
      <c r="J37" s="372">
        <v>30</v>
      </c>
      <c r="K37" s="477">
        <v>2</v>
      </c>
      <c r="L37" s="477">
        <f>$E$19*I37*AVERAGE($H$14:$H$28,$H$36:H37)-$E$20</f>
        <v>989242.9837358552</v>
      </c>
      <c r="M37" s="478">
        <f t="shared" si="3"/>
        <v>0.7638179495384926</v>
      </c>
      <c r="N37" s="477">
        <f aca="true" t="shared" si="4" ref="N37:N46">L37*M37</f>
        <v>755601.5474324613</v>
      </c>
    </row>
    <row r="38" spans="1:14" ht="12.75">
      <c r="A38" s="655" t="s">
        <v>362</v>
      </c>
      <c r="B38" s="472" t="s">
        <v>211</v>
      </c>
      <c r="C38" s="656">
        <v>0.174</v>
      </c>
      <c r="E38" s="297"/>
      <c r="F38" s="297"/>
      <c r="H38" s="654">
        <v>7</v>
      </c>
      <c r="I38" s="592">
        <f>I37+1</f>
        <v>18</v>
      </c>
      <c r="J38" s="372">
        <v>31</v>
      </c>
      <c r="K38" s="477">
        <v>3</v>
      </c>
      <c r="L38" s="477">
        <f>$E$19*I38*AVERAGE($H$14:$H$28,$H$36:H38)-$E$20</f>
        <v>1053403.334430441</v>
      </c>
      <c r="M38" s="478">
        <f t="shared" si="3"/>
        <v>0.6675515212908586</v>
      </c>
      <c r="N38" s="477">
        <f t="shared" si="4"/>
        <v>703200.998431904</v>
      </c>
    </row>
    <row r="39" spans="1:14" ht="12.75">
      <c r="A39" s="510" t="s">
        <v>327</v>
      </c>
      <c r="B39" s="472" t="s">
        <v>320</v>
      </c>
      <c r="C39" s="657">
        <f>40*46</f>
        <v>1840</v>
      </c>
      <c r="H39" s="654">
        <v>7</v>
      </c>
      <c r="I39" s="592">
        <f>I38+1</f>
        <v>19</v>
      </c>
      <c r="J39" s="372">
        <v>32</v>
      </c>
      <c r="K39" s="477">
        <v>4</v>
      </c>
      <c r="L39" s="477">
        <f>$E$19*I39*AVERAGE($H$14:$H$28,$H$36:H39)-$E$20</f>
        <v>1117563.685125027</v>
      </c>
      <c r="M39" s="478">
        <f t="shared" si="3"/>
        <v>0.5834178600371872</v>
      </c>
      <c r="N39" s="477">
        <f t="shared" si="4"/>
        <v>652006.6136309162</v>
      </c>
    </row>
    <row r="40" spans="1:14" ht="12.75">
      <c r="A40" s="510" t="s">
        <v>344</v>
      </c>
      <c r="B40" s="472" t="s">
        <v>211</v>
      </c>
      <c r="C40" s="658">
        <v>0.651</v>
      </c>
      <c r="H40" s="654">
        <v>7</v>
      </c>
      <c r="I40" s="592">
        <f>I39+1</f>
        <v>20</v>
      </c>
      <c r="J40" s="372">
        <v>33</v>
      </c>
      <c r="K40" s="477">
        <v>5</v>
      </c>
      <c r="L40" s="477">
        <f>$E$19*I40*AVERAGE($H$14:$H$28,$H$36:H40)-$E$20</f>
        <v>1181724.035819613</v>
      </c>
      <c r="M40" s="478">
        <f t="shared" si="3"/>
        <v>0.509887834203685</v>
      </c>
      <c r="N40" s="477">
        <f t="shared" si="4"/>
        <v>602546.7092505003</v>
      </c>
    </row>
    <row r="41" spans="1:14" ht="12.75">
      <c r="A41" s="659" t="s">
        <v>316</v>
      </c>
      <c r="B41" s="472" t="s">
        <v>317</v>
      </c>
      <c r="C41" s="657">
        <v>14</v>
      </c>
      <c r="H41" s="654">
        <v>7</v>
      </c>
      <c r="I41" s="592">
        <f>I40</f>
        <v>20</v>
      </c>
      <c r="J41" s="372">
        <v>34</v>
      </c>
      <c r="K41" s="477">
        <v>6</v>
      </c>
      <c r="L41" s="477">
        <f>$E$19*I41*AVERAGE($H$14:$H$28,$H$36:H41)-$E$20</f>
        <v>1186088.6855267277</v>
      </c>
      <c r="M41" s="478">
        <f t="shared" si="3"/>
        <v>0.44562503357773964</v>
      </c>
      <c r="N41" s="477">
        <f t="shared" si="4"/>
        <v>528550.8103140251</v>
      </c>
    </row>
    <row r="42" spans="1:14" ht="12.75">
      <c r="A42" s="659" t="s">
        <v>318</v>
      </c>
      <c r="B42" s="472" t="s">
        <v>317</v>
      </c>
      <c r="C42" s="657">
        <v>60</v>
      </c>
      <c r="H42" s="654">
        <v>7</v>
      </c>
      <c r="I42" s="592">
        <f>I41</f>
        <v>20</v>
      </c>
      <c r="J42" s="372">
        <v>35</v>
      </c>
      <c r="K42" s="477">
        <v>7</v>
      </c>
      <c r="L42" s="477">
        <f>$E$19*I42*AVERAGE($H$14:$H$28,$H$36:H42)-$E$20</f>
        <v>1190056.548896832</v>
      </c>
      <c r="M42" s="478">
        <f t="shared" si="3"/>
        <v>0.38946148001608155</v>
      </c>
      <c r="N42" s="477">
        <f t="shared" si="4"/>
        <v>463481.1848361905</v>
      </c>
    </row>
    <row r="43" spans="1:14" ht="12.75">
      <c r="A43" s="660" t="s">
        <v>348</v>
      </c>
      <c r="B43" s="472" t="s">
        <v>215</v>
      </c>
      <c r="C43" s="661">
        <f>'Assumptions &amp; Data'!J38</f>
        <v>5</v>
      </c>
      <c r="H43" s="654">
        <v>7</v>
      </c>
      <c r="I43" s="592">
        <f>I42</f>
        <v>20</v>
      </c>
      <c r="J43" s="372">
        <v>36</v>
      </c>
      <c r="K43" s="477">
        <v>8</v>
      </c>
      <c r="L43" s="477">
        <f>$E$19*I43*AVERAGE($H$14:$H$28,$H$36:H43)-$E$20</f>
        <v>1193679.3806695358</v>
      </c>
      <c r="M43" s="478">
        <f t="shared" si="3"/>
        <v>0.340376399410371</v>
      </c>
      <c r="N43" s="477">
        <f t="shared" si="4"/>
        <v>406300.28964269825</v>
      </c>
    </row>
    <row r="44" spans="1:14" ht="12.75">
      <c r="A44" s="662" t="s">
        <v>361</v>
      </c>
      <c r="B44" s="472" t="s">
        <v>211</v>
      </c>
      <c r="C44" s="663">
        <f>AVERAGE(83.84%,83.8%,74.96%,78.87%,78.15%,80.86%)</f>
        <v>0.8008000000000001</v>
      </c>
      <c r="H44" s="654">
        <v>7</v>
      </c>
      <c r="I44" s="592">
        <f>I43</f>
        <v>20</v>
      </c>
      <c r="J44" s="372">
        <v>37</v>
      </c>
      <c r="K44" s="477">
        <v>9</v>
      </c>
      <c r="L44" s="477">
        <f>$E$19*I44*AVERAGE($H$14:$H$28,$H$36:H44)-$E$20</f>
        <v>1197000.3097945142</v>
      </c>
      <c r="M44" s="478">
        <f t="shared" si="3"/>
        <v>0.29747766909011003</v>
      </c>
      <c r="N44" s="477">
        <f t="shared" si="4"/>
        <v>356080.8620578117</v>
      </c>
    </row>
    <row r="45" spans="1:14" ht="12.75">
      <c r="A45" s="662" t="s">
        <v>363</v>
      </c>
      <c r="B45" s="472" t="s">
        <v>211</v>
      </c>
      <c r="C45" s="663">
        <v>0.8322</v>
      </c>
      <c r="H45" s="654">
        <v>7</v>
      </c>
      <c r="I45" s="592">
        <f>I44</f>
        <v>20</v>
      </c>
      <c r="J45" s="372">
        <v>38</v>
      </c>
      <c r="K45" s="477">
        <v>10</v>
      </c>
      <c r="L45" s="477">
        <f>$E$19*I45*AVERAGE($H$14:$H$28,$H$36:H45)-$E$20</f>
        <v>1200055.5645894946</v>
      </c>
      <c r="M45" s="478">
        <f t="shared" si="3"/>
        <v>0.2599856034689245</v>
      </c>
      <c r="N45" s="477">
        <f t="shared" si="4"/>
        <v>311997.1701560407</v>
      </c>
    </row>
    <row r="46" spans="1:14" ht="12.75">
      <c r="A46" s="662" t="s">
        <v>372</v>
      </c>
      <c r="B46" s="472" t="s">
        <v>211</v>
      </c>
      <c r="C46" s="663">
        <v>0.964</v>
      </c>
      <c r="D46" s="358"/>
      <c r="H46" s="654">
        <v>7</v>
      </c>
      <c r="I46" s="592">
        <f>I45</f>
        <v>20</v>
      </c>
      <c r="J46" s="372">
        <v>39</v>
      </c>
      <c r="K46" s="477">
        <v>11</v>
      </c>
      <c r="L46" s="477">
        <f>$E$19*I46*AVERAGE($H$14:$H$28,$H$36:H46)-$E$20</f>
        <v>1202875.799784861</v>
      </c>
      <c r="M46" s="478">
        <f t="shared" si="3"/>
        <v>0.22721878323789807</v>
      </c>
      <c r="N46" s="477">
        <f t="shared" si="4"/>
        <v>273315.9756134296</v>
      </c>
    </row>
    <row r="47" spans="1:14" ht="12.75">
      <c r="A47" s="664" t="s">
        <v>373</v>
      </c>
      <c r="B47" s="479" t="s">
        <v>211</v>
      </c>
      <c r="C47" s="665">
        <f>C44+(100%-C44)*(1-(100%-C46)/(100%-85%))*0.5</f>
        <v>0.876496</v>
      </c>
      <c r="H47" s="654">
        <v>7</v>
      </c>
      <c r="I47" s="592">
        <f aca="true" t="shared" si="5" ref="I47:I67">I46</f>
        <v>20</v>
      </c>
      <c r="J47" s="372">
        <v>40</v>
      </c>
      <c r="K47" s="477">
        <v>12</v>
      </c>
      <c r="L47" s="477">
        <f>$E$19*I47*AVERAGE($H$14:$H$28,$H$36:H47)-$E$20</f>
        <v>1205487.1286694596</v>
      </c>
      <c r="M47" s="478">
        <f t="shared" si="3"/>
        <v>0.19858167055116158</v>
      </c>
      <c r="N47" s="477">
        <f aca="true" t="shared" si="6" ref="N47:N67">L47*M47</f>
        <v>239387.64783910435</v>
      </c>
    </row>
    <row r="48" spans="1:14" ht="12.75">
      <c r="A48" s="666" t="s">
        <v>374</v>
      </c>
      <c r="B48" s="667"/>
      <c r="C48" s="668"/>
      <c r="H48" s="654">
        <v>7</v>
      </c>
      <c r="I48" s="592">
        <f t="shared" si="5"/>
        <v>20</v>
      </c>
      <c r="J48" s="372">
        <v>41</v>
      </c>
      <c r="K48" s="477">
        <v>13</v>
      </c>
      <c r="L48" s="477">
        <f>$E$19*I48*AVERAGE($H$14:$H$28,$H$36:H48)-$E$20</f>
        <v>1207911.9340623012</v>
      </c>
      <c r="M48" s="478">
        <f t="shared" si="3"/>
        <v>0.1735537851094025</v>
      </c>
      <c r="N48" s="477">
        <f t="shared" si="6"/>
        <v>209637.68823533138</v>
      </c>
    </row>
    <row r="49" spans="1:14" ht="12.75">
      <c r="A49" s="457"/>
      <c r="H49" s="654">
        <v>7</v>
      </c>
      <c r="I49" s="592">
        <f t="shared" si="5"/>
        <v>20</v>
      </c>
      <c r="J49" s="372">
        <v>42</v>
      </c>
      <c r="K49" s="477">
        <v>14</v>
      </c>
      <c r="L49" s="477">
        <f>$E$19*I49*AVERAGE($H$14:$H$28,$H$36:H49)-$E$20</f>
        <v>1210169.5114970156</v>
      </c>
      <c r="M49" s="478">
        <f t="shared" si="3"/>
        <v>0.1516802444163167</v>
      </c>
      <c r="N49" s="477">
        <f t="shared" si="6"/>
        <v>183558.8072890419</v>
      </c>
    </row>
    <row r="50" spans="1:14" ht="12.75">
      <c r="A50" s="457"/>
      <c r="H50" s="654">
        <v>7</v>
      </c>
      <c r="I50" s="592">
        <f t="shared" si="5"/>
        <v>20</v>
      </c>
      <c r="J50" s="372">
        <v>43</v>
      </c>
      <c r="K50" s="477">
        <v>15</v>
      </c>
      <c r="L50" s="477">
        <f>$E$19*I50*AVERAGE($H$14:$H$28,$H$36:H50)-$E$20</f>
        <v>1212276.5837694157</v>
      </c>
      <c r="M50" s="478">
        <f t="shared" si="3"/>
        <v>0.132563496276908</v>
      </c>
      <c r="N50" s="477">
        <f t="shared" si="6"/>
        <v>160703.6223990997</v>
      </c>
    </row>
    <row r="51" spans="1:14" ht="12.75">
      <c r="A51" s="457"/>
      <c r="H51" s="654">
        <v>7</v>
      </c>
      <c r="I51" s="592">
        <f t="shared" si="5"/>
        <v>20</v>
      </c>
      <c r="J51" s="372">
        <v>44</v>
      </c>
      <c r="K51" s="477">
        <v>16</v>
      </c>
      <c r="L51" s="477">
        <f>$E$19*I51*AVERAGE($H$14:$H$28,$H$36:H51)-$E$20</f>
        <v>1214247.7158952095</v>
      </c>
      <c r="M51" s="478">
        <f t="shared" si="3"/>
        <v>0.11585609327556841</v>
      </c>
      <c r="N51" s="477">
        <f t="shared" si="6"/>
        <v>140677.99663240128</v>
      </c>
    </row>
    <row r="52" spans="1:14" ht="12.75">
      <c r="A52" s="457"/>
      <c r="H52" s="654">
        <v>7</v>
      </c>
      <c r="I52" s="592">
        <f t="shared" si="5"/>
        <v>20</v>
      </c>
      <c r="J52" s="372">
        <v>45</v>
      </c>
      <c r="K52" s="477">
        <v>17</v>
      </c>
      <c r="L52" s="477">
        <f>$E$19*I52*AVERAGE($H$14:$H$28,$H$36:H52)-$E$20</f>
        <v>1216095.652263141</v>
      </c>
      <c r="M52" s="478">
        <f t="shared" si="3"/>
        <v>0.10125437790988147</v>
      </c>
      <c r="N52" s="477">
        <f t="shared" si="6"/>
        <v>123135.00874881588</v>
      </c>
    </row>
    <row r="53" spans="8:14" ht="12.75">
      <c r="H53" s="654">
        <v>7</v>
      </c>
      <c r="I53" s="592">
        <f t="shared" si="5"/>
        <v>20</v>
      </c>
      <c r="J53" s="372">
        <v>46</v>
      </c>
      <c r="K53" s="477">
        <v>18</v>
      </c>
      <c r="L53" s="477">
        <f>$E$19*I53*AVERAGE($H$14:$H$28,$H$36:H53)-$E$20</f>
        <v>1217831.5924875617</v>
      </c>
      <c r="M53" s="478">
        <f t="shared" si="3"/>
        <v>0.088492963607285</v>
      </c>
      <c r="N53" s="477">
        <f t="shared" si="6"/>
        <v>107769.52679380373</v>
      </c>
    </row>
    <row r="54" spans="8:14" ht="12.75">
      <c r="H54" s="654">
        <v>7</v>
      </c>
      <c r="I54" s="592">
        <f t="shared" si="5"/>
        <v>20</v>
      </c>
      <c r="J54" s="372">
        <v>47</v>
      </c>
      <c r="K54" s="477">
        <v>19</v>
      </c>
      <c r="L54" s="477">
        <f>$E$19*I54*AVERAGE($H$14:$H$28,$H$36:H54)-$E$20</f>
        <v>1219465.4185811342</v>
      </c>
      <c r="M54" s="478">
        <f t="shared" si="3"/>
        <v>0.0773399113169213</v>
      </c>
      <c r="N54" s="477">
        <f t="shared" si="6"/>
        <v>94313.34732711724</v>
      </c>
    </row>
    <row r="55" spans="8:14" ht="12.75">
      <c r="H55" s="654">
        <v>7</v>
      </c>
      <c r="I55" s="592">
        <f t="shared" si="5"/>
        <v>20</v>
      </c>
      <c r="J55" s="372">
        <v>48</v>
      </c>
      <c r="K55" s="477">
        <v>20</v>
      </c>
      <c r="L55" s="477">
        <f>$E$19*I55*AVERAGE($H$14:$H$28,$H$36:H55)-$E$20</f>
        <v>1221005.883183645</v>
      </c>
      <c r="M55" s="478">
        <f t="shared" si="3"/>
        <v>0.06759251401110088</v>
      </c>
      <c r="N55" s="477">
        <f t="shared" si="6"/>
        <v>82530.85726672714</v>
      </c>
    </row>
    <row r="56" spans="8:14" ht="12.75">
      <c r="H56" s="654">
        <v>7</v>
      </c>
      <c r="I56" s="592">
        <f t="shared" si="5"/>
        <v>20</v>
      </c>
      <c r="J56" s="372">
        <v>49</v>
      </c>
      <c r="K56" s="477">
        <v>21</v>
      </c>
      <c r="L56" s="477">
        <f>$E$19*I56*AVERAGE($H$14:$H$28,$H$36:H56)-$E$20</f>
        <v>1222460.76641935</v>
      </c>
      <c r="M56" s="478">
        <f t="shared" si="3"/>
        <v>0.05907361247957969</v>
      </c>
      <c r="N56" s="477">
        <f t="shared" si="6"/>
        <v>72215.17358694666</v>
      </c>
    </row>
    <row r="57" spans="8:14" ht="12.75">
      <c r="H57" s="654">
        <v>7</v>
      </c>
      <c r="I57" s="592">
        <f t="shared" si="5"/>
        <v>20</v>
      </c>
      <c r="J57" s="372">
        <v>50</v>
      </c>
      <c r="K57" s="477">
        <v>22</v>
      </c>
      <c r="L57" s="477">
        <f>$E$19*I57*AVERAGE($H$14:$H$28,$H$36:H57)-$E$20</f>
        <v>1223837.0073179898</v>
      </c>
      <c r="M57" s="478">
        <f t="shared" si="3"/>
        <v>0.05162837545611091</v>
      </c>
      <c r="N57" s="477">
        <f t="shared" si="6"/>
        <v>63184.71651089634</v>
      </c>
    </row>
    <row r="58" spans="8:14" ht="12.75">
      <c r="H58" s="654">
        <v>7</v>
      </c>
      <c r="I58" s="592">
        <f t="shared" si="5"/>
        <v>20</v>
      </c>
      <c r="J58" s="372">
        <v>51</v>
      </c>
      <c r="K58" s="477">
        <v>23</v>
      </c>
      <c r="L58" s="477">
        <f>$E$19*I58*AVERAGE($H$14:$H$28,$H$36:H58)-$E$20</f>
        <v>1225140.8144851222</v>
      </c>
      <c r="M58" s="478">
        <f t="shared" si="3"/>
        <v>0.04512148555598407</v>
      </c>
      <c r="N58" s="477">
        <f t="shared" si="6"/>
        <v>55280.173564837</v>
      </c>
    </row>
    <row r="59" spans="8:14" ht="12.75">
      <c r="H59" s="654">
        <v>7</v>
      </c>
      <c r="I59" s="592">
        <f t="shared" si="5"/>
        <v>20</v>
      </c>
      <c r="J59" s="372">
        <v>52</v>
      </c>
      <c r="K59" s="477">
        <v>24</v>
      </c>
      <c r="L59" s="477">
        <f>$E$19*I59*AVERAGE($H$14:$H$28,$H$36:H59)-$E$20</f>
        <v>1226377.759746248</v>
      </c>
      <c r="M59" s="478">
        <f t="shared" si="3"/>
        <v>0.03943467987889007</v>
      </c>
      <c r="N59" s="477">
        <f t="shared" si="6"/>
        <v>48361.814366183644</v>
      </c>
    </row>
    <row r="60" spans="8:14" ht="12.75">
      <c r="H60" s="654">
        <v>7</v>
      </c>
      <c r="I60" s="592">
        <f t="shared" si="5"/>
        <v>20</v>
      </c>
      <c r="J60" s="372">
        <v>53</v>
      </c>
      <c r="K60" s="477">
        <v>25</v>
      </c>
      <c r="L60" s="477">
        <f>$E$19*I60*AVERAGE($H$14:$H$28,$H$36:H60)-$E$20</f>
        <v>1227552.8577443173</v>
      </c>
      <c r="M60" s="478">
        <f t="shared" si="3"/>
        <v>0.03446460057750246</v>
      </c>
      <c r="N60" s="477">
        <f t="shared" si="6"/>
        <v>42307.118929929595</v>
      </c>
    </row>
    <row r="61" spans="8:14" ht="12.75">
      <c r="H61" s="654">
        <v>7</v>
      </c>
      <c r="I61" s="592">
        <f t="shared" si="5"/>
        <v>20</v>
      </c>
      <c r="J61" s="372">
        <v>54</v>
      </c>
      <c r="K61" s="477">
        <v>26</v>
      </c>
      <c r="L61" s="477">
        <f>$E$19*I61*AVERAGE($H$14:$H$28,$H$36:H61)-$E$20</f>
        <v>1228670.633888822</v>
      </c>
      <c r="M61" s="478">
        <f t="shared" si="3"/>
        <v>0.030120916325800665</v>
      </c>
      <c r="N61" s="477">
        <f t="shared" si="6"/>
        <v>37008.68535533367</v>
      </c>
    </row>
    <row r="62" spans="8:14" ht="12.75">
      <c r="H62" s="654">
        <v>7</v>
      </c>
      <c r="I62" s="592">
        <f t="shared" si="5"/>
        <v>20</v>
      </c>
      <c r="J62" s="372">
        <v>55</v>
      </c>
      <c r="K62" s="477">
        <v>27</v>
      </c>
      <c r="L62" s="477">
        <f>$E$19*I62*AVERAGE($H$14:$H$28,$H$36:H62)-$E$20</f>
        <v>1229735.1825978744</v>
      </c>
      <c r="M62" s="478">
        <f t="shared" si="3"/>
        <v>0.02632468054477108</v>
      </c>
      <c r="N62" s="477">
        <f t="shared" si="6"/>
        <v>32372.385836554775</v>
      </c>
    </row>
    <row r="63" spans="8:14" ht="12.75">
      <c r="H63" s="654">
        <v>7</v>
      </c>
      <c r="I63" s="592">
        <f t="shared" si="5"/>
        <v>20</v>
      </c>
      <c r="J63" s="372">
        <v>56</v>
      </c>
      <c r="K63" s="477">
        <v>28</v>
      </c>
      <c r="L63" s="477">
        <f>$E$19*I63*AVERAGE($H$14:$H$28,$H$36:H63)-$E$20</f>
        <v>1230750.2174134825</v>
      </c>
      <c r="M63" s="478">
        <f t="shared" si="3"/>
        <v>0.023006896546193572</v>
      </c>
      <c r="N63" s="477">
        <f t="shared" si="6"/>
        <v>28315.74292623724</v>
      </c>
    </row>
    <row r="64" spans="8:14" ht="12.75">
      <c r="H64" s="654">
        <v>7</v>
      </c>
      <c r="I64" s="592">
        <f t="shared" si="5"/>
        <v>20</v>
      </c>
      <c r="J64" s="372">
        <v>57</v>
      </c>
      <c r="K64" s="477">
        <v>29</v>
      </c>
      <c r="L64" s="477">
        <f>$E$19*I64*AVERAGE($H$14:$H$28,$H$36:H64)-$E$20</f>
        <v>1231719.1142829265</v>
      </c>
      <c r="M64" s="478">
        <f t="shared" si="3"/>
        <v>0.02010726351596289</v>
      </c>
      <c r="N64" s="477">
        <f t="shared" si="6"/>
        <v>24766.500808535216</v>
      </c>
    </row>
    <row r="65" spans="8:14" ht="12.75">
      <c r="H65" s="654">
        <v>7</v>
      </c>
      <c r="I65" s="592">
        <f t="shared" si="5"/>
        <v>20</v>
      </c>
      <c r="J65" s="372">
        <v>58</v>
      </c>
      <c r="K65" s="477">
        <v>30</v>
      </c>
      <c r="L65" s="477">
        <f>$E$19*I65*AVERAGE($H$14:$H$28,$H$36:H65)-$E$20</f>
        <v>1232644.9490692844</v>
      </c>
      <c r="M65" s="478">
        <f t="shared" si="3"/>
        <v>0.017573080545157802</v>
      </c>
      <c r="N65" s="477">
        <f t="shared" si="6"/>
        <v>21661.36897357647</v>
      </c>
    </row>
    <row r="66" spans="8:14" ht="12.75">
      <c r="H66" s="654">
        <v>7</v>
      </c>
      <c r="I66" s="592">
        <f t="shared" si="5"/>
        <v>20</v>
      </c>
      <c r="J66" s="372">
        <v>59</v>
      </c>
      <c r="K66" s="477">
        <v>31</v>
      </c>
      <c r="L66" s="477">
        <f>$E$19*I66*AVERAGE($H$14:$H$28,$H$36:H66)-$E$20</f>
        <v>1233530.5301692786</v>
      </c>
      <c r="M66" s="478">
        <f t="shared" si="3"/>
        <v>0.015358288789592918</v>
      </c>
      <c r="N66" s="477">
        <f t="shared" si="6"/>
        <v>18944.918113119442</v>
      </c>
    </row>
    <row r="67" spans="8:14" ht="12.75">
      <c r="H67" s="669">
        <v>7</v>
      </c>
      <c r="I67" s="597">
        <f t="shared" si="5"/>
        <v>20</v>
      </c>
      <c r="J67" s="670">
        <v>60</v>
      </c>
      <c r="K67" s="487">
        <v>32</v>
      </c>
      <c r="L67" s="487">
        <f>$E$19*I67*AVERAGE($H$14:$H$28,$H$36:H67)-$E$20</f>
        <v>1234378.4269671454</v>
      </c>
      <c r="M67" s="488">
        <f t="shared" si="3"/>
        <v>0.013422634349077207</v>
      </c>
      <c r="N67" s="487">
        <f t="shared" si="6"/>
        <v>16568.6102735691</v>
      </c>
    </row>
    <row r="68" spans="1:14" ht="12.75">
      <c r="A68" s="623"/>
      <c r="H68" s="671"/>
      <c r="I68" s="413"/>
      <c r="J68" s="413"/>
      <c r="K68" s="494"/>
      <c r="L68" s="413"/>
      <c r="M68" s="672" t="s">
        <v>638</v>
      </c>
      <c r="N68" s="673">
        <f>SUM(N36:N67)</f>
        <v>7664275.372170594</v>
      </c>
    </row>
    <row r="70" ht="12.75">
      <c r="K70" s="674"/>
    </row>
  </sheetData>
  <sheetProtection/>
  <mergeCells count="13">
    <mergeCell ref="H33:H35"/>
    <mergeCell ref="A7:E7"/>
    <mergeCell ref="G8:G10"/>
    <mergeCell ref="I8:I10"/>
    <mergeCell ref="H8:H10"/>
    <mergeCell ref="A28:C28"/>
    <mergeCell ref="H31:N32"/>
    <mergeCell ref="I33:I35"/>
    <mergeCell ref="L34:L35"/>
    <mergeCell ref="M33:M35"/>
    <mergeCell ref="N33:N35"/>
    <mergeCell ref="N7:N8"/>
    <mergeCell ref="G7:L7"/>
  </mergeCells>
  <printOptions horizontalCentered="1"/>
  <pageMargins left="0.75" right="0.75" top="1" bottom="1" header="0.5" footer="0.5"/>
  <pageSetup fitToHeight="1" fitToWidth="1" horizontalDpi="600" verticalDpi="600" orientation="portrait" scale="82" r:id="rId4"/>
  <ignoredErrors>
    <ignoredError sqref="L15:L27 L37:L66" formulaRange="1"/>
  </ignoredErrors>
  <drawing r:id="rId3"/>
  <legacyDrawing r:id="rId2"/>
</worksheet>
</file>

<file path=xl/worksheets/sheet12.xml><?xml version="1.0" encoding="utf-8"?>
<worksheet xmlns="http://schemas.openxmlformats.org/spreadsheetml/2006/main" xmlns:r="http://schemas.openxmlformats.org/officeDocument/2006/relationships">
  <sheetPr codeName="Sheet15"/>
  <dimension ref="A1:U77"/>
  <sheetViews>
    <sheetView zoomScale="85" zoomScaleNormal="85" zoomScalePageLayoutView="0" workbookViewId="0" topLeftCell="A1">
      <selection activeCell="A1" sqref="A1"/>
    </sheetView>
  </sheetViews>
  <sheetFormatPr defaultColWidth="5.7109375" defaultRowHeight="12.75"/>
  <cols>
    <col min="1" max="1" width="53.140625" style="586" customWidth="1"/>
    <col min="2" max="2" width="14.57421875" style="586" customWidth="1"/>
    <col min="3" max="3" width="9.28125" style="586" bestFit="1" customWidth="1"/>
    <col min="4" max="4" width="13.140625" style="586" customWidth="1"/>
    <col min="5" max="6" width="15.140625" style="586" customWidth="1"/>
    <col min="7" max="8" width="9.7109375" style="586" customWidth="1"/>
    <col min="9" max="9" width="8.140625" style="586" customWidth="1"/>
    <col min="10" max="10" width="6.7109375" style="586" customWidth="1"/>
    <col min="11" max="11" width="14.421875" style="586" customWidth="1"/>
    <col min="12" max="12" width="9.7109375" style="586" customWidth="1"/>
    <col min="13" max="13" width="11.28125" style="586" bestFit="1" customWidth="1"/>
    <col min="14" max="14" width="8.28125" style="586" customWidth="1"/>
    <col min="15" max="15" width="12.57421875" style="586" bestFit="1" customWidth="1"/>
    <col min="16" max="16" width="11.28125" style="586" bestFit="1" customWidth="1"/>
    <col min="17" max="17" width="10.28125" style="586" customWidth="1"/>
    <col min="18" max="18" width="12.140625" style="586" customWidth="1"/>
    <col min="19" max="19" width="7.7109375" style="586" bestFit="1" customWidth="1"/>
    <col min="20" max="20" width="12.140625" style="586" customWidth="1"/>
    <col min="21" max="21" width="12.140625" style="586" bestFit="1" customWidth="1"/>
    <col min="22" max="16384" width="5.7109375" style="586" customWidth="1"/>
  </cols>
  <sheetData>
    <row r="1" ht="12.75">
      <c r="K1" s="200" t="s">
        <v>691</v>
      </c>
    </row>
    <row r="2" spans="1:7" s="204" customFormat="1" ht="18">
      <c r="A2" s="203" t="s">
        <v>607</v>
      </c>
      <c r="G2" s="205"/>
    </row>
    <row r="3" ht="12.75">
      <c r="A3" s="395">
        <f>IF('ERR &amp; Sensitivity Analysis'!$I$12="y",IF('ERR &amp; Sensitivity Analysis'!$I$16="y","","Note: Current calculations are based on user input and are not the original MCC estimates"),"Note: Current calculations are based on user input and are not the original MCC estimates")</f>
      </c>
    </row>
    <row r="4" ht="18">
      <c r="A4" s="675" t="s">
        <v>645</v>
      </c>
    </row>
    <row r="5" ht="12.75">
      <c r="A5" s="395"/>
    </row>
    <row r="6" spans="1:20" ht="12.75">
      <c r="A6" s="587" t="s">
        <v>284</v>
      </c>
      <c r="B6" s="588"/>
      <c r="C6" s="588"/>
      <c r="D6" s="588"/>
      <c r="E6" s="588"/>
      <c r="F6" s="620"/>
      <c r="O6" s="463"/>
      <c r="P6" s="456"/>
      <c r="Q6" s="456"/>
      <c r="R6" s="456"/>
      <c r="S6" s="402"/>
      <c r="T6" s="402"/>
    </row>
    <row r="7" spans="1:20" ht="15">
      <c r="A7" s="1010" t="s">
        <v>330</v>
      </c>
      <c r="B7" s="1011"/>
      <c r="C7" s="1011"/>
      <c r="D7" s="1058"/>
      <c r="E7" s="1012"/>
      <c r="F7" s="621"/>
      <c r="G7" s="985" t="s">
        <v>481</v>
      </c>
      <c r="H7" s="1000"/>
      <c r="I7" s="1000"/>
      <c r="J7" s="1000"/>
      <c r="K7" s="986"/>
      <c r="M7" s="983" t="s">
        <v>534</v>
      </c>
      <c r="O7" s="456"/>
      <c r="P7" s="463"/>
      <c r="Q7" s="622"/>
      <c r="R7" s="456"/>
      <c r="S7" s="402"/>
      <c r="T7" s="402"/>
    </row>
    <row r="8" spans="1:20" ht="12.75">
      <c r="A8" s="676"/>
      <c r="B8" s="624" t="s">
        <v>40</v>
      </c>
      <c r="C8" s="563" t="s">
        <v>118</v>
      </c>
      <c r="D8" s="466" t="s">
        <v>119</v>
      </c>
      <c r="E8" s="466" t="s">
        <v>636</v>
      </c>
      <c r="F8" s="621"/>
      <c r="G8" s="1034" t="s">
        <v>353</v>
      </c>
      <c r="H8" s="1059" t="s">
        <v>358</v>
      </c>
      <c r="I8" s="626" t="s">
        <v>349</v>
      </c>
      <c r="J8" s="627" t="s">
        <v>60</v>
      </c>
      <c r="K8" s="605" t="s">
        <v>664</v>
      </c>
      <c r="M8" s="984"/>
      <c r="O8" s="551"/>
      <c r="P8" s="629"/>
      <c r="Q8" s="465"/>
      <c r="R8" s="465"/>
      <c r="S8" s="402"/>
      <c r="T8" s="402"/>
    </row>
    <row r="9" spans="1:20" ht="12.75">
      <c r="A9" s="636" t="s">
        <v>341</v>
      </c>
      <c r="B9" s="631" t="s">
        <v>270</v>
      </c>
      <c r="C9" s="263">
        <f>SUM(C10:C13)</f>
        <v>0</v>
      </c>
      <c r="D9" s="261">
        <f>SUM(D10:D13)</f>
        <v>1983478.648911191</v>
      </c>
      <c r="E9" s="261">
        <f>D9-C9</f>
        <v>1983478.648911191</v>
      </c>
      <c r="F9" s="244"/>
      <c r="G9" s="1035"/>
      <c r="H9" s="1045"/>
      <c r="I9" s="591">
        <v>4</v>
      </c>
      <c r="J9" s="253">
        <v>1</v>
      </c>
      <c r="K9" s="444">
        <f>-E9</f>
        <v>-1983478.648911191</v>
      </c>
      <c r="M9" s="590">
        <v>0</v>
      </c>
      <c r="O9" s="456"/>
      <c r="P9" s="402"/>
      <c r="Q9" s="456"/>
      <c r="R9" s="456"/>
      <c r="S9" s="402"/>
      <c r="T9" s="402"/>
    </row>
    <row r="10" spans="1:20" ht="12.75" customHeight="1">
      <c r="A10" s="445" t="s">
        <v>342</v>
      </c>
      <c r="B10" s="631" t="s">
        <v>270</v>
      </c>
      <c r="C10" s="263">
        <v>0</v>
      </c>
      <c r="D10" s="261">
        <f>'Subproject Data'!E17</f>
        <v>1827718.3011192388</v>
      </c>
      <c r="E10" s="261">
        <f>D10-C10</f>
        <v>1827718.3011192388</v>
      </c>
      <c r="F10" s="244"/>
      <c r="G10" s="1036"/>
      <c r="H10" s="1060"/>
      <c r="I10" s="593">
        <v>5</v>
      </c>
      <c r="J10" s="253">
        <f>+J9+1</f>
        <v>2</v>
      </c>
      <c r="K10" s="444">
        <f>$E$21</f>
        <v>103990.34048083895</v>
      </c>
      <c r="M10" s="592">
        <f>$E$21</f>
        <v>103990.34048083895</v>
      </c>
      <c r="O10" s="456"/>
      <c r="P10" s="456"/>
      <c r="Q10" s="456"/>
      <c r="R10" s="456"/>
      <c r="S10" s="402"/>
      <c r="T10" s="402"/>
    </row>
    <row r="11" spans="1:20" ht="12.75">
      <c r="A11" s="447" t="s">
        <v>275</v>
      </c>
      <c r="B11" s="446" t="s">
        <v>270</v>
      </c>
      <c r="C11" s="263">
        <v>0</v>
      </c>
      <c r="D11" s="261">
        <f>'Assumptions &amp; Data'!$L$21</f>
        <v>64302.003163979694</v>
      </c>
      <c r="E11" s="261">
        <f>D11-C11</f>
        <v>64302.003163979694</v>
      </c>
      <c r="F11" s="244"/>
      <c r="G11" s="609"/>
      <c r="H11" s="591">
        <v>0</v>
      </c>
      <c r="I11" s="593">
        <v>6</v>
      </c>
      <c r="J11" s="253">
        <f>+J10+1</f>
        <v>3</v>
      </c>
      <c r="K11" s="444">
        <f aca="true" t="shared" si="0" ref="K11:K18">$E$21</f>
        <v>103990.34048083895</v>
      </c>
      <c r="M11" s="592">
        <f aca="true" t="shared" si="1" ref="M11:M18">$E$21</f>
        <v>103990.34048083895</v>
      </c>
      <c r="O11" s="456"/>
      <c r="P11" s="456"/>
      <c r="Q11" s="456"/>
      <c r="R11" s="456"/>
      <c r="S11" s="402"/>
      <c r="T11" s="402"/>
    </row>
    <row r="12" spans="1:20" ht="12.75">
      <c r="A12" s="447" t="s">
        <v>289</v>
      </c>
      <c r="B12" s="446" t="s">
        <v>270</v>
      </c>
      <c r="C12" s="263">
        <v>0</v>
      </c>
      <c r="D12" s="261">
        <f>'Assumptions &amp; Data'!$L$22</f>
        <v>89127.6129782695</v>
      </c>
      <c r="E12" s="261">
        <f>D12-C12</f>
        <v>89127.6129782695</v>
      </c>
      <c r="F12" s="244"/>
      <c r="G12" s="609"/>
      <c r="H12" s="593">
        <v>0</v>
      </c>
      <c r="I12" s="593">
        <v>7</v>
      </c>
      <c r="J12" s="253">
        <f aca="true" t="shared" si="2" ref="J12:J19">+J11+1</f>
        <v>4</v>
      </c>
      <c r="K12" s="444">
        <f t="shared" si="0"/>
        <v>103990.34048083895</v>
      </c>
      <c r="M12" s="592">
        <f t="shared" si="1"/>
        <v>103990.34048083895</v>
      </c>
      <c r="O12" s="456"/>
      <c r="P12" s="463"/>
      <c r="Q12" s="456"/>
      <c r="R12" s="456"/>
      <c r="S12" s="402"/>
      <c r="T12" s="402"/>
    </row>
    <row r="13" spans="1:20" ht="12.75">
      <c r="A13" s="447" t="s">
        <v>276</v>
      </c>
      <c r="B13" s="446" t="s">
        <v>270</v>
      </c>
      <c r="C13" s="263">
        <v>0</v>
      </c>
      <c r="D13" s="261">
        <f>'Assumptions &amp; Data'!$L$23</f>
        <v>2330.731649702951</v>
      </c>
      <c r="E13" s="261">
        <f>D13-C13</f>
        <v>2330.731649702951</v>
      </c>
      <c r="F13" s="244"/>
      <c r="G13" s="609"/>
      <c r="H13" s="593">
        <v>0</v>
      </c>
      <c r="I13" s="593">
        <v>8</v>
      </c>
      <c r="J13" s="253">
        <f t="shared" si="2"/>
        <v>5</v>
      </c>
      <c r="K13" s="444">
        <f t="shared" si="0"/>
        <v>103990.34048083895</v>
      </c>
      <c r="M13" s="592">
        <f t="shared" si="1"/>
        <v>103990.34048083895</v>
      </c>
      <c r="O13" s="456"/>
      <c r="P13" s="456"/>
      <c r="Q13" s="456"/>
      <c r="R13" s="456"/>
      <c r="S13" s="402"/>
      <c r="T13" s="402"/>
    </row>
    <row r="14" spans="1:20" ht="12.75">
      <c r="A14" s="636" t="s">
        <v>329</v>
      </c>
      <c r="B14" s="631" t="s">
        <v>134</v>
      </c>
      <c r="C14" s="263">
        <v>16</v>
      </c>
      <c r="D14" s="261">
        <v>36</v>
      </c>
      <c r="E14" s="261">
        <f aca="true" t="shared" si="3" ref="E14:E20">+D14-C14</f>
        <v>20</v>
      </c>
      <c r="F14" s="244"/>
      <c r="G14" s="609"/>
      <c r="H14" s="593">
        <v>0</v>
      </c>
      <c r="I14" s="593">
        <v>9</v>
      </c>
      <c r="J14" s="253">
        <f t="shared" si="2"/>
        <v>6</v>
      </c>
      <c r="K14" s="444">
        <f t="shared" si="0"/>
        <v>103990.34048083895</v>
      </c>
      <c r="M14" s="592">
        <f t="shared" si="1"/>
        <v>103990.34048083895</v>
      </c>
      <c r="O14" s="456"/>
      <c r="P14" s="456"/>
      <c r="Q14" s="456"/>
      <c r="R14" s="456"/>
      <c r="S14" s="402"/>
      <c r="T14" s="402"/>
    </row>
    <row r="15" spans="1:20" ht="12.75">
      <c r="A15" s="636" t="s">
        <v>305</v>
      </c>
      <c r="B15" s="637" t="s">
        <v>304</v>
      </c>
      <c r="C15" s="677">
        <f>D15</f>
        <v>0.2</v>
      </c>
      <c r="D15" s="452">
        <f>0.2</f>
        <v>0.2</v>
      </c>
      <c r="E15" s="261">
        <f t="shared" si="3"/>
        <v>0</v>
      </c>
      <c r="F15" s="244"/>
      <c r="G15" s="609"/>
      <c r="H15" s="593">
        <v>0</v>
      </c>
      <c r="I15" s="593">
        <v>10</v>
      </c>
      <c r="J15" s="253">
        <f t="shared" si="2"/>
        <v>7</v>
      </c>
      <c r="K15" s="444">
        <f t="shared" si="0"/>
        <v>103990.34048083895</v>
      </c>
      <c r="M15" s="592">
        <f t="shared" si="1"/>
        <v>103990.34048083895</v>
      </c>
      <c r="O15" s="456"/>
      <c r="P15" s="456"/>
      <c r="Q15" s="456"/>
      <c r="R15" s="456"/>
      <c r="S15" s="402"/>
      <c r="T15" s="402"/>
    </row>
    <row r="16" spans="1:20" ht="12.75">
      <c r="A16" s="678" t="s">
        <v>370</v>
      </c>
      <c r="B16" s="637" t="s">
        <v>304</v>
      </c>
      <c r="C16" s="263">
        <v>2</v>
      </c>
      <c r="D16" s="261">
        <v>2</v>
      </c>
      <c r="E16" s="261">
        <f t="shared" si="3"/>
        <v>0</v>
      </c>
      <c r="F16" s="244"/>
      <c r="G16" s="609"/>
      <c r="H16" s="593">
        <v>0</v>
      </c>
      <c r="I16" s="593">
        <v>11</v>
      </c>
      <c r="J16" s="253">
        <f t="shared" si="2"/>
        <v>8</v>
      </c>
      <c r="K16" s="444">
        <f t="shared" si="0"/>
        <v>103990.34048083895</v>
      </c>
      <c r="M16" s="592">
        <f t="shared" si="1"/>
        <v>103990.34048083895</v>
      </c>
      <c r="O16" s="456"/>
      <c r="P16" s="456"/>
      <c r="Q16" s="456"/>
      <c r="R16" s="456"/>
      <c r="S16" s="402"/>
      <c r="T16" s="402"/>
    </row>
    <row r="17" spans="1:20" ht="12.75">
      <c r="A17" s="636" t="s">
        <v>367</v>
      </c>
      <c r="B17" s="637" t="s">
        <v>337</v>
      </c>
      <c r="C17" s="263">
        <f>D17</f>
        <v>1.606995471720524</v>
      </c>
      <c r="D17" s="261">
        <f>SUMPRODUCT(S27:S30,U27:U30)</f>
        <v>1.606995471720524</v>
      </c>
      <c r="E17" s="261">
        <f t="shared" si="3"/>
        <v>0</v>
      </c>
      <c r="F17" s="244"/>
      <c r="G17" s="609"/>
      <c r="H17" s="593">
        <v>0</v>
      </c>
      <c r="I17" s="593">
        <v>12</v>
      </c>
      <c r="J17" s="253">
        <f t="shared" si="2"/>
        <v>9</v>
      </c>
      <c r="K17" s="444">
        <f t="shared" si="0"/>
        <v>103990.34048083895</v>
      </c>
      <c r="M17" s="592">
        <f t="shared" si="1"/>
        <v>103990.34048083895</v>
      </c>
      <c r="O17" s="456"/>
      <c r="P17" s="463"/>
      <c r="Q17" s="456"/>
      <c r="R17" s="456"/>
      <c r="S17" s="402"/>
      <c r="T17" s="402"/>
    </row>
    <row r="18" spans="1:20" ht="12.75">
      <c r="A18" s="636" t="s">
        <v>328</v>
      </c>
      <c r="B18" s="637" t="s">
        <v>337</v>
      </c>
      <c r="C18" s="677">
        <f>D18</f>
        <v>0.4287542157599303</v>
      </c>
      <c r="D18" s="638">
        <f>U28</f>
        <v>0.4287542157599303</v>
      </c>
      <c r="E18" s="261">
        <f t="shared" si="3"/>
        <v>0</v>
      </c>
      <c r="F18" s="244"/>
      <c r="G18" s="609"/>
      <c r="H18" s="593">
        <v>0</v>
      </c>
      <c r="I18" s="593">
        <v>13</v>
      </c>
      <c r="J18" s="253">
        <f t="shared" si="2"/>
        <v>10</v>
      </c>
      <c r="K18" s="444">
        <f t="shared" si="0"/>
        <v>103990.34048083895</v>
      </c>
      <c r="M18" s="592">
        <f t="shared" si="1"/>
        <v>103990.34048083895</v>
      </c>
      <c r="O18" s="456"/>
      <c r="P18" s="463"/>
      <c r="Q18" s="456"/>
      <c r="R18" s="456"/>
      <c r="S18" s="402"/>
      <c r="T18" s="402"/>
    </row>
    <row r="19" spans="1:20" ht="12.75">
      <c r="A19" s="636" t="s">
        <v>371</v>
      </c>
      <c r="B19" s="633" t="s">
        <v>291</v>
      </c>
      <c r="C19" s="679">
        <f>C14*C15*C16*C17*C39*C40</f>
        <v>12319.510117412561</v>
      </c>
      <c r="D19" s="592">
        <f>D14*D15*D16*D17*C39*C40</f>
        <v>27718.897764178262</v>
      </c>
      <c r="E19" s="261">
        <f t="shared" si="3"/>
        <v>15399.387646765701</v>
      </c>
      <c r="F19" s="244"/>
      <c r="G19" s="609"/>
      <c r="H19" s="593">
        <v>1</v>
      </c>
      <c r="I19" s="593">
        <v>14</v>
      </c>
      <c r="J19" s="253">
        <f t="shared" si="2"/>
        <v>11</v>
      </c>
      <c r="K19" s="444">
        <f>$E$21+($E$20+$E$19)*H19</f>
        <v>139932.88611983965</v>
      </c>
      <c r="M19" s="592">
        <f>$E$21+($E$20+$E$19)*H19</f>
        <v>139932.88611983965</v>
      </c>
      <c r="O19" s="372"/>
      <c r="P19" s="629"/>
      <c r="Q19" s="402"/>
      <c r="R19" s="402"/>
      <c r="S19" s="402"/>
      <c r="T19" s="402"/>
    </row>
    <row r="20" spans="1:20" ht="12.75">
      <c r="A20" s="636" t="s">
        <v>368</v>
      </c>
      <c r="B20" s="633" t="s">
        <v>291</v>
      </c>
      <c r="C20" s="263">
        <f>C14*C16*C18*C39*C40</f>
        <v>16434.526393787997</v>
      </c>
      <c r="D20" s="261">
        <f>D14*D16*D18*C39*C40</f>
        <v>36977.68438602299</v>
      </c>
      <c r="E20" s="261">
        <f t="shared" si="3"/>
        <v>20543.157992234996</v>
      </c>
      <c r="F20" s="244"/>
      <c r="G20" s="609"/>
      <c r="H20" s="593">
        <v>2</v>
      </c>
      <c r="I20" s="593">
        <v>15</v>
      </c>
      <c r="J20" s="253">
        <f aca="true" t="shared" si="4" ref="J20:J28">+J19+1</f>
        <v>12</v>
      </c>
      <c r="K20" s="444">
        <f aca="true" t="shared" si="5" ref="K20:K27">$E$21+($E$20+$E$19)*H20</f>
        <v>175875.43175884034</v>
      </c>
      <c r="M20" s="592">
        <f aca="true" t="shared" si="6" ref="M20:M27">$E$21+($E$20+$E$19)*H20</f>
        <v>175875.43175884034</v>
      </c>
      <c r="O20" s="372"/>
      <c r="P20" s="629"/>
      <c r="Q20" s="402"/>
      <c r="R20" s="402"/>
      <c r="S20" s="402"/>
      <c r="T20" s="402"/>
    </row>
    <row r="21" spans="1:20" ht="12.75">
      <c r="A21" s="636" t="s">
        <v>366</v>
      </c>
      <c r="B21" s="633" t="s">
        <v>291</v>
      </c>
      <c r="C21" s="263">
        <f>C14/$C$42*$C$43/$C$44*$C$41*$C$45</f>
        <v>83192.27238467116</v>
      </c>
      <c r="D21" s="261">
        <f>D14/$C$42*$C$43/$C$44*$C$41*$C$45</f>
        <v>187182.6128655101</v>
      </c>
      <c r="E21" s="261">
        <f>D21-C21</f>
        <v>103990.34048083895</v>
      </c>
      <c r="F21" s="244"/>
      <c r="G21" s="680" t="s">
        <v>351</v>
      </c>
      <c r="H21" s="593">
        <v>3</v>
      </c>
      <c r="I21" s="593">
        <v>16</v>
      </c>
      <c r="J21" s="253">
        <f t="shared" si="4"/>
        <v>13</v>
      </c>
      <c r="K21" s="444">
        <f t="shared" si="5"/>
        <v>211817.97739784105</v>
      </c>
      <c r="M21" s="592">
        <f t="shared" si="6"/>
        <v>211817.97739784105</v>
      </c>
      <c r="O21" s="372"/>
      <c r="P21" s="372"/>
      <c r="Q21" s="402"/>
      <c r="R21" s="402"/>
      <c r="S21" s="402"/>
      <c r="T21" s="402"/>
    </row>
    <row r="22" spans="1:20" ht="12.75">
      <c r="A22" s="636" t="s">
        <v>340</v>
      </c>
      <c r="B22" s="633" t="s">
        <v>291</v>
      </c>
      <c r="C22" s="263">
        <f>SUM(C23:C26)</f>
        <v>47133.53428898362</v>
      </c>
      <c r="D22" s="261">
        <f>SUM(D23:D26)</f>
        <v>112565.16687267648</v>
      </c>
      <c r="E22" s="261">
        <f>SUM(E23:E26)</f>
        <v>65431.63258369286</v>
      </c>
      <c r="F22" s="244"/>
      <c r="G22" s="680" t="s">
        <v>351</v>
      </c>
      <c r="H22" s="593">
        <v>4</v>
      </c>
      <c r="I22" s="593">
        <v>17</v>
      </c>
      <c r="J22" s="253">
        <f t="shared" si="4"/>
        <v>14</v>
      </c>
      <c r="K22" s="444">
        <f t="shared" si="5"/>
        <v>247760.5230368417</v>
      </c>
      <c r="M22" s="592">
        <f t="shared" si="6"/>
        <v>247760.5230368417</v>
      </c>
      <c r="O22" s="372"/>
      <c r="P22" s="372"/>
      <c r="Q22" s="402"/>
      <c r="R22" s="402"/>
      <c r="S22" s="402"/>
      <c r="T22" s="402"/>
    </row>
    <row r="23" spans="1:16" ht="12.75">
      <c r="A23" s="636" t="s">
        <v>345</v>
      </c>
      <c r="B23" s="633" t="s">
        <v>291</v>
      </c>
      <c r="C23" s="263">
        <f>1*1800*13*C36</f>
        <v>26627.829607972395</v>
      </c>
      <c r="D23" s="261">
        <f>2.5*1800*13*C36</f>
        <v>66569.574019931</v>
      </c>
      <c r="E23" s="261">
        <f>D23-C23</f>
        <v>39941.7444119586</v>
      </c>
      <c r="F23" s="244"/>
      <c r="G23" s="681" t="s">
        <v>352</v>
      </c>
      <c r="H23" s="593">
        <v>5</v>
      </c>
      <c r="I23" s="593">
        <v>18</v>
      </c>
      <c r="J23" s="253">
        <f t="shared" si="4"/>
        <v>15</v>
      </c>
      <c r="K23" s="444">
        <f t="shared" si="5"/>
        <v>283703.0686758424</v>
      </c>
      <c r="M23" s="592">
        <f t="shared" si="6"/>
        <v>283703.0686758424</v>
      </c>
      <c r="O23" s="402"/>
      <c r="P23" s="402"/>
    </row>
    <row r="24" spans="1:13" ht="12.75">
      <c r="A24" s="640" t="s">
        <v>45</v>
      </c>
      <c r="B24" s="633" t="s">
        <v>291</v>
      </c>
      <c r="C24" s="263">
        <f>250*C14*C36</f>
        <v>4551.765744952547</v>
      </c>
      <c r="D24" s="261">
        <f>250*D14*C36</f>
        <v>10241.47292614323</v>
      </c>
      <c r="E24" s="261">
        <f>D24-C24</f>
        <v>5689.707181190683</v>
      </c>
      <c r="F24" s="244"/>
      <c r="G24" s="609"/>
      <c r="H24" s="593">
        <v>6</v>
      </c>
      <c r="I24" s="593">
        <v>19</v>
      </c>
      <c r="J24" s="253">
        <f t="shared" si="4"/>
        <v>16</v>
      </c>
      <c r="K24" s="444">
        <f t="shared" si="5"/>
        <v>319645.61431484314</v>
      </c>
      <c r="M24" s="592">
        <f t="shared" si="6"/>
        <v>319645.61431484314</v>
      </c>
    </row>
    <row r="25" spans="1:21" ht="12.75">
      <c r="A25" s="445" t="s">
        <v>326</v>
      </c>
      <c r="B25" s="633" t="s">
        <v>291</v>
      </c>
      <c r="C25" s="263">
        <f>2500*C36</f>
        <v>2844.8535905953413</v>
      </c>
      <c r="D25" s="261">
        <f>10000*C36</f>
        <v>11379.414362381365</v>
      </c>
      <c r="E25" s="261">
        <f>D25-C25</f>
        <v>8534.560771786024</v>
      </c>
      <c r="F25" s="244"/>
      <c r="G25" s="609"/>
      <c r="H25" s="593">
        <v>7</v>
      </c>
      <c r="I25" s="593">
        <v>20</v>
      </c>
      <c r="J25" s="253">
        <f t="shared" si="4"/>
        <v>17</v>
      </c>
      <c r="K25" s="444">
        <f t="shared" si="5"/>
        <v>355588.1599538438</v>
      </c>
      <c r="M25" s="592">
        <f t="shared" si="6"/>
        <v>355588.1599538438</v>
      </c>
      <c r="P25" s="1010" t="s">
        <v>639</v>
      </c>
      <c r="Q25" s="1011"/>
      <c r="R25" s="1011"/>
      <c r="S25" s="1011"/>
      <c r="T25" s="1011"/>
      <c r="U25" s="1012"/>
    </row>
    <row r="26" spans="1:21" ht="12.75">
      <c r="A26" s="445" t="s">
        <v>325</v>
      </c>
      <c r="B26" s="633" t="s">
        <v>291</v>
      </c>
      <c r="C26" s="263">
        <f>(30*1*C41+300*12)*C36</f>
        <v>13109.085345463334</v>
      </c>
      <c r="D26" s="261">
        <f>((30*1*C41)*(D14/C14)+300*12)*C36</f>
        <v>24374.705564220887</v>
      </c>
      <c r="E26" s="261">
        <f>D26-C26</f>
        <v>11265.620218757553</v>
      </c>
      <c r="F26" s="244"/>
      <c r="G26" s="609"/>
      <c r="H26" s="593">
        <v>8</v>
      </c>
      <c r="I26" s="593">
        <v>21</v>
      </c>
      <c r="J26" s="253">
        <f t="shared" si="4"/>
        <v>18</v>
      </c>
      <c r="K26" s="444">
        <f t="shared" si="5"/>
        <v>391530.7055928445</v>
      </c>
      <c r="M26" s="592">
        <f t="shared" si="6"/>
        <v>391530.7055928445</v>
      </c>
      <c r="P26" s="682" t="s">
        <v>309</v>
      </c>
      <c r="Q26" s="683"/>
      <c r="R26" s="684" t="s">
        <v>310</v>
      </c>
      <c r="S26" s="684" t="s">
        <v>311</v>
      </c>
      <c r="T26" s="684" t="s">
        <v>338</v>
      </c>
      <c r="U26" s="685" t="s">
        <v>339</v>
      </c>
    </row>
    <row r="27" spans="1:21" ht="12.75">
      <c r="A27" s="632" t="s">
        <v>29</v>
      </c>
      <c r="B27" s="234" t="s">
        <v>32</v>
      </c>
      <c r="C27" s="263"/>
      <c r="D27" s="261"/>
      <c r="E27" s="261">
        <v>20</v>
      </c>
      <c r="F27" s="244"/>
      <c r="G27" s="609"/>
      <c r="H27" s="593">
        <v>9</v>
      </c>
      <c r="I27" s="593">
        <v>22</v>
      </c>
      <c r="J27" s="253">
        <f t="shared" si="4"/>
        <v>19</v>
      </c>
      <c r="K27" s="444">
        <f t="shared" si="5"/>
        <v>427473.25123184524</v>
      </c>
      <c r="M27" s="592">
        <f t="shared" si="6"/>
        <v>427473.25123184524</v>
      </c>
      <c r="P27" s="359" t="s">
        <v>313</v>
      </c>
      <c r="Q27" s="402"/>
      <c r="R27" s="253">
        <f>3962330</f>
        <v>3962330</v>
      </c>
      <c r="S27" s="686">
        <f>R27/$R$31</f>
        <v>0.06121757202778447</v>
      </c>
      <c r="T27" s="402"/>
      <c r="U27" s="687">
        <v>0</v>
      </c>
    </row>
    <row r="28" spans="1:21" ht="12.75">
      <c r="A28" s="688" t="s">
        <v>14</v>
      </c>
      <c r="B28" s="555"/>
      <c r="C28" s="526"/>
      <c r="D28" s="558"/>
      <c r="E28" s="455">
        <f>IRR(K9:K28)</f>
        <v>0.11210586940302725</v>
      </c>
      <c r="F28" s="376"/>
      <c r="G28" s="689"/>
      <c r="H28" s="599">
        <v>10</v>
      </c>
      <c r="I28" s="599">
        <v>23</v>
      </c>
      <c r="J28" s="690">
        <f t="shared" si="4"/>
        <v>20</v>
      </c>
      <c r="K28" s="461">
        <f>$E$21+($E$20+$E$19)*H28+$M$77</f>
        <v>6524396.559089702</v>
      </c>
      <c r="M28" s="597">
        <f>$E$21+($E$20+$E$19)*H28+$M$77</f>
        <v>6524396.559089702</v>
      </c>
      <c r="P28" s="359" t="s">
        <v>312</v>
      </c>
      <c r="Q28" s="402"/>
      <c r="R28" s="253">
        <f>1542884+27924770</f>
        <v>29467654</v>
      </c>
      <c r="S28" s="686">
        <f>R28/$R$31</f>
        <v>0.4552720826470362</v>
      </c>
      <c r="T28" s="402">
        <v>7</v>
      </c>
      <c r="U28" s="691">
        <f>2.22/T28*C33</f>
        <v>0.4287542157599303</v>
      </c>
    </row>
    <row r="29" spans="1:21" ht="12.75">
      <c r="A29" s="623"/>
      <c r="B29" s="644"/>
      <c r="K29" s="646"/>
      <c r="P29" s="359" t="s">
        <v>307</v>
      </c>
      <c r="Q29" s="402"/>
      <c r="R29" s="253">
        <v>18903125</v>
      </c>
      <c r="S29" s="686">
        <f>R29/$R$31</f>
        <v>0.29205124667499005</v>
      </c>
      <c r="T29" s="402">
        <v>6</v>
      </c>
      <c r="U29" s="691">
        <f>5.16/T29*C33</f>
        <v>1.1626578283219728</v>
      </c>
    </row>
    <row r="30" spans="1:21" ht="12.75">
      <c r="A30" s="1039" t="s">
        <v>627</v>
      </c>
      <c r="B30" s="1040"/>
      <c r="C30" s="1041"/>
      <c r="J30" s="647"/>
      <c r="K30" s="458"/>
      <c r="P30" s="365" t="s">
        <v>308</v>
      </c>
      <c r="Q30" s="413"/>
      <c r="R30" s="690">
        <f>2561983+6685949+2876616+267713</f>
        <v>12392261</v>
      </c>
      <c r="S30" s="692">
        <f>R30/$R$31</f>
        <v>0.19145909865018926</v>
      </c>
      <c r="T30" s="413">
        <v>4</v>
      </c>
      <c r="U30" s="693">
        <f>16.57/T30*C33</f>
        <v>5.600360527702062</v>
      </c>
    </row>
    <row r="31" spans="1:21" ht="12.75">
      <c r="A31" s="602" t="str">
        <f>'Assumptions &amp; Data'!$A$9</f>
        <v>Inflation factors</v>
      </c>
      <c r="B31" s="466" t="s">
        <v>40</v>
      </c>
      <c r="C31" s="466" t="s">
        <v>624</v>
      </c>
      <c r="K31" s="594"/>
      <c r="P31" s="365" t="s">
        <v>170</v>
      </c>
      <c r="Q31" s="413"/>
      <c r="R31" s="694">
        <f>SUM(R27:R30)</f>
        <v>64725370</v>
      </c>
      <c r="S31" s="692">
        <f>R31/$R$31</f>
        <v>1</v>
      </c>
      <c r="T31" s="413"/>
      <c r="U31" s="618"/>
    </row>
    <row r="32" spans="1:11" ht="12.75">
      <c r="A32" s="566" t="s">
        <v>263</v>
      </c>
      <c r="B32" s="472" t="s">
        <v>211</v>
      </c>
      <c r="C32" s="473">
        <f>'Assumptions &amp; Data'!J10</f>
        <v>1.4029987187133832</v>
      </c>
      <c r="K32" s="647"/>
    </row>
    <row r="33" spans="1:11" ht="12.75">
      <c r="A33" s="566" t="s">
        <v>264</v>
      </c>
      <c r="B33" s="472" t="s">
        <v>211</v>
      </c>
      <c r="C33" s="473">
        <f>'Assumptions &amp; Data'!J11</f>
        <v>1.3519277073511313</v>
      </c>
      <c r="K33" s="647"/>
    </row>
    <row r="34" spans="1:3" ht="12.75">
      <c r="A34" s="566" t="s">
        <v>265</v>
      </c>
      <c r="B34" s="472" t="s">
        <v>211</v>
      </c>
      <c r="C34" s="473">
        <f>'Assumptions &amp; Data'!J12</f>
        <v>1.2742828526095011</v>
      </c>
    </row>
    <row r="35" spans="1:13" ht="12.75" customHeight="1">
      <c r="A35" s="566" t="s">
        <v>266</v>
      </c>
      <c r="B35" s="472" t="s">
        <v>211</v>
      </c>
      <c r="C35" s="473">
        <f>'Assumptions &amp; Data'!J13</f>
        <v>1.1967469699765447</v>
      </c>
      <c r="H35" s="996" t="s">
        <v>354</v>
      </c>
      <c r="I35" s="1042"/>
      <c r="J35" s="1042"/>
      <c r="K35" s="1042"/>
      <c r="L35" s="1042"/>
      <c r="M35" s="997"/>
    </row>
    <row r="36" spans="1:13" ht="12.75">
      <c r="A36" s="566" t="s">
        <v>267</v>
      </c>
      <c r="B36" s="472" t="s">
        <v>211</v>
      </c>
      <c r="C36" s="473">
        <f>'Assumptions &amp; Data'!J14</f>
        <v>1.1379414362381366</v>
      </c>
      <c r="H36" s="998"/>
      <c r="I36" s="1043"/>
      <c r="J36" s="1043"/>
      <c r="K36" s="1043"/>
      <c r="L36" s="1043"/>
      <c r="M36" s="999"/>
    </row>
    <row r="37" spans="1:13" ht="12.75">
      <c r="A37" s="566" t="s">
        <v>268</v>
      </c>
      <c r="B37" s="472" t="s">
        <v>211</v>
      </c>
      <c r="C37" s="473">
        <f>'Assumptions &amp; Data'!J15</f>
        <v>1.10554605113744</v>
      </c>
      <c r="H37" s="1032" t="s">
        <v>358</v>
      </c>
      <c r="I37" s="648" t="s">
        <v>247</v>
      </c>
      <c r="J37" s="649">
        <v>0.11228772271430203</v>
      </c>
      <c r="K37" s="695">
        <f>J37-E28</f>
        <v>0.00018185331127477944</v>
      </c>
      <c r="L37" s="1048" t="s">
        <v>246</v>
      </c>
      <c r="M37" s="1054" t="s">
        <v>248</v>
      </c>
    </row>
    <row r="38" spans="1:19" ht="12.75">
      <c r="A38" s="566" t="s">
        <v>269</v>
      </c>
      <c r="B38" s="472" t="s">
        <v>211</v>
      </c>
      <c r="C38" s="473">
        <f>'Assumptions &amp; Data'!J16</f>
        <v>1.028</v>
      </c>
      <c r="D38" s="212"/>
      <c r="H38" s="1033"/>
      <c r="I38" s="564" t="s">
        <v>349</v>
      </c>
      <c r="J38" s="505" t="s">
        <v>243</v>
      </c>
      <c r="K38" s="1048" t="s">
        <v>245</v>
      </c>
      <c r="L38" s="1049"/>
      <c r="M38" s="1055"/>
      <c r="S38" s="462"/>
    </row>
    <row r="39" spans="1:13" ht="12.75">
      <c r="A39" s="510" t="s">
        <v>327</v>
      </c>
      <c r="B39" s="472" t="s">
        <v>320</v>
      </c>
      <c r="C39" s="657">
        <f>40*46</f>
        <v>1840</v>
      </c>
      <c r="D39" s="212"/>
      <c r="H39" s="1057"/>
      <c r="I39" s="696" t="s">
        <v>350</v>
      </c>
      <c r="J39" s="650" t="s">
        <v>244</v>
      </c>
      <c r="K39" s="1050"/>
      <c r="L39" s="1050"/>
      <c r="M39" s="1056"/>
    </row>
    <row r="40" spans="1:13" ht="12.75">
      <c r="A40" s="510" t="s">
        <v>344</v>
      </c>
      <c r="B40" s="472" t="s">
        <v>211</v>
      </c>
      <c r="C40" s="697">
        <v>0.651</v>
      </c>
      <c r="D40" s="212"/>
      <c r="H40" s="590">
        <f>H28+1</f>
        <v>11</v>
      </c>
      <c r="I40" s="564">
        <v>24</v>
      </c>
      <c r="J40" s="474">
        <v>1</v>
      </c>
      <c r="K40" s="474">
        <f>$E$21+($E$20+$E$19)*H40</f>
        <v>499358.3425098466</v>
      </c>
      <c r="L40" s="475">
        <f aca="true" t="shared" si="7" ref="L40:L76">(1+$J$37)^-J40</f>
        <v>0.8990479527722488</v>
      </c>
      <c r="M40" s="698">
        <f>K40*L40</f>
        <v>448947.095533221</v>
      </c>
    </row>
    <row r="41" spans="1:13" ht="12.75">
      <c r="A41" s="510" t="s">
        <v>331</v>
      </c>
      <c r="B41" s="472" t="s">
        <v>319</v>
      </c>
      <c r="C41" s="657">
        <f>22*12</f>
        <v>264</v>
      </c>
      <c r="D41" s="212"/>
      <c r="H41" s="609">
        <v>12</v>
      </c>
      <c r="I41" s="409">
        <v>25</v>
      </c>
      <c r="J41" s="477">
        <v>2</v>
      </c>
      <c r="K41" s="477">
        <f aca="true" t="shared" si="8" ref="K41:K76">$E$21+($E$20+$E$19)*H41</f>
        <v>535300.8881488473</v>
      </c>
      <c r="L41" s="699">
        <f t="shared" si="7"/>
        <v>0.8082872213839718</v>
      </c>
      <c r="M41" s="476">
        <f aca="true" t="shared" si="9" ref="M41:M76">K41*L41</f>
        <v>432676.867486204</v>
      </c>
    </row>
    <row r="42" spans="1:13" ht="12.75">
      <c r="A42" s="510" t="s">
        <v>343</v>
      </c>
      <c r="B42" s="472" t="s">
        <v>215</v>
      </c>
      <c r="C42" s="700">
        <v>1.3</v>
      </c>
      <c r="D42" s="212"/>
      <c r="H42" s="609">
        <v>13</v>
      </c>
      <c r="I42" s="409">
        <v>26</v>
      </c>
      <c r="J42" s="477">
        <v>3</v>
      </c>
      <c r="K42" s="477">
        <f t="shared" si="8"/>
        <v>571243.433787848</v>
      </c>
      <c r="L42" s="699">
        <f t="shared" si="7"/>
        <v>0.7266889716372293</v>
      </c>
      <c r="M42" s="476">
        <f t="shared" si="9"/>
        <v>415116.303453811</v>
      </c>
    </row>
    <row r="43" spans="1:13" ht="12.75">
      <c r="A43" s="510" t="s">
        <v>321</v>
      </c>
      <c r="B43" s="472" t="s">
        <v>320</v>
      </c>
      <c r="C43" s="657">
        <v>2</v>
      </c>
      <c r="D43" s="212"/>
      <c r="H43" s="609">
        <v>14</v>
      </c>
      <c r="I43" s="409">
        <v>27</v>
      </c>
      <c r="J43" s="477">
        <v>4</v>
      </c>
      <c r="K43" s="477">
        <f t="shared" si="8"/>
        <v>607185.9794268487</v>
      </c>
      <c r="L43" s="699">
        <f t="shared" si="7"/>
        <v>0.6533282322526219</v>
      </c>
      <c r="M43" s="476">
        <f t="shared" si="9"/>
        <v>396691.7425875199</v>
      </c>
    </row>
    <row r="44" spans="1:13" ht="12.75">
      <c r="A44" s="510" t="s">
        <v>355</v>
      </c>
      <c r="B44" s="472" t="s">
        <v>324</v>
      </c>
      <c r="C44" s="657">
        <v>8</v>
      </c>
      <c r="D44" s="212"/>
      <c r="H44" s="609">
        <v>15</v>
      </c>
      <c r="I44" s="409">
        <v>28</v>
      </c>
      <c r="J44" s="477">
        <v>5</v>
      </c>
      <c r="K44" s="477">
        <f t="shared" si="8"/>
        <v>643128.5250658493</v>
      </c>
      <c r="L44" s="699">
        <f t="shared" si="7"/>
        <v>0.587373409695032</v>
      </c>
      <c r="M44" s="476">
        <f t="shared" si="9"/>
        <v>377756.5946400648</v>
      </c>
    </row>
    <row r="45" spans="1:13" ht="12.75">
      <c r="A45" s="510" t="s">
        <v>356</v>
      </c>
      <c r="B45" s="472" t="s">
        <v>323</v>
      </c>
      <c r="C45" s="657">
        <f>90*C36</f>
        <v>102.4147292614323</v>
      </c>
      <c r="D45" s="212"/>
      <c r="H45" s="609">
        <v>16</v>
      </c>
      <c r="I45" s="409">
        <v>29</v>
      </c>
      <c r="J45" s="477">
        <v>6</v>
      </c>
      <c r="K45" s="477">
        <f t="shared" si="8"/>
        <v>679071.07070485</v>
      </c>
      <c r="L45" s="699">
        <f t="shared" si="7"/>
        <v>0.528076861499174</v>
      </c>
      <c r="M45" s="476">
        <f t="shared" si="9"/>
        <v>358601.7197527009</v>
      </c>
    </row>
    <row r="46" spans="1:13" ht="12.75">
      <c r="A46" s="659" t="s">
        <v>316</v>
      </c>
      <c r="B46" s="472" t="s">
        <v>317</v>
      </c>
      <c r="C46" s="657">
        <v>14</v>
      </c>
      <c r="D46" s="212"/>
      <c r="H46" s="609">
        <v>17</v>
      </c>
      <c r="I46" s="409">
        <v>30</v>
      </c>
      <c r="J46" s="477">
        <v>7</v>
      </c>
      <c r="K46" s="477">
        <f t="shared" si="8"/>
        <v>715013.6163438507</v>
      </c>
      <c r="L46" s="699">
        <f t="shared" si="7"/>
        <v>0.47476642123722673</v>
      </c>
      <c r="M46" s="476">
        <f t="shared" si="9"/>
        <v>339464.4557674575</v>
      </c>
    </row>
    <row r="47" spans="1:13" ht="12.75">
      <c r="A47" s="701" t="s">
        <v>318</v>
      </c>
      <c r="B47" s="479" t="s">
        <v>317</v>
      </c>
      <c r="C47" s="702">
        <v>60</v>
      </c>
      <c r="D47" s="212"/>
      <c r="H47" s="609">
        <v>18</v>
      </c>
      <c r="I47" s="409">
        <v>31</v>
      </c>
      <c r="J47" s="477">
        <v>8</v>
      </c>
      <c r="K47" s="477">
        <f t="shared" si="8"/>
        <v>750956.1619828515</v>
      </c>
      <c r="L47" s="699">
        <f t="shared" si="7"/>
        <v>0.42683777905833586</v>
      </c>
      <c r="M47" s="476">
        <f t="shared" si="9"/>
        <v>320536.4603509322</v>
      </c>
    </row>
    <row r="48" spans="1:13" ht="12.75">
      <c r="A48" s="666" t="s">
        <v>357</v>
      </c>
      <c r="B48" s="667"/>
      <c r="C48" s="703"/>
      <c r="D48" s="212"/>
      <c r="H48" s="609">
        <v>19</v>
      </c>
      <c r="I48" s="409">
        <v>32</v>
      </c>
      <c r="J48" s="477">
        <v>9</v>
      </c>
      <c r="K48" s="477">
        <f t="shared" si="8"/>
        <v>786898.707621852</v>
      </c>
      <c r="L48" s="699">
        <f t="shared" si="7"/>
        <v>0.3837476314282503</v>
      </c>
      <c r="M48" s="476">
        <f t="shared" si="9"/>
        <v>301970.515223837</v>
      </c>
    </row>
    <row r="49" spans="4:13" ht="12.75">
      <c r="D49" s="212"/>
      <c r="H49" s="609">
        <v>20</v>
      </c>
      <c r="I49" s="409">
        <v>33</v>
      </c>
      <c r="J49" s="477">
        <v>10</v>
      </c>
      <c r="K49" s="477">
        <f t="shared" si="8"/>
        <v>822841.2532608528</v>
      </c>
      <c r="L49" s="699">
        <f t="shared" si="7"/>
        <v>0.34500752241676796</v>
      </c>
      <c r="M49" s="476">
        <f t="shared" si="9"/>
        <v>283886.4221298351</v>
      </c>
    </row>
    <row r="50" spans="4:13" ht="12.75">
      <c r="D50" s="212"/>
      <c r="H50" s="609">
        <f>H49</f>
        <v>20</v>
      </c>
      <c r="I50" s="409">
        <v>34</v>
      </c>
      <c r="J50" s="477">
        <v>11</v>
      </c>
      <c r="K50" s="477">
        <f t="shared" si="8"/>
        <v>822841.2532608528</v>
      </c>
      <c r="L50" s="699">
        <f t="shared" si="7"/>
        <v>0.310178306719821</v>
      </c>
      <c r="M50" s="476">
        <f t="shared" si="9"/>
        <v>255227.5066356667</v>
      </c>
    </row>
    <row r="51" spans="8:13" ht="12.75">
      <c r="H51" s="609">
        <f aca="true" t="shared" si="10" ref="H51:H76">H50</f>
        <v>20</v>
      </c>
      <c r="I51" s="409">
        <v>35</v>
      </c>
      <c r="J51" s="477">
        <v>12</v>
      </c>
      <c r="K51" s="477">
        <f t="shared" si="8"/>
        <v>822841.2532608528</v>
      </c>
      <c r="L51" s="699">
        <f t="shared" si="7"/>
        <v>0.27886517165081776</v>
      </c>
      <c r="M51" s="476">
        <f t="shared" si="9"/>
        <v>229461.76733196172</v>
      </c>
    </row>
    <row r="52" spans="8:13" ht="12.75">
      <c r="H52" s="609">
        <f t="shared" si="10"/>
        <v>20</v>
      </c>
      <c r="I52" s="409">
        <v>36</v>
      </c>
      <c r="J52" s="477">
        <v>13</v>
      </c>
      <c r="K52" s="477">
        <f t="shared" si="8"/>
        <v>822841.2532608528</v>
      </c>
      <c r="L52" s="699">
        <f t="shared" si="7"/>
        <v>0.25071316167214946</v>
      </c>
      <c r="M52" s="476">
        <f t="shared" si="9"/>
        <v>206297.13215930227</v>
      </c>
    </row>
    <row r="53" spans="8:13" ht="12.75">
      <c r="H53" s="609">
        <f t="shared" si="10"/>
        <v>20</v>
      </c>
      <c r="I53" s="409">
        <v>37</v>
      </c>
      <c r="J53" s="477">
        <v>14</v>
      </c>
      <c r="K53" s="477">
        <f t="shared" si="8"/>
        <v>822841.2532608528</v>
      </c>
      <c r="L53" s="699">
        <f t="shared" si="7"/>
        <v>0.2254031547344038</v>
      </c>
      <c r="M53" s="476">
        <f t="shared" si="9"/>
        <v>185471.01433060676</v>
      </c>
    </row>
    <row r="54" spans="8:13" ht="12.75">
      <c r="H54" s="609">
        <f t="shared" si="10"/>
        <v>20</v>
      </c>
      <c r="I54" s="409">
        <v>38</v>
      </c>
      <c r="J54" s="477">
        <v>15</v>
      </c>
      <c r="K54" s="477">
        <f t="shared" si="8"/>
        <v>822841.2532608528</v>
      </c>
      <c r="L54" s="699">
        <f t="shared" si="7"/>
        <v>0.20264824481237217</v>
      </c>
      <c r="M54" s="476">
        <f t="shared" si="9"/>
        <v>166747.33573252443</v>
      </c>
    </row>
    <row r="55" spans="1:13" ht="12.75">
      <c r="A55" s="704"/>
      <c r="D55" s="212"/>
      <c r="H55" s="609">
        <f t="shared" si="10"/>
        <v>20</v>
      </c>
      <c r="I55" s="409">
        <v>39</v>
      </c>
      <c r="J55" s="477">
        <v>16</v>
      </c>
      <c r="K55" s="477">
        <f t="shared" si="8"/>
        <v>822841.2532608528</v>
      </c>
      <c r="L55" s="699">
        <f t="shared" si="7"/>
        <v>0.18219048963145273</v>
      </c>
      <c r="M55" s="476">
        <f t="shared" si="9"/>
        <v>149913.85082055297</v>
      </c>
    </row>
    <row r="56" spans="8:13" ht="12.75">
      <c r="H56" s="609">
        <f t="shared" si="10"/>
        <v>20</v>
      </c>
      <c r="I56" s="409">
        <v>40</v>
      </c>
      <c r="J56" s="477">
        <v>17</v>
      </c>
      <c r="K56" s="477">
        <f t="shared" si="8"/>
        <v>822841.2532608528</v>
      </c>
      <c r="L56" s="699">
        <f t="shared" si="7"/>
        <v>0.16379798671773121</v>
      </c>
      <c r="M56" s="476">
        <f t="shared" si="9"/>
        <v>134779.74067242246</v>
      </c>
    </row>
    <row r="57" spans="8:13" ht="12.75">
      <c r="H57" s="609">
        <f t="shared" si="10"/>
        <v>20</v>
      </c>
      <c r="I57" s="409">
        <v>41</v>
      </c>
      <c r="J57" s="477">
        <v>18</v>
      </c>
      <c r="K57" s="477">
        <f t="shared" si="8"/>
        <v>822841.2532608528</v>
      </c>
      <c r="L57" s="699">
        <f t="shared" si="7"/>
        <v>0.14726224462679227</v>
      </c>
      <c r="M57" s="476">
        <f t="shared" si="9"/>
        <v>121173.44992671603</v>
      </c>
    </row>
    <row r="58" spans="8:13" ht="12.75">
      <c r="H58" s="609">
        <f t="shared" si="10"/>
        <v>20</v>
      </c>
      <c r="I58" s="409">
        <v>42</v>
      </c>
      <c r="J58" s="477">
        <v>19</v>
      </c>
      <c r="K58" s="477">
        <f t="shared" si="8"/>
        <v>822841.2532608528</v>
      </c>
      <c r="L58" s="699">
        <f t="shared" si="7"/>
        <v>0.1323958195523637</v>
      </c>
      <c r="M58" s="476">
        <f t="shared" si="9"/>
        <v>108940.74208696467</v>
      </c>
    </row>
    <row r="59" spans="1:13" ht="12.75">
      <c r="A59" s="457"/>
      <c r="D59" s="212"/>
      <c r="H59" s="609">
        <f t="shared" si="10"/>
        <v>20</v>
      </c>
      <c r="I59" s="409">
        <v>43</v>
      </c>
      <c r="J59" s="477">
        <v>20</v>
      </c>
      <c r="K59" s="477">
        <f t="shared" si="8"/>
        <v>822841.2532608528</v>
      </c>
      <c r="L59" s="699">
        <f t="shared" si="7"/>
        <v>0.11903019052415666</v>
      </c>
      <c r="M59" s="476">
        <f t="shared" si="9"/>
        <v>97942.95114677514</v>
      </c>
    </row>
    <row r="60" spans="1:13" ht="12.75">
      <c r="A60" s="457"/>
      <c r="D60" s="212"/>
      <c r="H60" s="609">
        <f t="shared" si="10"/>
        <v>20</v>
      </c>
      <c r="I60" s="409">
        <v>44</v>
      </c>
      <c r="J60" s="477">
        <v>21</v>
      </c>
      <c r="K60" s="477">
        <f t="shared" si="8"/>
        <v>822841.2532608528</v>
      </c>
      <c r="L60" s="699">
        <f t="shared" si="7"/>
        <v>0.10701384910883377</v>
      </c>
      <c r="M60" s="476">
        <f t="shared" si="9"/>
        <v>88055.40971698058</v>
      </c>
    </row>
    <row r="61" spans="1:13" ht="12.75">
      <c r="A61" s="457"/>
      <c r="D61" s="212"/>
      <c r="H61" s="609">
        <f t="shared" si="10"/>
        <v>20</v>
      </c>
      <c r="I61" s="409">
        <v>45</v>
      </c>
      <c r="J61" s="477">
        <v>22</v>
      </c>
      <c r="K61" s="477">
        <f t="shared" si="8"/>
        <v>822841.2532608528</v>
      </c>
      <c r="L61" s="699">
        <f t="shared" si="7"/>
        <v>0.09621058195957537</v>
      </c>
      <c r="M61" s="476">
        <f t="shared" si="9"/>
        <v>79166.03583657299</v>
      </c>
    </row>
    <row r="62" spans="4:13" ht="12.75">
      <c r="D62" s="212"/>
      <c r="H62" s="609">
        <f t="shared" si="10"/>
        <v>20</v>
      </c>
      <c r="I62" s="409">
        <v>46</v>
      </c>
      <c r="J62" s="477">
        <v>23</v>
      </c>
      <c r="K62" s="477">
        <f t="shared" si="8"/>
        <v>822841.2532608528</v>
      </c>
      <c r="L62" s="699">
        <f t="shared" si="7"/>
        <v>0.08649792674578288</v>
      </c>
      <c r="M62" s="476">
        <f t="shared" si="9"/>
        <v>71174.06244796542</v>
      </c>
    </row>
    <row r="63" spans="4:13" ht="12.75">
      <c r="D63" s="212"/>
      <c r="H63" s="609">
        <f t="shared" si="10"/>
        <v>20</v>
      </c>
      <c r="I63" s="409">
        <v>47</v>
      </c>
      <c r="J63" s="477">
        <v>24</v>
      </c>
      <c r="K63" s="477">
        <f t="shared" si="8"/>
        <v>822841.2532608528</v>
      </c>
      <c r="L63" s="699">
        <f t="shared" si="7"/>
        <v>0.07776578395984006</v>
      </c>
      <c r="M63" s="476">
        <f t="shared" si="9"/>
        <v>63988.89513432752</v>
      </c>
    </row>
    <row r="64" spans="8:13" ht="12.75">
      <c r="H64" s="609">
        <f t="shared" si="10"/>
        <v>20</v>
      </c>
      <c r="I64" s="409">
        <v>48</v>
      </c>
      <c r="J64" s="477">
        <v>25</v>
      </c>
      <c r="K64" s="477">
        <f t="shared" si="8"/>
        <v>822841.2532608528</v>
      </c>
      <c r="L64" s="699">
        <f t="shared" si="7"/>
        <v>0.06991516886482319</v>
      </c>
      <c r="M64" s="476">
        <f t="shared" si="9"/>
        <v>57529.085170675266</v>
      </c>
    </row>
    <row r="65" spans="8:13" ht="12.75">
      <c r="H65" s="609">
        <f t="shared" si="10"/>
        <v>20</v>
      </c>
      <c r="I65" s="409">
        <v>49</v>
      </c>
      <c r="J65" s="477">
        <v>26</v>
      </c>
      <c r="K65" s="477">
        <f t="shared" si="8"/>
        <v>822841.2532608528</v>
      </c>
      <c r="L65" s="699">
        <f t="shared" si="7"/>
        <v>0.06285708943564536</v>
      </c>
      <c r="M65" s="476">
        <f t="shared" si="9"/>
        <v>51721.40624755593</v>
      </c>
    </row>
    <row r="66" spans="8:13" ht="12.75">
      <c r="H66" s="609">
        <f t="shared" si="10"/>
        <v>20</v>
      </c>
      <c r="I66" s="409">
        <v>50</v>
      </c>
      <c r="J66" s="477">
        <v>27</v>
      </c>
      <c r="K66" s="477">
        <f t="shared" si="8"/>
        <v>822841.2532608528</v>
      </c>
      <c r="L66" s="699">
        <f t="shared" si="7"/>
        <v>0.05651153757433912</v>
      </c>
      <c r="M66" s="476">
        <f t="shared" si="9"/>
        <v>46500.02440136697</v>
      </c>
    </row>
    <row r="67" spans="8:13" ht="12.75">
      <c r="H67" s="609">
        <f t="shared" si="10"/>
        <v>20</v>
      </c>
      <c r="I67" s="409">
        <v>51</v>
      </c>
      <c r="J67" s="477">
        <v>28</v>
      </c>
      <c r="K67" s="477">
        <f t="shared" si="8"/>
        <v>822841.2532608528</v>
      </c>
      <c r="L67" s="699">
        <f t="shared" si="7"/>
        <v>0.050806582164221605</v>
      </c>
      <c r="M67" s="476">
        <f t="shared" si="9"/>
        <v>41805.75174190859</v>
      </c>
    </row>
    <row r="68" spans="8:13" ht="12.75">
      <c r="H68" s="609">
        <f t="shared" si="10"/>
        <v>20</v>
      </c>
      <c r="I68" s="409">
        <v>52</v>
      </c>
      <c r="J68" s="477">
        <v>29</v>
      </c>
      <c r="K68" s="477">
        <f t="shared" si="8"/>
        <v>822841.2532608528</v>
      </c>
      <c r="L68" s="699">
        <f t="shared" si="7"/>
        <v>0.04567755368209848</v>
      </c>
      <c r="M68" s="476">
        <f t="shared" si="9"/>
        <v>37585.37551766779</v>
      </c>
    </row>
    <row r="69" spans="8:13" ht="12.75">
      <c r="H69" s="609">
        <f t="shared" si="10"/>
        <v>20</v>
      </c>
      <c r="I69" s="409">
        <v>53</v>
      </c>
      <c r="J69" s="477">
        <v>30</v>
      </c>
      <c r="K69" s="477">
        <f t="shared" si="8"/>
        <v>822841.2532608528</v>
      </c>
      <c r="L69" s="699">
        <f t="shared" si="7"/>
        <v>0.04106631112553514</v>
      </c>
      <c r="M69" s="476">
        <f t="shared" si="9"/>
        <v>33791.054913335436</v>
      </c>
    </row>
    <row r="70" spans="8:13" ht="12.75">
      <c r="H70" s="609">
        <f t="shared" si="10"/>
        <v>20</v>
      </c>
      <c r="I70" s="409">
        <v>54</v>
      </c>
      <c r="J70" s="477">
        <v>31</v>
      </c>
      <c r="K70" s="477">
        <f t="shared" si="8"/>
        <v>822841.2532608528</v>
      </c>
      <c r="L70" s="699">
        <f t="shared" si="7"/>
        <v>0.03692058294532059</v>
      </c>
      <c r="M70" s="476">
        <f t="shared" si="9"/>
        <v>30379.778741848862</v>
      </c>
    </row>
    <row r="71" spans="8:13" ht="12.75">
      <c r="H71" s="609">
        <f t="shared" si="10"/>
        <v>20</v>
      </c>
      <c r="I71" s="409">
        <v>55</v>
      </c>
      <c r="J71" s="477">
        <v>32</v>
      </c>
      <c r="K71" s="477">
        <f t="shared" si="8"/>
        <v>822841.2532608528</v>
      </c>
      <c r="L71" s="699">
        <f t="shared" si="7"/>
        <v>0.03319337451214849</v>
      </c>
      <c r="M71" s="476">
        <f t="shared" si="9"/>
        <v>27312.87788353311</v>
      </c>
    </row>
    <row r="72" spans="8:13" ht="12.75">
      <c r="H72" s="609">
        <f t="shared" si="10"/>
        <v>20</v>
      </c>
      <c r="I72" s="409">
        <v>56</v>
      </c>
      <c r="J72" s="477">
        <v>33</v>
      </c>
      <c r="K72" s="477">
        <f t="shared" si="8"/>
        <v>822841.2532608528</v>
      </c>
      <c r="L72" s="699">
        <f t="shared" si="7"/>
        <v>0.029842435400749646</v>
      </c>
      <c r="M72" s="476">
        <f t="shared" si="9"/>
        <v>24555.586945508876</v>
      </c>
    </row>
    <row r="73" spans="8:13" ht="12.75">
      <c r="H73" s="609">
        <f t="shared" si="10"/>
        <v>20</v>
      </c>
      <c r="I73" s="409">
        <v>57</v>
      </c>
      <c r="J73" s="477">
        <v>34</v>
      </c>
      <c r="K73" s="477">
        <f t="shared" si="8"/>
        <v>822841.2532608528</v>
      </c>
      <c r="L73" s="699">
        <f t="shared" si="7"/>
        <v>0.026829780452782056</v>
      </c>
      <c r="M73" s="476">
        <f t="shared" si="9"/>
        <v>22076.650172480717</v>
      </c>
    </row>
    <row r="74" spans="8:13" ht="12.75">
      <c r="H74" s="609">
        <f t="shared" si="10"/>
        <v>20</v>
      </c>
      <c r="I74" s="409">
        <v>58</v>
      </c>
      <c r="J74" s="477">
        <v>35</v>
      </c>
      <c r="K74" s="477">
        <f t="shared" si="8"/>
        <v>822841.2532608528</v>
      </c>
      <c r="L74" s="699">
        <f t="shared" si="7"/>
        <v>0.024121259189402607</v>
      </c>
      <c r="M74" s="476">
        <f t="shared" si="9"/>
        <v>19847.967141637902</v>
      </c>
    </row>
    <row r="75" spans="8:13" ht="12.75">
      <c r="H75" s="609">
        <f t="shared" si="10"/>
        <v>20</v>
      </c>
      <c r="I75" s="409">
        <v>59</v>
      </c>
      <c r="J75" s="477">
        <v>36</v>
      </c>
      <c r="K75" s="477">
        <f t="shared" si="8"/>
        <v>822841.2532608528</v>
      </c>
      <c r="L75" s="699">
        <f t="shared" si="7"/>
        <v>0.02168616869252121</v>
      </c>
      <c r="M75" s="476">
        <f t="shared" si="9"/>
        <v>17844.27422538042</v>
      </c>
    </row>
    <row r="76" spans="8:14" ht="12.75">
      <c r="H76" s="689">
        <f t="shared" si="10"/>
        <v>20</v>
      </c>
      <c r="I76" s="696">
        <v>60</v>
      </c>
      <c r="J76" s="487">
        <v>37</v>
      </c>
      <c r="K76" s="487">
        <f t="shared" si="8"/>
        <v>822841.2532608528</v>
      </c>
      <c r="L76" s="705">
        <f t="shared" si="7"/>
        <v>0.01949690556648483</v>
      </c>
      <c r="M76" s="489">
        <f t="shared" si="9"/>
        <v>16042.858211034874</v>
      </c>
      <c r="N76" s="674"/>
    </row>
    <row r="77" spans="8:14" ht="12.75">
      <c r="H77" s="671"/>
      <c r="I77" s="413"/>
      <c r="J77" s="494"/>
      <c r="K77" s="413"/>
      <c r="L77" s="672" t="s">
        <v>170</v>
      </c>
      <c r="M77" s="706">
        <f>SUM(M40:M76)</f>
        <v>6060980.762218855</v>
      </c>
      <c r="N77" s="674"/>
    </row>
    <row r="78" ht="12.75"/>
  </sheetData>
  <sheetProtection/>
  <mergeCells count="12">
    <mergeCell ref="A7:E7"/>
    <mergeCell ref="G8:G10"/>
    <mergeCell ref="H8:H10"/>
    <mergeCell ref="A30:C30"/>
    <mergeCell ref="M7:M8"/>
    <mergeCell ref="G7:K7"/>
    <mergeCell ref="P25:U25"/>
    <mergeCell ref="H35:M36"/>
    <mergeCell ref="K38:K39"/>
    <mergeCell ref="L37:L39"/>
    <mergeCell ref="M37:M39"/>
    <mergeCell ref="H37:H39"/>
  </mergeCells>
  <printOptions/>
  <pageMargins left="0.17" right="0.22" top="0.2" bottom="0.26" header="0.3" footer="0.3"/>
  <pageSetup horizontalDpi="600" verticalDpi="600" orientation="landscape" r:id="rId4"/>
  <ignoredErrors>
    <ignoredError sqref="E22" formula="1"/>
    <ignoredError sqref="C9" formulaRange="1"/>
  </ignoredErrors>
  <drawing r:id="rId3"/>
  <legacyDrawing r:id="rId2"/>
</worksheet>
</file>

<file path=xl/worksheets/sheet13.xml><?xml version="1.0" encoding="utf-8"?>
<worksheet xmlns="http://schemas.openxmlformats.org/spreadsheetml/2006/main" xmlns:r="http://schemas.openxmlformats.org/officeDocument/2006/relationships">
  <sheetPr codeName="Sheet10"/>
  <dimension ref="A1:AM95"/>
  <sheetViews>
    <sheetView zoomScale="85" zoomScaleNormal="85" zoomScalePageLayoutView="0" workbookViewId="0" topLeftCell="A1">
      <selection activeCell="A1" sqref="A1"/>
    </sheetView>
  </sheetViews>
  <sheetFormatPr defaultColWidth="9.140625" defaultRowHeight="12.75"/>
  <cols>
    <col min="1" max="3" width="3.7109375" style="210" customWidth="1"/>
    <col min="4" max="4" width="13.28125" style="210" customWidth="1"/>
    <col min="5" max="7" width="9.140625" style="210" customWidth="1"/>
    <col min="8" max="8" width="23.8515625" style="210" customWidth="1"/>
    <col min="9" max="9" width="17.7109375" style="210" customWidth="1"/>
    <col min="10" max="10" width="15.8515625" style="210" customWidth="1"/>
    <col min="11" max="11" width="16.421875" style="210" customWidth="1"/>
    <col min="12" max="12" width="14.7109375" style="210" bestFit="1" customWidth="1"/>
    <col min="13" max="13" width="13.57421875" style="210" customWidth="1"/>
    <col min="14" max="15" width="14.7109375" style="210" bestFit="1" customWidth="1"/>
    <col min="16" max="16" width="13.8515625" style="210" customWidth="1"/>
    <col min="17" max="19" width="13.28125" style="210" bestFit="1" customWidth="1"/>
    <col min="20" max="20" width="13.421875" style="210" bestFit="1" customWidth="1"/>
    <col min="21" max="21" width="13.7109375" style="210" bestFit="1" customWidth="1"/>
    <col min="22" max="22" width="13.00390625" style="210" bestFit="1" customWidth="1"/>
    <col min="23" max="23" width="13.28125" style="210" bestFit="1" customWidth="1"/>
    <col min="24" max="24" width="13.7109375" style="210" bestFit="1" customWidth="1"/>
    <col min="25" max="25" width="13.00390625" style="210" bestFit="1" customWidth="1"/>
    <col min="26" max="26" width="13.421875" style="210" bestFit="1" customWidth="1"/>
    <col min="27" max="27" width="13.28125" style="210" bestFit="1" customWidth="1"/>
    <col min="28" max="28" width="14.00390625" style="210" bestFit="1" customWidth="1"/>
    <col min="29" max="29" width="13.7109375" style="210" bestFit="1" customWidth="1"/>
    <col min="30" max="30" width="12.7109375" style="210" bestFit="1" customWidth="1"/>
    <col min="31" max="32" width="13.28125" style="210" bestFit="1" customWidth="1"/>
    <col min="33" max="33" width="13.00390625" style="210" bestFit="1" customWidth="1"/>
    <col min="34" max="34" width="13.7109375" style="210" bestFit="1" customWidth="1"/>
    <col min="35" max="35" width="13.421875" style="210" bestFit="1" customWidth="1"/>
    <col min="36" max="36" width="13.7109375" style="210" bestFit="1" customWidth="1"/>
    <col min="37" max="37" width="13.421875" style="210" bestFit="1" customWidth="1"/>
    <col min="38" max="16384" width="9.140625" style="210" customWidth="1"/>
  </cols>
  <sheetData>
    <row r="1" ht="12.75">
      <c r="L1" s="200" t="s">
        <v>691</v>
      </c>
    </row>
    <row r="2" spans="1:7" s="204" customFormat="1" ht="18">
      <c r="A2" s="203" t="s">
        <v>607</v>
      </c>
      <c r="G2" s="205"/>
    </row>
    <row r="3" ht="12.75">
      <c r="A3" s="395">
        <f>IF('ERR &amp; Sensitivity Analysis'!$I$12="y",IF('ERR &amp; Sensitivity Analysis'!$I$16="y","","Note: Current calculations are based on user input and are not the original MCC estimates"),"Note: Current calculations are based on user input and are not the original MCC estimates")</f>
      </c>
    </row>
    <row r="4" spans="1:2" ht="18">
      <c r="A4" s="395"/>
      <c r="B4" s="213" t="s">
        <v>579</v>
      </c>
    </row>
    <row r="5" ht="12.75">
      <c r="A5" s="395"/>
    </row>
    <row r="6" ht="12.75">
      <c r="A6" s="212" t="s">
        <v>284</v>
      </c>
    </row>
    <row r="7" ht="12.75"/>
    <row r="8" spans="1:10" ht="15">
      <c r="A8" s="897" t="s">
        <v>207</v>
      </c>
      <c r="B8" s="898"/>
      <c r="C8" s="898"/>
      <c r="D8" s="898"/>
      <c r="E8" s="898"/>
      <c r="F8" s="898"/>
      <c r="G8" s="898"/>
      <c r="H8" s="963"/>
      <c r="I8" s="749" t="s">
        <v>40</v>
      </c>
      <c r="J8" s="466" t="s">
        <v>624</v>
      </c>
    </row>
    <row r="9" spans="1:10" ht="13.5" thickBot="1">
      <c r="A9" s="359" t="s">
        <v>262</v>
      </c>
      <c r="B9" s="360"/>
      <c r="C9" s="360"/>
      <c r="D9" s="360"/>
      <c r="E9" s="360"/>
      <c r="F9" s="360"/>
      <c r="G9" s="360"/>
      <c r="H9" s="360"/>
      <c r="I9" s="360"/>
      <c r="J9" s="361"/>
    </row>
    <row r="10" spans="1:10" ht="13.5" thickBot="1">
      <c r="A10" s="359"/>
      <c r="B10" s="360" t="s">
        <v>263</v>
      </c>
      <c r="C10" s="360"/>
      <c r="D10" s="360"/>
      <c r="E10" s="360"/>
      <c r="F10" s="360"/>
      <c r="G10" s="360"/>
      <c r="H10" s="360"/>
      <c r="I10" s="362" t="s">
        <v>211</v>
      </c>
      <c r="J10" s="363">
        <v>1.4029987187133832</v>
      </c>
    </row>
    <row r="11" spans="1:10" ht="13.5" thickBot="1">
      <c r="A11" s="359"/>
      <c r="B11" s="360" t="s">
        <v>264</v>
      </c>
      <c r="C11" s="360"/>
      <c r="D11" s="360"/>
      <c r="E11" s="360"/>
      <c r="F11" s="360"/>
      <c r="G11" s="360"/>
      <c r="H11" s="360"/>
      <c r="I11" s="362" t="s">
        <v>211</v>
      </c>
      <c r="J11" s="363">
        <v>1.3519277073511313</v>
      </c>
    </row>
    <row r="12" spans="1:10" ht="13.5" thickBot="1">
      <c r="A12" s="359"/>
      <c r="B12" s="360" t="s">
        <v>265</v>
      </c>
      <c r="C12" s="360"/>
      <c r="D12" s="360"/>
      <c r="E12" s="360"/>
      <c r="F12" s="360"/>
      <c r="G12" s="360"/>
      <c r="H12" s="360"/>
      <c r="I12" s="362" t="s">
        <v>211</v>
      </c>
      <c r="J12" s="363">
        <v>1.2742828526095011</v>
      </c>
    </row>
    <row r="13" spans="1:10" ht="13.5" thickBot="1">
      <c r="A13" s="359"/>
      <c r="B13" s="360" t="s">
        <v>266</v>
      </c>
      <c r="C13" s="360"/>
      <c r="D13" s="360"/>
      <c r="E13" s="360"/>
      <c r="F13" s="360"/>
      <c r="G13" s="360"/>
      <c r="H13" s="360"/>
      <c r="I13" s="362" t="s">
        <v>211</v>
      </c>
      <c r="J13" s="363">
        <v>1.1967469699765447</v>
      </c>
    </row>
    <row r="14" spans="1:10" ht="13.5" thickBot="1">
      <c r="A14" s="359"/>
      <c r="B14" s="360" t="s">
        <v>267</v>
      </c>
      <c r="C14" s="360"/>
      <c r="D14" s="360"/>
      <c r="E14" s="360"/>
      <c r="F14" s="360"/>
      <c r="G14" s="360"/>
      <c r="H14" s="360"/>
      <c r="I14" s="362" t="s">
        <v>211</v>
      </c>
      <c r="J14" s="363">
        <v>1.1379414362381366</v>
      </c>
    </row>
    <row r="15" spans="1:10" ht="13.5" thickBot="1">
      <c r="A15" s="359"/>
      <c r="B15" s="360" t="s">
        <v>268</v>
      </c>
      <c r="C15" s="360"/>
      <c r="D15" s="360"/>
      <c r="E15" s="360"/>
      <c r="F15" s="360"/>
      <c r="G15" s="360"/>
      <c r="H15" s="360"/>
      <c r="I15" s="362" t="s">
        <v>211</v>
      </c>
      <c r="J15" s="363">
        <v>1.10554605113744</v>
      </c>
    </row>
    <row r="16" spans="1:10" ht="13.5" thickBot="1">
      <c r="A16" s="359"/>
      <c r="B16" s="360" t="s">
        <v>269</v>
      </c>
      <c r="C16" s="360"/>
      <c r="D16" s="360"/>
      <c r="E16" s="360"/>
      <c r="F16" s="360"/>
      <c r="G16" s="360"/>
      <c r="H16" s="360"/>
      <c r="I16" s="362" t="s">
        <v>211</v>
      </c>
      <c r="J16" s="363">
        <v>1.028</v>
      </c>
    </row>
    <row r="17" spans="1:10" ht="12.75">
      <c r="A17" s="359"/>
      <c r="B17" s="360"/>
      <c r="C17" s="360"/>
      <c r="D17" s="360"/>
      <c r="E17" s="360"/>
      <c r="F17" s="360"/>
      <c r="G17" s="360"/>
      <c r="H17" s="360"/>
      <c r="I17" s="362"/>
      <c r="J17" s="750"/>
    </row>
    <row r="18" spans="1:38" s="209" customFormat="1" ht="13.5" thickBot="1">
      <c r="A18" s="359" t="s">
        <v>278</v>
      </c>
      <c r="B18" s="360"/>
      <c r="C18" s="360"/>
      <c r="D18" s="360"/>
      <c r="E18" s="360"/>
      <c r="F18" s="360"/>
      <c r="G18" s="362"/>
      <c r="H18" s="211"/>
      <c r="I18" s="374"/>
      <c r="J18" s="751"/>
      <c r="K18" s="297"/>
      <c r="L18" s="297"/>
      <c r="M18" s="297"/>
      <c r="N18" s="297"/>
      <c r="O18" s="297"/>
      <c r="P18" s="297"/>
      <c r="Q18" s="297"/>
      <c r="S18" s="297"/>
      <c r="T18" s="297"/>
      <c r="U18" s="297"/>
      <c r="V18" s="297"/>
      <c r="W18" s="297"/>
      <c r="X18" s="297"/>
      <c r="Y18" s="297"/>
      <c r="Z18" s="297"/>
      <c r="AA18" s="297"/>
      <c r="AB18" s="297"/>
      <c r="AC18" s="297"/>
      <c r="AD18" s="297"/>
      <c r="AE18" s="297"/>
      <c r="AF18" s="297"/>
      <c r="AG18" s="297"/>
      <c r="AH18" s="297"/>
      <c r="AI18" s="297"/>
      <c r="AJ18" s="297"/>
      <c r="AK18" s="297"/>
      <c r="AL18" s="297"/>
    </row>
    <row r="19" spans="1:38" s="209" customFormat="1" ht="13.5" thickBot="1">
      <c r="A19" s="359"/>
      <c r="B19" s="373" t="s">
        <v>273</v>
      </c>
      <c r="C19" s="360"/>
      <c r="D19" s="360"/>
      <c r="E19" s="360"/>
      <c r="F19" s="360"/>
      <c r="G19" s="211"/>
      <c r="H19" s="211"/>
      <c r="I19" s="362" t="s">
        <v>211</v>
      </c>
      <c r="J19" s="752">
        <v>0.5742175448524237</v>
      </c>
      <c r="K19" s="753"/>
      <c r="L19" s="297"/>
      <c r="M19" s="297"/>
      <c r="N19" s="297"/>
      <c r="O19" s="297"/>
      <c r="P19" s="297"/>
      <c r="Q19" s="297"/>
      <c r="S19" s="297"/>
      <c r="T19" s="297"/>
      <c r="U19" s="297"/>
      <c r="V19" s="297"/>
      <c r="W19" s="297"/>
      <c r="X19" s="297"/>
      <c r="Y19" s="297"/>
      <c r="Z19" s="297"/>
      <c r="AA19" s="297"/>
      <c r="AB19" s="297"/>
      <c r="AC19" s="297"/>
      <c r="AD19" s="297"/>
      <c r="AE19" s="297"/>
      <c r="AF19" s="297"/>
      <c r="AG19" s="297"/>
      <c r="AH19" s="297"/>
      <c r="AI19" s="297"/>
      <c r="AJ19" s="297"/>
      <c r="AK19" s="297"/>
      <c r="AL19" s="297"/>
    </row>
    <row r="20" spans="1:38" s="209" customFormat="1" ht="13.5" thickBot="1">
      <c r="A20" s="359"/>
      <c r="B20" s="372" t="s">
        <v>274</v>
      </c>
      <c r="C20" s="360"/>
      <c r="D20" s="360"/>
      <c r="E20" s="360"/>
      <c r="F20" s="360"/>
      <c r="G20" s="211"/>
      <c r="H20" s="211"/>
      <c r="I20" s="362" t="s">
        <v>211</v>
      </c>
      <c r="J20" s="752">
        <v>0.4257824551475763</v>
      </c>
      <c r="K20" s="753"/>
      <c r="L20" s="297"/>
      <c r="M20" s="297"/>
      <c r="N20" s="297"/>
      <c r="O20" s="297"/>
      <c r="P20" s="297"/>
      <c r="Q20" s="297"/>
      <c r="S20" s="297"/>
      <c r="T20" s="297"/>
      <c r="U20" s="297"/>
      <c r="V20" s="297"/>
      <c r="W20" s="297"/>
      <c r="X20" s="297"/>
      <c r="Y20" s="297"/>
      <c r="Z20" s="297"/>
      <c r="AA20" s="297"/>
      <c r="AB20" s="297"/>
      <c r="AC20" s="297"/>
      <c r="AD20" s="297"/>
      <c r="AE20" s="297"/>
      <c r="AF20" s="297"/>
      <c r="AG20" s="297"/>
      <c r="AH20" s="297"/>
      <c r="AI20" s="297"/>
      <c r="AJ20" s="297"/>
      <c r="AK20" s="297"/>
      <c r="AL20" s="297"/>
    </row>
    <row r="21" spans="1:37" s="209" customFormat="1" ht="13.5" thickBot="1">
      <c r="A21" s="359"/>
      <c r="B21" s="211"/>
      <c r="C21" s="372" t="s">
        <v>292</v>
      </c>
      <c r="D21" s="360"/>
      <c r="E21" s="360"/>
      <c r="F21" s="360"/>
      <c r="G21" s="211"/>
      <c r="H21" s="211"/>
      <c r="I21" s="362" t="s">
        <v>211</v>
      </c>
      <c r="J21" s="752">
        <v>0.254223915709745</v>
      </c>
      <c r="K21" s="297"/>
      <c r="L21" s="754">
        <f>119098.82*J14*J36</f>
        <v>64302.003163979694</v>
      </c>
      <c r="M21" s="755" t="s">
        <v>303</v>
      </c>
      <c r="N21" s="756"/>
      <c r="O21" s="756"/>
      <c r="P21" s="757"/>
      <c r="R21" s="297"/>
      <c r="S21" s="297"/>
      <c r="T21" s="297"/>
      <c r="U21" s="297"/>
      <c r="V21" s="297"/>
      <c r="W21" s="297"/>
      <c r="X21" s="297"/>
      <c r="Y21" s="297"/>
      <c r="Z21" s="297"/>
      <c r="AA21" s="297"/>
      <c r="AB21" s="297"/>
      <c r="AC21" s="297"/>
      <c r="AD21" s="297"/>
      <c r="AE21" s="297"/>
      <c r="AF21" s="297"/>
      <c r="AG21" s="297"/>
      <c r="AH21" s="297"/>
      <c r="AI21" s="297"/>
      <c r="AJ21" s="297"/>
      <c r="AK21" s="297"/>
    </row>
    <row r="22" spans="1:37" s="209" customFormat="1" ht="13.5" thickBot="1">
      <c r="A22" s="359"/>
      <c r="B22" s="211"/>
      <c r="C22" s="372" t="s">
        <v>294</v>
      </c>
      <c r="D22" s="360"/>
      <c r="E22" s="360"/>
      <c r="F22" s="360"/>
      <c r="G22" s="211"/>
      <c r="H22" s="211"/>
      <c r="I22" s="362" t="s">
        <v>211</v>
      </c>
      <c r="J22" s="752">
        <v>0.1671865375228218</v>
      </c>
      <c r="K22" s="297"/>
      <c r="L22" s="758">
        <f>78323.55*J14</f>
        <v>89127.6129782695</v>
      </c>
      <c r="M22" s="385" t="s">
        <v>303</v>
      </c>
      <c r="N22" s="253"/>
      <c r="O22" s="253"/>
      <c r="P22" s="506"/>
      <c r="R22" s="297"/>
      <c r="S22" s="297"/>
      <c r="T22" s="297"/>
      <c r="U22" s="297"/>
      <c r="V22" s="297"/>
      <c r="W22" s="297"/>
      <c r="X22" s="297"/>
      <c r="Y22" s="297"/>
      <c r="Z22" s="297"/>
      <c r="AA22" s="297"/>
      <c r="AB22" s="297"/>
      <c r="AC22" s="297"/>
      <c r="AD22" s="297"/>
      <c r="AE22" s="297"/>
      <c r="AF22" s="297"/>
      <c r="AG22" s="297"/>
      <c r="AH22" s="297"/>
      <c r="AI22" s="297"/>
      <c r="AJ22" s="297"/>
      <c r="AK22" s="297"/>
    </row>
    <row r="23" spans="1:37" s="209" customFormat="1" ht="13.5" thickBot="1">
      <c r="A23" s="359"/>
      <c r="B23" s="211"/>
      <c r="C23" s="372" t="s">
        <v>295</v>
      </c>
      <c r="D23" s="360"/>
      <c r="E23" s="360"/>
      <c r="F23" s="360"/>
      <c r="G23" s="211"/>
      <c r="H23" s="211"/>
      <c r="I23" s="362" t="s">
        <v>211</v>
      </c>
      <c r="J23" s="752">
        <v>0.004372001915009326</v>
      </c>
      <c r="K23" s="759"/>
      <c r="L23" s="760">
        <f>2048.2*J14</f>
        <v>2330.731649702951</v>
      </c>
      <c r="M23" s="761" t="s">
        <v>303</v>
      </c>
      <c r="N23" s="690"/>
      <c r="O23" s="690"/>
      <c r="P23" s="496"/>
      <c r="R23" s="297"/>
      <c r="S23" s="297"/>
      <c r="T23" s="297"/>
      <c r="U23" s="297"/>
      <c r="V23" s="297"/>
      <c r="W23" s="297"/>
      <c r="X23" s="297"/>
      <c r="Y23" s="297"/>
      <c r="Z23" s="297"/>
      <c r="AA23" s="297"/>
      <c r="AB23" s="297"/>
      <c r="AC23" s="297"/>
      <c r="AD23" s="297"/>
      <c r="AE23" s="297"/>
      <c r="AF23" s="297"/>
      <c r="AG23" s="297"/>
      <c r="AH23" s="297"/>
      <c r="AI23" s="297"/>
      <c r="AJ23" s="297"/>
      <c r="AK23" s="297"/>
    </row>
    <row r="24" spans="1:38" s="209" customFormat="1" ht="13.5" thickBot="1">
      <c r="A24" s="359"/>
      <c r="B24" s="360"/>
      <c r="C24" s="360"/>
      <c r="D24" s="360"/>
      <c r="E24" s="360"/>
      <c r="F24" s="360"/>
      <c r="G24" s="211"/>
      <c r="H24" s="211"/>
      <c r="I24" s="362"/>
      <c r="J24" s="364"/>
      <c r="L24" s="297"/>
      <c r="M24" s="297"/>
      <c r="N24" s="297"/>
      <c r="O24" s="297"/>
      <c r="P24" s="297"/>
      <c r="Q24" s="297"/>
      <c r="S24" s="297"/>
      <c r="T24" s="297"/>
      <c r="U24" s="297"/>
      <c r="V24" s="297"/>
      <c r="W24" s="297"/>
      <c r="X24" s="297"/>
      <c r="Y24" s="297"/>
      <c r="Z24" s="297"/>
      <c r="AA24" s="297"/>
      <c r="AB24" s="297"/>
      <c r="AC24" s="297"/>
      <c r="AD24" s="297"/>
      <c r="AE24" s="297"/>
      <c r="AF24" s="297"/>
      <c r="AG24" s="297"/>
      <c r="AH24" s="297"/>
      <c r="AI24" s="297"/>
      <c r="AJ24" s="297"/>
      <c r="AK24" s="297"/>
      <c r="AL24" s="297"/>
    </row>
    <row r="25" spans="1:38" s="209" customFormat="1" ht="14.25" customHeight="1" thickBot="1">
      <c r="A25" s="359" t="s">
        <v>279</v>
      </c>
      <c r="B25" s="386"/>
      <c r="C25" s="211"/>
      <c r="D25" s="253"/>
      <c r="E25" s="211"/>
      <c r="F25" s="211"/>
      <c r="G25" s="211"/>
      <c r="H25" s="211"/>
      <c r="I25" s="387" t="s">
        <v>211</v>
      </c>
      <c r="J25" s="762">
        <f>'ERR &amp; Sensitivity Analysis'!G15</f>
        <v>0.1</v>
      </c>
      <c r="K25" s="297"/>
      <c r="L25" s="297"/>
      <c r="M25" s="297"/>
      <c r="N25" s="297"/>
      <c r="O25" s="297"/>
      <c r="P25" s="297"/>
      <c r="Q25" s="297"/>
      <c r="S25" s="297"/>
      <c r="T25" s="297"/>
      <c r="U25" s="297"/>
      <c r="V25" s="297"/>
      <c r="W25" s="297"/>
      <c r="X25" s="297"/>
      <c r="Y25" s="297"/>
      <c r="Z25" s="297"/>
      <c r="AA25" s="297"/>
      <c r="AB25" s="297"/>
      <c r="AC25" s="297"/>
      <c r="AD25" s="297"/>
      <c r="AE25" s="297"/>
      <c r="AF25" s="297"/>
      <c r="AG25" s="297"/>
      <c r="AH25" s="297"/>
      <c r="AI25" s="297"/>
      <c r="AJ25" s="297"/>
      <c r="AK25" s="297"/>
      <c r="AL25" s="297"/>
    </row>
    <row r="26" spans="1:38" s="209" customFormat="1" ht="12.75">
      <c r="A26" s="312" t="s">
        <v>526</v>
      </c>
      <c r="B26" s="386"/>
      <c r="C26" s="211"/>
      <c r="D26" s="253"/>
      <c r="E26" s="211"/>
      <c r="F26" s="211"/>
      <c r="G26" s="211"/>
      <c r="H26" s="211"/>
      <c r="I26" s="387" t="s">
        <v>217</v>
      </c>
      <c r="J26" s="763">
        <v>465000</v>
      </c>
      <c r="K26" s="764"/>
      <c r="L26" s="765"/>
      <c r="M26" s="297"/>
      <c r="N26" s="297"/>
      <c r="O26" s="297"/>
      <c r="P26" s="297"/>
      <c r="Q26" s="297"/>
      <c r="S26" s="297"/>
      <c r="T26" s="297"/>
      <c r="U26" s="297"/>
      <c r="V26" s="297"/>
      <c r="W26" s="297"/>
      <c r="X26" s="297"/>
      <c r="Y26" s="297"/>
      <c r="Z26" s="297"/>
      <c r="AA26" s="297"/>
      <c r="AB26" s="297"/>
      <c r="AC26" s="297"/>
      <c r="AD26" s="297"/>
      <c r="AE26" s="297"/>
      <c r="AF26" s="297"/>
      <c r="AG26" s="297"/>
      <c r="AH26" s="297"/>
      <c r="AI26" s="297"/>
      <c r="AJ26" s="297"/>
      <c r="AK26" s="297"/>
      <c r="AL26" s="297"/>
    </row>
    <row r="27" spans="1:38" s="209" customFormat="1" ht="12.75">
      <c r="A27" s="450"/>
      <c r="B27" s="385" t="s">
        <v>527</v>
      </c>
      <c r="C27" s="211"/>
      <c r="D27" s="253"/>
      <c r="E27" s="211"/>
      <c r="F27" s="211"/>
      <c r="G27" s="211"/>
      <c r="H27" s="211"/>
      <c r="I27" s="387" t="s">
        <v>530</v>
      </c>
      <c r="J27" s="763">
        <v>429093.4593237856</v>
      </c>
      <c r="K27" s="764"/>
      <c r="L27" s="765"/>
      <c r="M27" s="297"/>
      <c r="N27" s="297"/>
      <c r="O27" s="297"/>
      <c r="P27" s="297"/>
      <c r="Q27" s="297"/>
      <c r="S27" s="297"/>
      <c r="T27" s="297"/>
      <c r="U27" s="297"/>
      <c r="V27" s="297"/>
      <c r="W27" s="297"/>
      <c r="X27" s="297"/>
      <c r="Y27" s="297"/>
      <c r="Z27" s="297"/>
      <c r="AA27" s="297"/>
      <c r="AB27" s="297"/>
      <c r="AC27" s="297"/>
      <c r="AD27" s="297"/>
      <c r="AE27" s="297"/>
      <c r="AF27" s="297"/>
      <c r="AG27" s="297"/>
      <c r="AH27" s="297"/>
      <c r="AI27" s="297"/>
      <c r="AJ27" s="297"/>
      <c r="AK27" s="297"/>
      <c r="AL27" s="297"/>
    </row>
    <row r="28" spans="1:38" s="209" customFormat="1" ht="12.75">
      <c r="A28" s="312"/>
      <c r="B28" s="385" t="s">
        <v>528</v>
      </c>
      <c r="C28" s="211"/>
      <c r="D28" s="253"/>
      <c r="E28" s="211"/>
      <c r="F28" s="211"/>
      <c r="G28" s="211"/>
      <c r="H28" s="211"/>
      <c r="I28" s="387" t="s">
        <v>530</v>
      </c>
      <c r="J28" s="763">
        <v>411403.1249508971</v>
      </c>
      <c r="K28" s="764"/>
      <c r="L28" s="765"/>
      <c r="M28" s="297"/>
      <c r="N28" s="297"/>
      <c r="O28" s="297"/>
      <c r="P28" s="297"/>
      <c r="Q28" s="297"/>
      <c r="S28" s="297"/>
      <c r="T28" s="297"/>
      <c r="U28" s="297"/>
      <c r="V28" s="297"/>
      <c r="W28" s="297"/>
      <c r="X28" s="297"/>
      <c r="Y28" s="297"/>
      <c r="Z28" s="297"/>
      <c r="AA28" s="297"/>
      <c r="AB28" s="297"/>
      <c r="AC28" s="297"/>
      <c r="AD28" s="297"/>
      <c r="AE28" s="297"/>
      <c r="AF28" s="297"/>
      <c r="AG28" s="297"/>
      <c r="AH28" s="297"/>
      <c r="AI28" s="297"/>
      <c r="AJ28" s="297"/>
      <c r="AK28" s="297"/>
      <c r="AL28" s="297"/>
    </row>
    <row r="29" spans="1:38" s="209" customFormat="1" ht="12.75">
      <c r="A29" s="312"/>
      <c r="B29" s="385" t="s">
        <v>529</v>
      </c>
      <c r="C29" s="211"/>
      <c r="D29" s="253"/>
      <c r="E29" s="211"/>
      <c r="F29" s="211"/>
      <c r="G29" s="211"/>
      <c r="H29" s="211"/>
      <c r="I29" s="387" t="s">
        <v>530</v>
      </c>
      <c r="J29" s="763">
        <v>394064.2959299781</v>
      </c>
      <c r="K29" s="764"/>
      <c r="L29" s="765"/>
      <c r="M29" s="297"/>
      <c r="N29" s="297"/>
      <c r="O29" s="297"/>
      <c r="P29" s="297"/>
      <c r="Q29" s="297"/>
      <c r="S29" s="297"/>
      <c r="T29" s="297"/>
      <c r="U29" s="297"/>
      <c r="V29" s="297"/>
      <c r="W29" s="297"/>
      <c r="X29" s="297"/>
      <c r="Y29" s="297"/>
      <c r="Z29" s="297"/>
      <c r="AA29" s="297"/>
      <c r="AB29" s="297"/>
      <c r="AC29" s="297"/>
      <c r="AD29" s="297"/>
      <c r="AE29" s="297"/>
      <c r="AF29" s="297"/>
      <c r="AG29" s="297"/>
      <c r="AH29" s="297"/>
      <c r="AI29" s="297"/>
      <c r="AJ29" s="297"/>
      <c r="AK29" s="297"/>
      <c r="AL29" s="297"/>
    </row>
    <row r="30" spans="1:38" s="209" customFormat="1" ht="12.75">
      <c r="A30" s="312" t="s">
        <v>271</v>
      </c>
      <c r="B30" s="386"/>
      <c r="C30" s="211"/>
      <c r="D30" s="253"/>
      <c r="E30" s="211"/>
      <c r="F30" s="211"/>
      <c r="G30" s="211"/>
      <c r="H30" s="211"/>
      <c r="I30" s="387" t="s">
        <v>215</v>
      </c>
      <c r="J30" s="476">
        <v>7222</v>
      </c>
      <c r="L30" s="297"/>
      <c r="M30" s="297"/>
      <c r="N30" s="297"/>
      <c r="O30" s="297"/>
      <c r="P30" s="297"/>
      <c r="Q30" s="297"/>
      <c r="S30" s="297"/>
      <c r="T30" s="297"/>
      <c r="U30" s="297"/>
      <c r="V30" s="297"/>
      <c r="W30" s="297"/>
      <c r="X30" s="297"/>
      <c r="Y30" s="297"/>
      <c r="Z30" s="297"/>
      <c r="AA30" s="297"/>
      <c r="AB30" s="297"/>
      <c r="AC30" s="297"/>
      <c r="AD30" s="297"/>
      <c r="AE30" s="297"/>
      <c r="AF30" s="297"/>
      <c r="AG30" s="297"/>
      <c r="AH30" s="297"/>
      <c r="AI30" s="297"/>
      <c r="AJ30" s="297"/>
      <c r="AK30" s="297"/>
      <c r="AL30" s="297"/>
    </row>
    <row r="31" spans="1:38" s="209" customFormat="1" ht="12.75">
      <c r="A31" s="312" t="s">
        <v>283</v>
      </c>
      <c r="B31" s="386"/>
      <c r="C31" s="211"/>
      <c r="D31" s="253"/>
      <c r="E31" s="211"/>
      <c r="F31" s="211"/>
      <c r="G31" s="211"/>
      <c r="H31" s="211"/>
      <c r="I31" s="387" t="s">
        <v>215</v>
      </c>
      <c r="J31" s="476">
        <v>3358</v>
      </c>
      <c r="K31" s="297"/>
      <c r="L31" s="297"/>
      <c r="M31" s="297"/>
      <c r="N31" s="297"/>
      <c r="O31" s="297"/>
      <c r="P31" s="297"/>
      <c r="Q31" s="297"/>
      <c r="S31" s="297"/>
      <c r="T31" s="297"/>
      <c r="U31" s="297"/>
      <c r="V31" s="297"/>
      <c r="W31" s="297"/>
      <c r="X31" s="297"/>
      <c r="Y31" s="297"/>
      <c r="Z31" s="297"/>
      <c r="AA31" s="297"/>
      <c r="AB31" s="297"/>
      <c r="AC31" s="297"/>
      <c r="AD31" s="297"/>
      <c r="AE31" s="297"/>
      <c r="AF31" s="297"/>
      <c r="AG31" s="297"/>
      <c r="AH31" s="297"/>
      <c r="AI31" s="297"/>
      <c r="AJ31" s="297"/>
      <c r="AK31" s="297"/>
      <c r="AL31" s="297"/>
    </row>
    <row r="32" spans="1:38" s="209" customFormat="1" ht="12.75">
      <c r="A32" s="312" t="s">
        <v>272</v>
      </c>
      <c r="B32" s="386"/>
      <c r="C32" s="211"/>
      <c r="D32" s="253"/>
      <c r="E32" s="211"/>
      <c r="F32" s="211"/>
      <c r="G32" s="211"/>
      <c r="H32" s="211"/>
      <c r="I32" s="387" t="s">
        <v>211</v>
      </c>
      <c r="J32" s="766">
        <v>0.96</v>
      </c>
      <c r="K32" s="220"/>
      <c r="L32" s="297"/>
      <c r="M32" s="297"/>
      <c r="N32" s="297"/>
      <c r="O32" s="297"/>
      <c r="P32" s="297"/>
      <c r="Q32" s="297"/>
      <c r="S32" s="297"/>
      <c r="T32" s="297"/>
      <c r="U32" s="297"/>
      <c r="V32" s="297"/>
      <c r="W32" s="297"/>
      <c r="X32" s="297"/>
      <c r="Y32" s="297"/>
      <c r="Z32" s="297"/>
      <c r="AA32" s="297"/>
      <c r="AB32" s="297"/>
      <c r="AC32" s="297"/>
      <c r="AD32" s="297"/>
      <c r="AE32" s="297"/>
      <c r="AF32" s="297"/>
      <c r="AG32" s="297"/>
      <c r="AH32" s="297"/>
      <c r="AI32" s="297"/>
      <c r="AJ32" s="297"/>
      <c r="AK32" s="297"/>
      <c r="AL32" s="297"/>
    </row>
    <row r="33" spans="1:38" s="209" customFormat="1" ht="12.75">
      <c r="A33" s="312" t="s">
        <v>277</v>
      </c>
      <c r="B33" s="386"/>
      <c r="C33" s="211"/>
      <c r="D33" s="253"/>
      <c r="E33" s="211"/>
      <c r="F33" s="211"/>
      <c r="G33" s="211"/>
      <c r="H33" s="211"/>
      <c r="I33" s="387" t="s">
        <v>215</v>
      </c>
      <c r="J33" s="476">
        <v>3223.68</v>
      </c>
      <c r="K33" s="297"/>
      <c r="L33" s="297"/>
      <c r="M33" s="297"/>
      <c r="N33" s="297"/>
      <c r="O33" s="297"/>
      <c r="P33" s="297"/>
      <c r="Q33" s="297"/>
      <c r="S33" s="297"/>
      <c r="T33" s="297"/>
      <c r="U33" s="297"/>
      <c r="V33" s="297"/>
      <c r="W33" s="297"/>
      <c r="X33" s="297"/>
      <c r="Y33" s="297"/>
      <c r="Z33" s="297"/>
      <c r="AA33" s="297"/>
      <c r="AB33" s="297"/>
      <c r="AC33" s="297"/>
      <c r="AD33" s="297"/>
      <c r="AE33" s="297"/>
      <c r="AF33" s="297"/>
      <c r="AG33" s="297"/>
      <c r="AH33" s="297"/>
      <c r="AI33" s="297"/>
      <c r="AJ33" s="297"/>
      <c r="AK33" s="297"/>
      <c r="AL33" s="297"/>
    </row>
    <row r="34" spans="1:38" s="209" customFormat="1" ht="12.75">
      <c r="A34" s="312" t="s">
        <v>280</v>
      </c>
      <c r="B34" s="386"/>
      <c r="C34" s="211"/>
      <c r="D34" s="253"/>
      <c r="E34" s="211"/>
      <c r="F34" s="211"/>
      <c r="G34" s="211"/>
      <c r="H34" s="211"/>
      <c r="I34" s="387"/>
      <c r="J34" s="767">
        <v>0.98</v>
      </c>
      <c r="L34" s="297"/>
      <c r="M34" s="297"/>
      <c r="N34" s="297"/>
      <c r="O34" s="297"/>
      <c r="P34" s="297"/>
      <c r="Q34" s="297"/>
      <c r="S34" s="297"/>
      <c r="T34" s="297"/>
      <c r="U34" s="297"/>
      <c r="V34" s="297"/>
      <c r="W34" s="297"/>
      <c r="X34" s="297"/>
      <c r="Y34" s="297"/>
      <c r="Z34" s="297"/>
      <c r="AA34" s="297"/>
      <c r="AB34" s="297"/>
      <c r="AC34" s="297"/>
      <c r="AD34" s="297"/>
      <c r="AE34" s="297"/>
      <c r="AF34" s="297"/>
      <c r="AG34" s="297"/>
      <c r="AH34" s="297"/>
      <c r="AI34" s="297"/>
      <c r="AJ34" s="297"/>
      <c r="AK34" s="297"/>
      <c r="AL34" s="297"/>
    </row>
    <row r="35" spans="1:38" s="209" customFormat="1" ht="12.75">
      <c r="A35" s="312" t="s">
        <v>281</v>
      </c>
      <c r="B35" s="386"/>
      <c r="C35" s="211"/>
      <c r="D35" s="253"/>
      <c r="E35" s="211"/>
      <c r="F35" s="211"/>
      <c r="G35" s="211"/>
      <c r="H35" s="211"/>
      <c r="I35" s="387"/>
      <c r="J35" s="476">
        <v>7077.5599999999995</v>
      </c>
      <c r="K35" s="220"/>
      <c r="L35" s="297"/>
      <c r="M35" s="297"/>
      <c r="N35" s="297"/>
      <c r="O35" s="297"/>
      <c r="P35" s="297"/>
      <c r="Q35" s="297"/>
      <c r="S35" s="297"/>
      <c r="T35" s="297"/>
      <c r="U35" s="297"/>
      <c r="V35" s="297"/>
      <c r="W35" s="297"/>
      <c r="X35" s="297"/>
      <c r="Y35" s="297"/>
      <c r="Z35" s="297"/>
      <c r="AA35" s="297"/>
      <c r="AB35" s="297"/>
      <c r="AC35" s="297"/>
      <c r="AD35" s="297"/>
      <c r="AE35" s="297"/>
      <c r="AF35" s="297"/>
      <c r="AG35" s="297"/>
      <c r="AH35" s="297"/>
      <c r="AI35" s="297"/>
      <c r="AJ35" s="297"/>
      <c r="AK35" s="297"/>
      <c r="AL35" s="297"/>
    </row>
    <row r="36" spans="1:38" s="209" customFormat="1" ht="12.75">
      <c r="A36" s="312" t="s">
        <v>282</v>
      </c>
      <c r="B36" s="386"/>
      <c r="C36" s="211"/>
      <c r="D36" s="253"/>
      <c r="E36" s="211"/>
      <c r="F36" s="211"/>
      <c r="G36" s="211"/>
      <c r="H36" s="211"/>
      <c r="I36" s="387"/>
      <c r="J36" s="768">
        <v>0.47445729884310417</v>
      </c>
      <c r="K36" s="220"/>
      <c r="L36" s="297"/>
      <c r="M36" s="297"/>
      <c r="N36" s="297"/>
      <c r="O36" s="297"/>
      <c r="P36" s="297"/>
      <c r="Q36" s="297"/>
      <c r="S36" s="297"/>
      <c r="T36" s="297"/>
      <c r="U36" s="297"/>
      <c r="V36" s="297"/>
      <c r="W36" s="297"/>
      <c r="X36" s="297"/>
      <c r="Y36" s="297"/>
      <c r="Z36" s="297"/>
      <c r="AA36" s="297"/>
      <c r="AB36" s="297"/>
      <c r="AC36" s="297"/>
      <c r="AD36" s="297"/>
      <c r="AE36" s="297"/>
      <c r="AF36" s="297"/>
      <c r="AG36" s="297"/>
      <c r="AH36" s="297"/>
      <c r="AI36" s="297"/>
      <c r="AJ36" s="297"/>
      <c r="AK36" s="297"/>
      <c r="AL36" s="297"/>
    </row>
    <row r="37" spans="1:38" s="209" customFormat="1" ht="12.75">
      <c r="A37" s="312"/>
      <c r="B37" s="386"/>
      <c r="C37" s="211"/>
      <c r="D37" s="253"/>
      <c r="E37" s="211"/>
      <c r="F37" s="211"/>
      <c r="G37" s="211"/>
      <c r="H37" s="211"/>
      <c r="I37" s="387"/>
      <c r="J37" s="768"/>
      <c r="K37" s="220"/>
      <c r="L37" s="297"/>
      <c r="M37" s="297"/>
      <c r="N37" s="297"/>
      <c r="O37" s="297"/>
      <c r="P37" s="297"/>
      <c r="Q37" s="297"/>
      <c r="S37" s="297"/>
      <c r="T37" s="297"/>
      <c r="U37" s="297"/>
      <c r="V37" s="297"/>
      <c r="W37" s="297"/>
      <c r="X37" s="297"/>
      <c r="Y37" s="297"/>
      <c r="Z37" s="297"/>
      <c r="AA37" s="297"/>
      <c r="AB37" s="297"/>
      <c r="AC37" s="297"/>
      <c r="AD37" s="297"/>
      <c r="AE37" s="297"/>
      <c r="AF37" s="297"/>
      <c r="AG37" s="297"/>
      <c r="AH37" s="297"/>
      <c r="AI37" s="297"/>
      <c r="AJ37" s="297"/>
      <c r="AK37" s="297"/>
      <c r="AL37" s="297"/>
    </row>
    <row r="38" spans="1:38" s="209" customFormat="1" ht="12.75">
      <c r="A38" s="632" t="s">
        <v>348</v>
      </c>
      <c r="B38" s="211"/>
      <c r="C38" s="211"/>
      <c r="D38" s="253"/>
      <c r="E38" s="211"/>
      <c r="F38" s="211"/>
      <c r="G38" s="211"/>
      <c r="H38" s="211"/>
      <c r="I38" s="362" t="s">
        <v>215</v>
      </c>
      <c r="J38" s="769">
        <v>5</v>
      </c>
      <c r="K38" s="220"/>
      <c r="L38" s="297"/>
      <c r="M38" s="297"/>
      <c r="N38" s="297"/>
      <c r="O38" s="297"/>
      <c r="P38" s="297"/>
      <c r="Q38" s="297"/>
      <c r="S38" s="297"/>
      <c r="T38" s="297"/>
      <c r="U38" s="297"/>
      <c r="V38" s="297"/>
      <c r="W38" s="297"/>
      <c r="X38" s="297"/>
      <c r="Y38" s="297"/>
      <c r="Z38" s="297"/>
      <c r="AA38" s="297"/>
      <c r="AB38" s="297"/>
      <c r="AC38" s="297"/>
      <c r="AD38" s="297"/>
      <c r="AE38" s="297"/>
      <c r="AF38" s="297"/>
      <c r="AG38" s="297"/>
      <c r="AH38" s="297"/>
      <c r="AI38" s="297"/>
      <c r="AJ38" s="297"/>
      <c r="AK38" s="297"/>
      <c r="AL38" s="297"/>
    </row>
    <row r="39" spans="1:38" s="209" customFormat="1" ht="12.75">
      <c r="A39" s="636" t="s">
        <v>467</v>
      </c>
      <c r="B39" s="211"/>
      <c r="C39" s="211"/>
      <c r="D39" s="253"/>
      <c r="E39" s="211"/>
      <c r="F39" s="211"/>
      <c r="G39" s="211"/>
      <c r="H39" s="211"/>
      <c r="I39" s="362" t="s">
        <v>435</v>
      </c>
      <c r="J39" s="769">
        <v>102.4147292614323</v>
      </c>
      <c r="K39" s="220"/>
      <c r="L39" s="297"/>
      <c r="M39" s="297"/>
      <c r="N39" s="297"/>
      <c r="O39" s="297"/>
      <c r="P39" s="297"/>
      <c r="Q39" s="297"/>
      <c r="S39" s="297"/>
      <c r="T39" s="297"/>
      <c r="U39" s="297"/>
      <c r="V39" s="297"/>
      <c r="W39" s="297"/>
      <c r="X39" s="297"/>
      <c r="Y39" s="297"/>
      <c r="Z39" s="297"/>
      <c r="AA39" s="297"/>
      <c r="AB39" s="297"/>
      <c r="AC39" s="297"/>
      <c r="AD39" s="297"/>
      <c r="AE39" s="297"/>
      <c r="AF39" s="297"/>
      <c r="AG39" s="297"/>
      <c r="AH39" s="297"/>
      <c r="AI39" s="297"/>
      <c r="AJ39" s="297"/>
      <c r="AK39" s="297"/>
      <c r="AL39" s="297"/>
    </row>
    <row r="40" spans="1:38" s="209" customFormat="1" ht="12.75">
      <c r="A40" s="632"/>
      <c r="B40" s="211"/>
      <c r="C40" s="211"/>
      <c r="D40" s="253"/>
      <c r="E40" s="211"/>
      <c r="F40" s="211"/>
      <c r="G40" s="211"/>
      <c r="H40" s="211"/>
      <c r="I40" s="362"/>
      <c r="J40" s="769"/>
      <c r="K40" s="220"/>
      <c r="L40" s="297"/>
      <c r="M40" s="297"/>
      <c r="N40" s="297"/>
      <c r="O40" s="297"/>
      <c r="P40" s="297"/>
      <c r="Q40" s="297"/>
      <c r="S40" s="297"/>
      <c r="T40" s="297"/>
      <c r="U40" s="297"/>
      <c r="V40" s="297"/>
      <c r="W40" s="297"/>
      <c r="X40" s="297"/>
      <c r="Y40" s="297"/>
      <c r="Z40" s="297"/>
      <c r="AA40" s="297"/>
      <c r="AB40" s="297"/>
      <c r="AC40" s="297"/>
      <c r="AD40" s="297"/>
      <c r="AE40" s="297"/>
      <c r="AF40" s="297"/>
      <c r="AG40" s="297"/>
      <c r="AH40" s="297"/>
      <c r="AI40" s="297"/>
      <c r="AJ40" s="297"/>
      <c r="AK40" s="297"/>
      <c r="AL40" s="297"/>
    </row>
    <row r="41" spans="1:38" s="209" customFormat="1" ht="12.75">
      <c r="A41" s="312"/>
      <c r="B41" s="386"/>
      <c r="C41" s="211"/>
      <c r="D41" s="253"/>
      <c r="E41" s="211"/>
      <c r="F41" s="211"/>
      <c r="G41" s="211"/>
      <c r="H41" s="211"/>
      <c r="I41" s="387"/>
      <c r="J41" s="476"/>
      <c r="K41" s="220"/>
      <c r="L41" s="297"/>
      <c r="M41" s="297"/>
      <c r="N41" s="297"/>
      <c r="O41" s="297"/>
      <c r="P41" s="297"/>
      <c r="Q41" s="297"/>
      <c r="S41" s="297"/>
      <c r="T41" s="297"/>
      <c r="U41" s="297"/>
      <c r="V41" s="297"/>
      <c r="W41" s="297"/>
      <c r="X41" s="297"/>
      <c r="Y41" s="297"/>
      <c r="Z41" s="297"/>
      <c r="AA41" s="297"/>
      <c r="AB41" s="297"/>
      <c r="AC41" s="297"/>
      <c r="AD41" s="297"/>
      <c r="AE41" s="297"/>
      <c r="AF41" s="297"/>
      <c r="AG41" s="297"/>
      <c r="AH41" s="297"/>
      <c r="AI41" s="297"/>
      <c r="AJ41" s="297"/>
      <c r="AK41" s="297"/>
      <c r="AL41" s="297"/>
    </row>
    <row r="42" spans="1:38" s="209" customFormat="1" ht="12.75">
      <c r="A42" s="312" t="s">
        <v>285</v>
      </c>
      <c r="B42" s="386"/>
      <c r="C42" s="211"/>
      <c r="D42" s="253"/>
      <c r="E42" s="253"/>
      <c r="F42" s="211"/>
      <c r="G42" s="211"/>
      <c r="H42" s="211"/>
      <c r="I42" s="253"/>
      <c r="J42" s="506"/>
      <c r="K42" s="297"/>
      <c r="L42" s="297"/>
      <c r="M42" s="297"/>
      <c r="N42" s="297"/>
      <c r="O42" s="297"/>
      <c r="P42" s="297"/>
      <c r="Q42" s="297"/>
      <c r="S42" s="297"/>
      <c r="T42" s="297"/>
      <c r="U42" s="297"/>
      <c r="V42" s="297"/>
      <c r="W42" s="297"/>
      <c r="X42" s="297"/>
      <c r="Y42" s="297"/>
      <c r="Z42" s="297"/>
      <c r="AA42" s="297"/>
      <c r="AB42" s="297"/>
      <c r="AC42" s="297"/>
      <c r="AD42" s="297"/>
      <c r="AE42" s="297"/>
      <c r="AF42" s="297"/>
      <c r="AG42" s="297"/>
      <c r="AH42" s="297"/>
      <c r="AI42" s="297"/>
      <c r="AJ42" s="297"/>
      <c r="AK42" s="297"/>
      <c r="AL42" s="297"/>
    </row>
    <row r="43" spans="1:38" s="209" customFormat="1" ht="12.75">
      <c r="A43" s="247"/>
      <c r="B43" s="253">
        <v>1</v>
      </c>
      <c r="C43" s="211"/>
      <c r="D43" s="253"/>
      <c r="E43" s="253"/>
      <c r="F43" s="211"/>
      <c r="G43" s="211"/>
      <c r="H43" s="211"/>
      <c r="I43" s="387" t="s">
        <v>270</v>
      </c>
      <c r="J43" s="506">
        <v>1220826485.393366</v>
      </c>
      <c r="K43" s="297"/>
      <c r="L43" s="297"/>
      <c r="M43" s="297"/>
      <c r="N43" s="297"/>
      <c r="O43" s="297"/>
      <c r="P43" s="297"/>
      <c r="Q43" s="297"/>
      <c r="S43" s="297"/>
      <c r="T43" s="297"/>
      <c r="U43" s="297"/>
      <c r="V43" s="297"/>
      <c r="W43" s="297"/>
      <c r="X43" s="297"/>
      <c r="Y43" s="297"/>
      <c r="Z43" s="297"/>
      <c r="AA43" s="297"/>
      <c r="AB43" s="297"/>
      <c r="AC43" s="297"/>
      <c r="AD43" s="297"/>
      <c r="AE43" s="297"/>
      <c r="AF43" s="297"/>
      <c r="AG43" s="297"/>
      <c r="AH43" s="297"/>
      <c r="AI43" s="297"/>
      <c r="AJ43" s="297"/>
      <c r="AK43" s="297"/>
      <c r="AL43" s="297"/>
    </row>
    <row r="44" spans="1:38" s="209" customFormat="1" ht="12.75">
      <c r="A44" s="247"/>
      <c r="B44" s="253">
        <v>2</v>
      </c>
      <c r="C44" s="211"/>
      <c r="D44" s="253"/>
      <c r="E44" s="253"/>
      <c r="F44" s="211"/>
      <c r="G44" s="211"/>
      <c r="H44" s="211"/>
      <c r="I44" s="387" t="s">
        <v>270</v>
      </c>
      <c r="J44" s="506">
        <v>5711658500</v>
      </c>
      <c r="K44" s="297"/>
      <c r="L44" s="297"/>
      <c r="M44" s="297"/>
      <c r="N44" s="297"/>
      <c r="AF44" s="297"/>
      <c r="AI44" s="297"/>
      <c r="AL44" s="297"/>
    </row>
    <row r="45" spans="1:38" s="209" customFormat="1" ht="12.75">
      <c r="A45" s="247"/>
      <c r="B45" s="690">
        <v>3</v>
      </c>
      <c r="C45" s="211"/>
      <c r="D45" s="253"/>
      <c r="E45" s="253"/>
      <c r="F45" s="211"/>
      <c r="G45" s="211"/>
      <c r="H45" s="211"/>
      <c r="I45" s="387" t="s">
        <v>270</v>
      </c>
      <c r="J45" s="496">
        <v>762383545</v>
      </c>
      <c r="K45" s="297"/>
      <c r="L45" s="297"/>
      <c r="R45" s="210"/>
      <c r="AF45" s="297"/>
      <c r="AI45" s="297"/>
      <c r="AL45" s="297"/>
    </row>
    <row r="46" spans="1:38" s="209" customFormat="1" ht="12.75">
      <c r="A46" s="250"/>
      <c r="B46" s="390" t="s">
        <v>136</v>
      </c>
      <c r="C46" s="211"/>
      <c r="D46" s="211"/>
      <c r="E46" s="211"/>
      <c r="F46" s="211"/>
      <c r="G46" s="211"/>
      <c r="H46" s="211"/>
      <c r="I46" s="387" t="s">
        <v>270</v>
      </c>
      <c r="J46" s="770">
        <v>7694868530.393366</v>
      </c>
      <c r="K46" s="297"/>
      <c r="L46" s="220"/>
      <c r="R46" s="210"/>
      <c r="AF46" s="297"/>
      <c r="AI46" s="297"/>
      <c r="AL46" s="297"/>
    </row>
    <row r="47" spans="1:38" s="209" customFormat="1" ht="12.75">
      <c r="A47" s="250"/>
      <c r="B47" s="253">
        <v>1</v>
      </c>
      <c r="C47" s="211"/>
      <c r="D47" s="211"/>
      <c r="E47" s="211"/>
      <c r="F47" s="211"/>
      <c r="G47" s="211"/>
      <c r="H47" s="211"/>
      <c r="I47" s="391" t="s">
        <v>211</v>
      </c>
      <c r="J47" s="771">
        <v>0.15865462555615056</v>
      </c>
      <c r="K47" s="297"/>
      <c r="L47" s="297"/>
      <c r="R47" s="210"/>
      <c r="AF47" s="297"/>
      <c r="AI47" s="297"/>
      <c r="AL47" s="297"/>
    </row>
    <row r="48" spans="1:38" s="209" customFormat="1" ht="12.75">
      <c r="A48" s="250"/>
      <c r="B48" s="253">
        <v>2</v>
      </c>
      <c r="C48" s="211"/>
      <c r="D48" s="211"/>
      <c r="E48" s="211"/>
      <c r="F48" s="211"/>
      <c r="G48" s="211"/>
      <c r="H48" s="211"/>
      <c r="I48" s="391" t="s">
        <v>211</v>
      </c>
      <c r="J48" s="771">
        <v>0.7422684971731436</v>
      </c>
      <c r="K48" s="297"/>
      <c r="L48" s="297"/>
      <c r="R48" s="210"/>
      <c r="AF48" s="297"/>
      <c r="AI48" s="297"/>
      <c r="AL48" s="297"/>
    </row>
    <row r="49" spans="1:38" s="209" customFormat="1" ht="12.75">
      <c r="A49" s="250"/>
      <c r="B49" s="690">
        <v>3</v>
      </c>
      <c r="C49" s="211"/>
      <c r="D49" s="211"/>
      <c r="E49" s="211"/>
      <c r="F49" s="211"/>
      <c r="G49" s="211"/>
      <c r="H49" s="211"/>
      <c r="I49" s="391" t="s">
        <v>211</v>
      </c>
      <c r="J49" s="772">
        <v>0.09907687727070583</v>
      </c>
      <c r="K49" s="297"/>
      <c r="L49" s="297"/>
      <c r="R49" s="210"/>
      <c r="AF49" s="297"/>
      <c r="AI49" s="297"/>
      <c r="AL49" s="297"/>
    </row>
    <row r="50" spans="1:32" s="209" customFormat="1" ht="12.75">
      <c r="A50" s="291"/>
      <c r="B50" s="773" t="s">
        <v>136</v>
      </c>
      <c r="C50" s="368"/>
      <c r="D50" s="368"/>
      <c r="E50" s="368"/>
      <c r="F50" s="368"/>
      <c r="G50" s="368"/>
      <c r="H50" s="368"/>
      <c r="I50" s="774" t="s">
        <v>211</v>
      </c>
      <c r="J50" s="775">
        <v>1</v>
      </c>
      <c r="R50" s="210"/>
      <c r="AF50" s="297"/>
    </row>
    <row r="51" spans="2:32" s="209" customFormat="1" ht="12.75">
      <c r="B51" s="776"/>
      <c r="G51" s="777"/>
      <c r="I51" s="358"/>
      <c r="R51" s="210"/>
      <c r="AF51" s="297"/>
    </row>
    <row r="52" spans="1:10" ht="12.75">
      <c r="A52" s="212"/>
      <c r="I52" s="362"/>
      <c r="J52" s="223"/>
    </row>
    <row r="53" spans="8:22" ht="12.75">
      <c r="H53" s="219"/>
      <c r="I53" s="219"/>
      <c r="Q53" s="224"/>
      <c r="R53" s="224"/>
      <c r="S53" s="224"/>
      <c r="T53" s="224"/>
      <c r="U53" s="224"/>
      <c r="V53" s="224"/>
    </row>
    <row r="54" spans="1:37" ht="15">
      <c r="A54" s="897" t="s">
        <v>625</v>
      </c>
      <c r="B54" s="898"/>
      <c r="C54" s="898"/>
      <c r="D54" s="898"/>
      <c r="E54" s="898"/>
      <c r="F54" s="898"/>
      <c r="G54" s="963"/>
      <c r="H54" s="749" t="s">
        <v>40</v>
      </c>
      <c r="I54" s="897" t="s">
        <v>60</v>
      </c>
      <c r="J54" s="898"/>
      <c r="K54" s="898"/>
      <c r="L54" s="898"/>
      <c r="M54" s="898"/>
      <c r="N54" s="898"/>
      <c r="O54" s="898"/>
      <c r="P54" s="898"/>
      <c r="Q54" s="898"/>
      <c r="R54" s="898"/>
      <c r="S54" s="898"/>
      <c r="T54" s="898"/>
      <c r="U54" s="898"/>
      <c r="V54" s="898"/>
      <c r="W54" s="898"/>
      <c r="X54" s="898"/>
      <c r="Y54" s="898"/>
      <c r="Z54" s="898"/>
      <c r="AA54" s="898"/>
      <c r="AB54" s="898"/>
      <c r="AC54" s="898"/>
      <c r="AD54" s="898"/>
      <c r="AE54" s="898"/>
      <c r="AF54" s="898"/>
      <c r="AG54" s="898"/>
      <c r="AH54" s="898"/>
      <c r="AI54" s="898"/>
      <c r="AJ54" s="898"/>
      <c r="AK54" s="963"/>
    </row>
    <row r="55" spans="1:37" ht="12.75">
      <c r="A55" s="530"/>
      <c r="B55" s="360"/>
      <c r="C55" s="360"/>
      <c r="D55" s="360"/>
      <c r="E55" s="360"/>
      <c r="F55" s="360"/>
      <c r="G55" s="360"/>
      <c r="H55" s="419"/>
      <c r="I55" s="360">
        <v>2002</v>
      </c>
      <c r="J55" s="360">
        <v>2003</v>
      </c>
      <c r="K55" s="360">
        <v>2004</v>
      </c>
      <c r="L55" s="360">
        <v>2005</v>
      </c>
      <c r="M55" s="360">
        <v>2006</v>
      </c>
      <c r="N55" s="360">
        <v>2007</v>
      </c>
      <c r="O55" s="360">
        <v>2008</v>
      </c>
      <c r="P55" s="360">
        <v>2009</v>
      </c>
      <c r="Q55" s="360">
        <v>2010</v>
      </c>
      <c r="R55" s="360">
        <v>2011</v>
      </c>
      <c r="S55" s="360">
        <v>2012</v>
      </c>
      <c r="T55" s="360">
        <v>2013</v>
      </c>
      <c r="U55" s="360">
        <v>2014</v>
      </c>
      <c r="V55" s="360">
        <v>2015</v>
      </c>
      <c r="W55" s="360">
        <v>2016</v>
      </c>
      <c r="X55" s="360">
        <v>2017</v>
      </c>
      <c r="Y55" s="360">
        <v>2018</v>
      </c>
      <c r="Z55" s="360">
        <v>2019</v>
      </c>
      <c r="AA55" s="360">
        <v>2020</v>
      </c>
      <c r="AB55" s="360">
        <v>2021</v>
      </c>
      <c r="AC55" s="360">
        <v>2022</v>
      </c>
      <c r="AD55" s="360">
        <v>2023</v>
      </c>
      <c r="AE55" s="360">
        <v>2024</v>
      </c>
      <c r="AF55" s="360">
        <v>2025</v>
      </c>
      <c r="AG55" s="360">
        <v>2026</v>
      </c>
      <c r="AH55" s="360">
        <v>2027</v>
      </c>
      <c r="AI55" s="360">
        <v>2028</v>
      </c>
      <c r="AJ55" s="360">
        <v>2029</v>
      </c>
      <c r="AK55" s="361">
        <v>2030</v>
      </c>
    </row>
    <row r="56" spans="1:37" ht="12.75">
      <c r="A56" s="359" t="s">
        <v>208</v>
      </c>
      <c r="B56" s="360"/>
      <c r="C56" s="360"/>
      <c r="D56" s="360"/>
      <c r="E56" s="360"/>
      <c r="F56" s="360"/>
      <c r="G56" s="360"/>
      <c r="H56" s="360" t="s">
        <v>209</v>
      </c>
      <c r="I56" s="360">
        <v>51.6035666666667</v>
      </c>
      <c r="J56" s="360">
        <v>54.2033333333333</v>
      </c>
      <c r="K56" s="360">
        <v>56.0399166666667</v>
      </c>
      <c r="L56" s="360">
        <v>55.0854916666667</v>
      </c>
      <c r="M56" s="360">
        <v>51.3142725</v>
      </c>
      <c r="N56" s="360">
        <v>46.148391177755</v>
      </c>
      <c r="O56" s="360">
        <v>44.4745609347688</v>
      </c>
      <c r="P56" s="360">
        <v>46.5</v>
      </c>
      <c r="Q56" s="360">
        <f>P56</f>
        <v>46.5</v>
      </c>
      <c r="R56" s="360">
        <f aca="true" t="shared" si="0" ref="R56:AK57">Q56</f>
        <v>46.5</v>
      </c>
      <c r="S56" s="360">
        <f t="shared" si="0"/>
        <v>46.5</v>
      </c>
      <c r="T56" s="360">
        <f t="shared" si="0"/>
        <v>46.5</v>
      </c>
      <c r="U56" s="360">
        <f t="shared" si="0"/>
        <v>46.5</v>
      </c>
      <c r="V56" s="360">
        <f t="shared" si="0"/>
        <v>46.5</v>
      </c>
      <c r="W56" s="360">
        <f t="shared" si="0"/>
        <v>46.5</v>
      </c>
      <c r="X56" s="360">
        <f t="shared" si="0"/>
        <v>46.5</v>
      </c>
      <c r="Y56" s="360">
        <f t="shared" si="0"/>
        <v>46.5</v>
      </c>
      <c r="Z56" s="360">
        <f t="shared" si="0"/>
        <v>46.5</v>
      </c>
      <c r="AA56" s="360">
        <f t="shared" si="0"/>
        <v>46.5</v>
      </c>
      <c r="AB56" s="360">
        <f t="shared" si="0"/>
        <v>46.5</v>
      </c>
      <c r="AC56" s="360">
        <f t="shared" si="0"/>
        <v>46.5</v>
      </c>
      <c r="AD56" s="360">
        <f t="shared" si="0"/>
        <v>46.5</v>
      </c>
      <c r="AE56" s="360">
        <f t="shared" si="0"/>
        <v>46.5</v>
      </c>
      <c r="AF56" s="360">
        <f t="shared" si="0"/>
        <v>46.5</v>
      </c>
      <c r="AG56" s="360">
        <f t="shared" si="0"/>
        <v>46.5</v>
      </c>
      <c r="AH56" s="360">
        <f t="shared" si="0"/>
        <v>46.5</v>
      </c>
      <c r="AI56" s="360">
        <f t="shared" si="0"/>
        <v>46.5</v>
      </c>
      <c r="AJ56" s="360">
        <f t="shared" si="0"/>
        <v>46.5</v>
      </c>
      <c r="AK56" s="361">
        <f t="shared" si="0"/>
        <v>46.5</v>
      </c>
    </row>
    <row r="57" spans="1:37" s="781" customFormat="1" ht="12.75">
      <c r="A57" s="530" t="s">
        <v>210</v>
      </c>
      <c r="B57" s="360"/>
      <c r="C57" s="778"/>
      <c r="D57" s="778"/>
      <c r="E57" s="778"/>
      <c r="F57" s="360"/>
      <c r="G57" s="360"/>
      <c r="H57" s="360" t="s">
        <v>211</v>
      </c>
      <c r="I57" s="779">
        <v>0.0444940719686639</v>
      </c>
      <c r="J57" s="779">
        <v>0.0492973069153355</v>
      </c>
      <c r="K57" s="779">
        <v>0.063794903743626</v>
      </c>
      <c r="L57" s="779">
        <v>0.0495186914852412</v>
      </c>
      <c r="M57" s="779">
        <v>0.0534101750694373</v>
      </c>
      <c r="N57" s="779">
        <v>0.0707881532877074</v>
      </c>
      <c r="O57" s="779">
        <v>0.0383898759310868</v>
      </c>
      <c r="P57" s="779">
        <v>0.015</v>
      </c>
      <c r="Q57" s="779">
        <v>0.035</v>
      </c>
      <c r="R57" s="779">
        <v>0.041</v>
      </c>
      <c r="S57" s="779">
        <v>0.043</v>
      </c>
      <c r="T57" s="779">
        <v>0.044</v>
      </c>
      <c r="U57" s="779">
        <v>0.045</v>
      </c>
      <c r="V57" s="779">
        <f>U57</f>
        <v>0.045</v>
      </c>
      <c r="W57" s="779">
        <f t="shared" si="0"/>
        <v>0.045</v>
      </c>
      <c r="X57" s="779">
        <f t="shared" si="0"/>
        <v>0.045</v>
      </c>
      <c r="Y57" s="779">
        <f t="shared" si="0"/>
        <v>0.045</v>
      </c>
      <c r="Z57" s="779">
        <f t="shared" si="0"/>
        <v>0.045</v>
      </c>
      <c r="AA57" s="779">
        <f t="shared" si="0"/>
        <v>0.045</v>
      </c>
      <c r="AB57" s="779">
        <f t="shared" si="0"/>
        <v>0.045</v>
      </c>
      <c r="AC57" s="779">
        <f t="shared" si="0"/>
        <v>0.045</v>
      </c>
      <c r="AD57" s="779">
        <f t="shared" si="0"/>
        <v>0.045</v>
      </c>
      <c r="AE57" s="779">
        <f t="shared" si="0"/>
        <v>0.045</v>
      </c>
      <c r="AF57" s="779">
        <f t="shared" si="0"/>
        <v>0.045</v>
      </c>
      <c r="AG57" s="779">
        <f t="shared" si="0"/>
        <v>0.045</v>
      </c>
      <c r="AH57" s="779">
        <f t="shared" si="0"/>
        <v>0.045</v>
      </c>
      <c r="AI57" s="779">
        <f t="shared" si="0"/>
        <v>0.045</v>
      </c>
      <c r="AJ57" s="779">
        <f t="shared" si="0"/>
        <v>0.045</v>
      </c>
      <c r="AK57" s="780">
        <f t="shared" si="0"/>
        <v>0.045</v>
      </c>
    </row>
    <row r="58" spans="1:37" ht="12.75">
      <c r="A58" s="359" t="s">
        <v>212</v>
      </c>
      <c r="B58" s="360"/>
      <c r="C58" s="360"/>
      <c r="D58" s="360"/>
      <c r="E58" s="360"/>
      <c r="F58" s="360"/>
      <c r="G58" s="360"/>
      <c r="H58" s="372" t="s">
        <v>213</v>
      </c>
      <c r="I58" s="782">
        <f aca="true" t="shared" si="1" ref="I58:O58">I60/(I59/100)</f>
        <v>1034092999999.9996</v>
      </c>
      <c r="J58" s="782">
        <f t="shared" si="1"/>
        <v>1085071000000</v>
      </c>
      <c r="K58" s="782">
        <f t="shared" si="1"/>
        <v>1154292999999.999</v>
      </c>
      <c r="L58" s="782">
        <f t="shared" si="1"/>
        <v>1211452078950.5715</v>
      </c>
      <c r="M58" s="782">
        <f t="shared" si="1"/>
        <v>1276155946575.5566</v>
      </c>
      <c r="N58" s="782">
        <f t="shared" si="1"/>
        <v>1366492669340.7695</v>
      </c>
      <c r="O58" s="783">
        <f t="shared" si="1"/>
        <v>1418952153377.5</v>
      </c>
      <c r="P58" s="782">
        <f aca="true" t="shared" si="2" ref="P58:AK58">O58*(100%+P57)</f>
        <v>1440236435678.1624</v>
      </c>
      <c r="Q58" s="782">
        <f t="shared" si="2"/>
        <v>1490644710926.898</v>
      </c>
      <c r="R58" s="782">
        <f t="shared" si="2"/>
        <v>1551761144074.9006</v>
      </c>
      <c r="S58" s="782">
        <f t="shared" si="2"/>
        <v>1618486873270.1213</v>
      </c>
      <c r="T58" s="782">
        <f t="shared" si="2"/>
        <v>1689700295694.0068</v>
      </c>
      <c r="U58" s="782">
        <f t="shared" si="2"/>
        <v>1765736809000.237</v>
      </c>
      <c r="V58" s="782">
        <f t="shared" si="2"/>
        <v>1845194965405.2476</v>
      </c>
      <c r="W58" s="782">
        <f t="shared" si="2"/>
        <v>1928228738848.4836</v>
      </c>
      <c r="X58" s="782">
        <f t="shared" si="2"/>
        <v>2014999032096.6653</v>
      </c>
      <c r="Y58" s="782">
        <f t="shared" si="2"/>
        <v>2105673988541.0151</v>
      </c>
      <c r="Z58" s="782">
        <f t="shared" si="2"/>
        <v>2200429318025.361</v>
      </c>
      <c r="AA58" s="782">
        <f t="shared" si="2"/>
        <v>2299448637336.502</v>
      </c>
      <c r="AB58" s="782">
        <f t="shared" si="2"/>
        <v>2402923826016.6445</v>
      </c>
      <c r="AC58" s="782">
        <f t="shared" si="2"/>
        <v>2511055398187.3936</v>
      </c>
      <c r="AD58" s="782">
        <f t="shared" si="2"/>
        <v>2624052891105.826</v>
      </c>
      <c r="AE58" s="782">
        <f t="shared" si="2"/>
        <v>2742135271205.5884</v>
      </c>
      <c r="AF58" s="782">
        <f t="shared" si="2"/>
        <v>2865531358409.84</v>
      </c>
      <c r="AG58" s="782">
        <f t="shared" si="2"/>
        <v>2994480269538.282</v>
      </c>
      <c r="AH58" s="782">
        <f t="shared" si="2"/>
        <v>3129231881667.505</v>
      </c>
      <c r="AI58" s="782">
        <f t="shared" si="2"/>
        <v>3270047316342.5425</v>
      </c>
      <c r="AJ58" s="782">
        <f t="shared" si="2"/>
        <v>3417199445577.9565</v>
      </c>
      <c r="AK58" s="784">
        <f t="shared" si="2"/>
        <v>3570973420628.9644</v>
      </c>
    </row>
    <row r="59" spans="1:37" ht="12.75">
      <c r="A59" s="359" t="s">
        <v>214</v>
      </c>
      <c r="B59" s="360"/>
      <c r="C59" s="360"/>
      <c r="D59" s="360"/>
      <c r="E59" s="360"/>
      <c r="F59" s="360"/>
      <c r="G59" s="360"/>
      <c r="H59" s="372" t="s">
        <v>215</v>
      </c>
      <c r="I59" s="412">
        <v>383.318715047873</v>
      </c>
      <c r="J59" s="412">
        <v>397.799130195167</v>
      </c>
      <c r="K59" s="412">
        <v>422.037905453815</v>
      </c>
      <c r="L59" s="412">
        <v>449.381264012364</v>
      </c>
      <c r="M59" s="412">
        <v>472.603992564765</v>
      </c>
      <c r="N59" s="412">
        <v>486.452523183196</v>
      </c>
      <c r="O59" s="412">
        <v>523.147535088547</v>
      </c>
      <c r="P59" s="412">
        <f>O59*1.028</f>
        <v>537.7956660710263</v>
      </c>
      <c r="Q59" s="412">
        <f>P59*1.04</f>
        <v>559.3074927138673</v>
      </c>
      <c r="R59" s="412">
        <f>Q59*1.042</f>
        <v>582.7984074078497</v>
      </c>
      <c r="S59" s="412">
        <f>R59*1.043</f>
        <v>607.8587389263872</v>
      </c>
      <c r="T59" s="412">
        <f>S59*1.044</f>
        <v>634.6045234391482</v>
      </c>
      <c r="U59" s="412">
        <f>T59*1.045</f>
        <v>663.1617269939098</v>
      </c>
      <c r="V59" s="412">
        <f>U59*1.045</f>
        <v>693.0040047086358</v>
      </c>
      <c r="W59" s="412">
        <f aca="true" t="shared" si="3" ref="W59:AK59">V59*1.045</f>
        <v>724.1891849205243</v>
      </c>
      <c r="X59" s="412">
        <f t="shared" si="3"/>
        <v>756.7776982419479</v>
      </c>
      <c r="Y59" s="412">
        <f t="shared" si="3"/>
        <v>790.8326946628355</v>
      </c>
      <c r="Z59" s="412">
        <f t="shared" si="3"/>
        <v>826.420165922663</v>
      </c>
      <c r="AA59" s="412">
        <f t="shared" si="3"/>
        <v>863.6090733891829</v>
      </c>
      <c r="AB59" s="412">
        <f t="shared" si="3"/>
        <v>902.471481691696</v>
      </c>
      <c r="AC59" s="412">
        <f t="shared" si="3"/>
        <v>943.0826983678222</v>
      </c>
      <c r="AD59" s="412">
        <f t="shared" si="3"/>
        <v>985.5214197943742</v>
      </c>
      <c r="AE59" s="412">
        <f t="shared" si="3"/>
        <v>1029.869883685121</v>
      </c>
      <c r="AF59" s="412">
        <f t="shared" si="3"/>
        <v>1076.2140284509514</v>
      </c>
      <c r="AG59" s="412">
        <f t="shared" si="3"/>
        <v>1124.6436597312443</v>
      </c>
      <c r="AH59" s="412">
        <f t="shared" si="3"/>
        <v>1175.2526244191502</v>
      </c>
      <c r="AI59" s="412">
        <f t="shared" si="3"/>
        <v>1228.1389925180117</v>
      </c>
      <c r="AJ59" s="412">
        <f t="shared" si="3"/>
        <v>1283.4052471813222</v>
      </c>
      <c r="AK59" s="785">
        <f t="shared" si="3"/>
        <v>1341.1584833044817</v>
      </c>
    </row>
    <row r="60" spans="1:37" ht="12.75">
      <c r="A60" s="359" t="s">
        <v>216</v>
      </c>
      <c r="B60" s="360"/>
      <c r="C60" s="360"/>
      <c r="D60" s="360"/>
      <c r="E60" s="360"/>
      <c r="F60" s="360"/>
      <c r="G60" s="360"/>
      <c r="H60" s="372" t="s">
        <v>217</v>
      </c>
      <c r="I60" s="782">
        <v>3963872000000</v>
      </c>
      <c r="J60" s="782">
        <v>4316403000000</v>
      </c>
      <c r="K60" s="782">
        <v>4871554000000</v>
      </c>
      <c r="L60" s="782">
        <v>5444038665292.14</v>
      </c>
      <c r="M60" s="782">
        <v>6031163954868.75</v>
      </c>
      <c r="N60" s="782">
        <v>6647338069121.58</v>
      </c>
      <c r="O60" s="782">
        <v>7423213214480.25</v>
      </c>
      <c r="P60" s="782">
        <f aca="true" t="shared" si="4" ref="P60:AK60">P58*(P59/100)</f>
        <v>7745529132252.981</v>
      </c>
      <c r="Q60" s="782">
        <f t="shared" si="4"/>
        <v>8337287557957.108</v>
      </c>
      <c r="R60" s="782">
        <f t="shared" si="4"/>
        <v>9043639234442.35</v>
      </c>
      <c r="S60" s="782">
        <f t="shared" si="4"/>
        <v>9838113897548.875</v>
      </c>
      <c r="T60" s="782">
        <f t="shared" si="4"/>
        <v>10722914509038.83</v>
      </c>
      <c r="U60" s="782">
        <f t="shared" si="4"/>
        <v>11709690716733.127</v>
      </c>
      <c r="V60" s="782">
        <f t="shared" si="4"/>
        <v>12787275004940.492</v>
      </c>
      <c r="W60" s="782">
        <f t="shared" si="4"/>
        <v>13964023987270.139</v>
      </c>
      <c r="X60" s="782">
        <f t="shared" si="4"/>
        <v>15249063294698.672</v>
      </c>
      <c r="Y60" s="782">
        <f t="shared" si="4"/>
        <v>16652358344393.316</v>
      </c>
      <c r="Z60" s="782">
        <f t="shared" si="4"/>
        <v>18184791621036.11</v>
      </c>
      <c r="AA60" s="782">
        <f t="shared" si="4"/>
        <v>19858247069961.957</v>
      </c>
      <c r="AB60" s="782">
        <f t="shared" si="4"/>
        <v>21685702256575.203</v>
      </c>
      <c r="AC60" s="782">
        <f t="shared" si="4"/>
        <v>23681329006736.535</v>
      </c>
      <c r="AD60" s="782">
        <f t="shared" si="4"/>
        <v>25860603308581.46</v>
      </c>
      <c r="AE60" s="782">
        <f t="shared" si="4"/>
        <v>28240425328053.67</v>
      </c>
      <c r="AF60" s="782">
        <f t="shared" si="4"/>
        <v>30839250468867.812</v>
      </c>
      <c r="AG60" s="782">
        <f t="shared" si="4"/>
        <v>33677232493265.363</v>
      </c>
      <c r="AH60" s="782">
        <f t="shared" si="4"/>
        <v>36776379813458.11</v>
      </c>
      <c r="AI60" s="782">
        <f t="shared" si="4"/>
        <v>40160726165791.58</v>
      </c>
      <c r="AJ60" s="782">
        <f t="shared" si="4"/>
        <v>43856516991198.55</v>
      </c>
      <c r="AK60" s="784">
        <f t="shared" si="4"/>
        <v>47892412967313.586</v>
      </c>
    </row>
    <row r="61" spans="1:37" ht="12.75">
      <c r="A61" s="359" t="s">
        <v>216</v>
      </c>
      <c r="B61" s="360"/>
      <c r="C61" s="360"/>
      <c r="D61" s="360"/>
      <c r="E61" s="360"/>
      <c r="F61" s="360"/>
      <c r="G61" s="360"/>
      <c r="H61" s="372" t="s">
        <v>218</v>
      </c>
      <c r="I61" s="782">
        <f aca="true" t="shared" si="5" ref="I61:AK61">I60/I56</f>
        <v>76813915317.22285</v>
      </c>
      <c r="J61" s="782">
        <f t="shared" si="5"/>
        <v>79633534222.98756</v>
      </c>
      <c r="K61" s="782">
        <f t="shared" si="5"/>
        <v>86930072165.82224</v>
      </c>
      <c r="L61" s="782">
        <f t="shared" si="5"/>
        <v>98828902140.60544</v>
      </c>
      <c r="M61" s="782">
        <f t="shared" si="5"/>
        <v>117533848986.53197</v>
      </c>
      <c r="N61" s="782">
        <f t="shared" si="5"/>
        <v>144042682734.4267</v>
      </c>
      <c r="O61" s="782">
        <f t="shared" si="5"/>
        <v>166909196144.01447</v>
      </c>
      <c r="P61" s="782">
        <f t="shared" si="5"/>
        <v>166570518973.1824</v>
      </c>
      <c r="Q61" s="782">
        <f t="shared" si="5"/>
        <v>179296506622.73352</v>
      </c>
      <c r="R61" s="782">
        <f t="shared" si="5"/>
        <v>194486865256.82474</v>
      </c>
      <c r="S61" s="782">
        <f t="shared" si="5"/>
        <v>211572341882.7715</v>
      </c>
      <c r="T61" s="782">
        <f t="shared" si="5"/>
        <v>230600312022.34042</v>
      </c>
      <c r="U61" s="782">
        <f t="shared" si="5"/>
        <v>251821305736.1963</v>
      </c>
      <c r="V61" s="782">
        <f t="shared" si="5"/>
        <v>274995161396.5697</v>
      </c>
      <c r="W61" s="782">
        <f t="shared" si="5"/>
        <v>300301591124.089</v>
      </c>
      <c r="X61" s="782">
        <f t="shared" si="5"/>
        <v>327936845047.28326</v>
      </c>
      <c r="Y61" s="782">
        <f t="shared" si="5"/>
        <v>358115233212.7595</v>
      </c>
      <c r="Z61" s="782">
        <f t="shared" si="5"/>
        <v>391070787549.16364</v>
      </c>
      <c r="AA61" s="782">
        <f t="shared" si="5"/>
        <v>427059076773.3754</v>
      </c>
      <c r="AB61" s="782">
        <f t="shared" si="5"/>
        <v>466359188313.44525</v>
      </c>
      <c r="AC61" s="782">
        <f t="shared" si="5"/>
        <v>509275892617.99</v>
      </c>
      <c r="AD61" s="782">
        <f t="shared" si="5"/>
        <v>556142006636.1604</v>
      </c>
      <c r="AE61" s="782">
        <f t="shared" si="5"/>
        <v>607320974796.8531</v>
      </c>
      <c r="AF61" s="782">
        <f t="shared" si="5"/>
        <v>663209687502.5336</v>
      </c>
      <c r="AG61" s="782">
        <f t="shared" si="5"/>
        <v>724241558994.9541</v>
      </c>
      <c r="AH61" s="782">
        <f t="shared" si="5"/>
        <v>790889888461.4647</v>
      </c>
      <c r="AI61" s="782">
        <f t="shared" si="5"/>
        <v>863671530447.1307</v>
      </c>
      <c r="AJ61" s="782">
        <f t="shared" si="5"/>
        <v>943150903036.5278</v>
      </c>
      <c r="AK61" s="784">
        <f t="shared" si="5"/>
        <v>1029944364888.4642</v>
      </c>
    </row>
    <row r="62" spans="1:37" ht="12.75">
      <c r="A62" s="359" t="s">
        <v>219</v>
      </c>
      <c r="B62" s="360"/>
      <c r="C62" s="360"/>
      <c r="D62" s="360"/>
      <c r="E62" s="360"/>
      <c r="F62" s="360"/>
      <c r="G62" s="360"/>
      <c r="H62" s="372" t="s">
        <v>215</v>
      </c>
      <c r="I62" s="786">
        <v>104.201008241978</v>
      </c>
      <c r="J62" s="786">
        <v>106.421588713926</v>
      </c>
      <c r="K62" s="786">
        <v>109.478628375644</v>
      </c>
      <c r="L62" s="786">
        <v>113.017551549687</v>
      </c>
      <c r="M62" s="786">
        <v>116.579377197032</v>
      </c>
      <c r="N62" s="786">
        <v>119.676172992325</v>
      </c>
      <c r="O62" s="786">
        <v>122.272920142159</v>
      </c>
      <c r="P62" s="786">
        <f>O62*101.6%</f>
        <v>124.22928686443355</v>
      </c>
      <c r="Q62" s="786">
        <f>P62*101.5%</f>
        <v>126.09272616740004</v>
      </c>
      <c r="R62" s="786">
        <f>Q62*101.6%</f>
        <v>128.11020978607846</v>
      </c>
      <c r="S62" s="786">
        <f>R62*101.8%</f>
        <v>130.41619356222787</v>
      </c>
      <c r="T62" s="786">
        <f>S62*101.9%</f>
        <v>132.8941012399102</v>
      </c>
      <c r="U62" s="786">
        <f>T62*102%</f>
        <v>135.5519832647084</v>
      </c>
      <c r="V62" s="786">
        <f>U62*102%</f>
        <v>138.2630229300026</v>
      </c>
      <c r="W62" s="786">
        <f aca="true" t="shared" si="6" ref="W62:AK62">V62*102%</f>
        <v>141.02828338860266</v>
      </c>
      <c r="X62" s="786">
        <f t="shared" si="6"/>
        <v>143.84884905637472</v>
      </c>
      <c r="Y62" s="786">
        <f t="shared" si="6"/>
        <v>146.7258260375022</v>
      </c>
      <c r="Z62" s="786">
        <f t="shared" si="6"/>
        <v>149.66034255825224</v>
      </c>
      <c r="AA62" s="786">
        <f t="shared" si="6"/>
        <v>152.65354940941728</v>
      </c>
      <c r="AB62" s="786">
        <f t="shared" si="6"/>
        <v>155.70662039760563</v>
      </c>
      <c r="AC62" s="786">
        <f t="shared" si="6"/>
        <v>158.82075280555776</v>
      </c>
      <c r="AD62" s="786">
        <f t="shared" si="6"/>
        <v>161.9971678616689</v>
      </c>
      <c r="AE62" s="786">
        <f t="shared" si="6"/>
        <v>165.2371112189023</v>
      </c>
      <c r="AF62" s="786">
        <f t="shared" si="6"/>
        <v>168.54185344328036</v>
      </c>
      <c r="AG62" s="786">
        <f t="shared" si="6"/>
        <v>171.91269051214596</v>
      </c>
      <c r="AH62" s="786">
        <f t="shared" si="6"/>
        <v>175.35094432238887</v>
      </c>
      <c r="AI62" s="786">
        <f t="shared" si="6"/>
        <v>178.85796320883665</v>
      </c>
      <c r="AJ62" s="786">
        <f t="shared" si="6"/>
        <v>182.4351224730134</v>
      </c>
      <c r="AK62" s="787">
        <f t="shared" si="6"/>
        <v>186.08382492247367</v>
      </c>
    </row>
    <row r="63" spans="1:37" ht="12.75">
      <c r="A63" s="359" t="s">
        <v>220</v>
      </c>
      <c r="B63" s="360"/>
      <c r="C63" s="360"/>
      <c r="D63" s="360"/>
      <c r="E63" s="360"/>
      <c r="F63" s="360"/>
      <c r="G63" s="360"/>
      <c r="H63" s="372"/>
      <c r="I63" s="786">
        <f>I62/$P$62*100</f>
        <v>83.87797344090721</v>
      </c>
      <c r="J63" s="786">
        <f aca="true" t="shared" si="7" ref="J63:AK63">J62/$P$62*100</f>
        <v>85.6654589268146</v>
      </c>
      <c r="K63" s="786">
        <f t="shared" si="7"/>
        <v>88.12626324991598</v>
      </c>
      <c r="L63" s="786">
        <f t="shared" si="7"/>
        <v>90.97496605049221</v>
      </c>
      <c r="M63" s="786">
        <f t="shared" si="7"/>
        <v>93.842104498475</v>
      </c>
      <c r="N63" s="786">
        <f t="shared" si="7"/>
        <v>96.33491104470625</v>
      </c>
      <c r="O63" s="786">
        <f t="shared" si="7"/>
        <v>98.42519685039369</v>
      </c>
      <c r="P63" s="786">
        <f t="shared" si="7"/>
        <v>100</v>
      </c>
      <c r="Q63" s="786">
        <f t="shared" si="7"/>
        <v>101.49999999999999</v>
      </c>
      <c r="R63" s="786">
        <f t="shared" si="7"/>
        <v>103.12400000000001</v>
      </c>
      <c r="S63" s="786">
        <f t="shared" si="7"/>
        <v>104.98023200000002</v>
      </c>
      <c r="T63" s="786">
        <f t="shared" si="7"/>
        <v>106.97485640800002</v>
      </c>
      <c r="U63" s="786">
        <f t="shared" si="7"/>
        <v>109.11435353616001</v>
      </c>
      <c r="V63" s="786">
        <f t="shared" si="7"/>
        <v>111.29664060688323</v>
      </c>
      <c r="W63" s="786">
        <f t="shared" si="7"/>
        <v>113.5225734190209</v>
      </c>
      <c r="X63" s="786">
        <f t="shared" si="7"/>
        <v>115.79302488740133</v>
      </c>
      <c r="Y63" s="786">
        <f t="shared" si="7"/>
        <v>118.10888538514934</v>
      </c>
      <c r="Z63" s="786">
        <f t="shared" si="7"/>
        <v>120.47106309285232</v>
      </c>
      <c r="AA63" s="786">
        <f t="shared" si="7"/>
        <v>122.88048435470938</v>
      </c>
      <c r="AB63" s="786">
        <f t="shared" si="7"/>
        <v>125.33809404180356</v>
      </c>
      <c r="AC63" s="786">
        <f t="shared" si="7"/>
        <v>127.84485592263964</v>
      </c>
      <c r="AD63" s="786">
        <f t="shared" si="7"/>
        <v>130.40175304109243</v>
      </c>
      <c r="AE63" s="786">
        <f t="shared" si="7"/>
        <v>133.0097881019143</v>
      </c>
      <c r="AF63" s="786">
        <f t="shared" si="7"/>
        <v>135.66998386395258</v>
      </c>
      <c r="AG63" s="786">
        <f t="shared" si="7"/>
        <v>138.38338354123164</v>
      </c>
      <c r="AH63" s="786">
        <f t="shared" si="7"/>
        <v>141.15105121205625</v>
      </c>
      <c r="AI63" s="786">
        <f t="shared" si="7"/>
        <v>143.9740722362974</v>
      </c>
      <c r="AJ63" s="786">
        <f t="shared" si="7"/>
        <v>146.85355368102333</v>
      </c>
      <c r="AK63" s="787">
        <f t="shared" si="7"/>
        <v>149.79062475464383</v>
      </c>
    </row>
    <row r="64" spans="1:37" ht="12.75">
      <c r="A64" s="359" t="s">
        <v>216</v>
      </c>
      <c r="B64" s="360"/>
      <c r="C64" s="360"/>
      <c r="D64" s="360"/>
      <c r="E64" s="360"/>
      <c r="F64" s="360"/>
      <c r="G64" s="360"/>
      <c r="H64" s="372" t="s">
        <v>221</v>
      </c>
      <c r="I64" s="782">
        <f aca="true" t="shared" si="8" ref="I64:AK64">I61/I63*100</f>
        <v>91578172631.14845</v>
      </c>
      <c r="J64" s="782">
        <f t="shared" si="8"/>
        <v>92958743489.62492</v>
      </c>
      <c r="K64" s="782">
        <f t="shared" si="8"/>
        <v>98642639503.84293</v>
      </c>
      <c r="L64" s="782">
        <f t="shared" si="8"/>
        <v>108633073944.4895</v>
      </c>
      <c r="M64" s="782">
        <f t="shared" si="8"/>
        <v>125246390854.80225</v>
      </c>
      <c r="N64" s="782">
        <f t="shared" si="8"/>
        <v>149522827365.85562</v>
      </c>
      <c r="O64" s="782">
        <f t="shared" si="8"/>
        <v>169579743282.31873</v>
      </c>
      <c r="P64" s="782">
        <f t="shared" si="8"/>
        <v>166570518973.1824</v>
      </c>
      <c r="Q64" s="782">
        <f t="shared" si="8"/>
        <v>176646804554.41727</v>
      </c>
      <c r="R64" s="782">
        <f t="shared" si="8"/>
        <v>188595152686.88638</v>
      </c>
      <c r="S64" s="782">
        <f t="shared" si="8"/>
        <v>201535410859.80023</v>
      </c>
      <c r="T64" s="782">
        <f t="shared" si="8"/>
        <v>215564965231.4889</v>
      </c>
      <c r="U64" s="782">
        <f t="shared" si="8"/>
        <v>230786599173.4477</v>
      </c>
      <c r="V64" s="782">
        <f t="shared" si="8"/>
        <v>247083074472.92566</v>
      </c>
      <c r="W64" s="782">
        <f t="shared" si="8"/>
        <v>264530288628.72214</v>
      </c>
      <c r="X64" s="782">
        <f t="shared" si="8"/>
        <v>283209498470.3728</v>
      </c>
      <c r="Y64" s="782">
        <f t="shared" si="8"/>
        <v>303207698595.20483</v>
      </c>
      <c r="Z64" s="782">
        <f t="shared" si="8"/>
        <v>324618026527.8711</v>
      </c>
      <c r="AA64" s="782">
        <f t="shared" si="8"/>
        <v>347540196489.31213</v>
      </c>
      <c r="AB64" s="782">
        <f t="shared" si="8"/>
        <v>372080963795.3344</v>
      </c>
      <c r="AC64" s="782">
        <f t="shared" si="8"/>
        <v>398354622047.647</v>
      </c>
      <c r="AD64" s="782">
        <f t="shared" si="8"/>
        <v>426483535432.92316</v>
      </c>
      <c r="AE64" s="782">
        <f t="shared" si="8"/>
        <v>456598708608.95874</v>
      </c>
      <c r="AF64" s="782">
        <f t="shared" si="8"/>
        <v>488840396832.05707</v>
      </c>
      <c r="AG64" s="782">
        <f t="shared" si="8"/>
        <v>523358759167.1833</v>
      </c>
      <c r="AH64" s="782">
        <f t="shared" si="8"/>
        <v>560314557823.0818</v>
      </c>
      <c r="AI64" s="782">
        <f t="shared" si="8"/>
        <v>599879906869.3634</v>
      </c>
      <c r="AJ64" s="782">
        <f t="shared" si="8"/>
        <v>642239073822.5652</v>
      </c>
      <c r="AK64" s="784">
        <f t="shared" si="8"/>
        <v>687589337834.3986</v>
      </c>
    </row>
    <row r="65" spans="1:37" ht="12.75">
      <c r="A65" s="359" t="s">
        <v>222</v>
      </c>
      <c r="B65" s="360"/>
      <c r="C65" s="360"/>
      <c r="D65" s="360"/>
      <c r="E65" s="360"/>
      <c r="F65" s="360"/>
      <c r="G65" s="360"/>
      <c r="H65" s="372" t="s">
        <v>223</v>
      </c>
      <c r="I65" s="211">
        <v>80788948</v>
      </c>
      <c r="J65" s="211">
        <v>82343966</v>
      </c>
      <c r="K65" s="211">
        <v>83911361</v>
      </c>
      <c r="L65" s="211">
        <v>85495923</v>
      </c>
      <c r="M65" s="211">
        <v>87099117</v>
      </c>
      <c r="N65" s="211">
        <v>88718185</v>
      </c>
      <c r="O65" s="411">
        <v>90348440</v>
      </c>
      <c r="P65" s="788">
        <f>O65*(1+P66)</f>
        <v>91970481.69377573</v>
      </c>
      <c r="Q65" s="788">
        <f aca="true" t="shared" si="9" ref="Q65:AK65">P65*(1+Q66)</f>
        <v>93598461.73260923</v>
      </c>
      <c r="R65" s="788">
        <f t="shared" si="9"/>
        <v>95231997.26301844</v>
      </c>
      <c r="S65" s="788">
        <f t="shared" si="9"/>
        <v>96870706.968442</v>
      </c>
      <c r="T65" s="788">
        <f t="shared" si="9"/>
        <v>98514211.33304825</v>
      </c>
      <c r="U65" s="788">
        <f t="shared" si="9"/>
        <v>100162132.89696561</v>
      </c>
      <c r="V65" s="788">
        <f t="shared" si="9"/>
        <v>101814096.50284107</v>
      </c>
      <c r="W65" s="788">
        <f t="shared" si="9"/>
        <v>103469729.53365414</v>
      </c>
      <c r="X65" s="788">
        <f t="shared" si="9"/>
        <v>105128662.14173122</v>
      </c>
      <c r="Y65" s="788">
        <f t="shared" si="9"/>
        <v>106790527.46892393</v>
      </c>
      <c r="Z65" s="788">
        <f t="shared" si="9"/>
        <v>108454961.85793166</v>
      </c>
      <c r="AA65" s="788">
        <f t="shared" si="9"/>
        <v>110121605.05476558</v>
      </c>
      <c r="AB65" s="788">
        <f t="shared" si="9"/>
        <v>111790100.40236633</v>
      </c>
      <c r="AC65" s="788">
        <f t="shared" si="9"/>
        <v>113460095.02540334</v>
      </c>
      <c r="AD65" s="788">
        <f t="shared" si="9"/>
        <v>115131240.00629726</v>
      </c>
      <c r="AE65" s="788">
        <f t="shared" si="9"/>
        <v>116803190.5525209</v>
      </c>
      <c r="AF65" s="788">
        <f t="shared" si="9"/>
        <v>118475606.15524647</v>
      </c>
      <c r="AG65" s="788">
        <f t="shared" si="9"/>
        <v>120148150.73941919</v>
      </c>
      <c r="AH65" s="788">
        <f t="shared" si="9"/>
        <v>121820492.80534829</v>
      </c>
      <c r="AI65" s="788">
        <f t="shared" si="9"/>
        <v>123492305.5619172</v>
      </c>
      <c r="AJ65" s="788">
        <f t="shared" si="9"/>
        <v>125163267.05152452</v>
      </c>
      <c r="AK65" s="789">
        <f t="shared" si="9"/>
        <v>126833060.26687625</v>
      </c>
    </row>
    <row r="66" spans="1:37" ht="12.75">
      <c r="A66" s="359" t="s">
        <v>224</v>
      </c>
      <c r="B66" s="360"/>
      <c r="C66" s="360"/>
      <c r="D66" s="360"/>
      <c r="E66" s="360"/>
      <c r="F66" s="360"/>
      <c r="G66" s="360"/>
      <c r="H66" s="372" t="s">
        <v>211</v>
      </c>
      <c r="I66" s="779">
        <v>0.019369994626741</v>
      </c>
      <c r="J66" s="779">
        <v>0.0190650073289042</v>
      </c>
      <c r="K66" s="779">
        <v>0.018855834187504198</v>
      </c>
      <c r="L66" s="779">
        <v>0.018707675085555</v>
      </c>
      <c r="M66" s="779">
        <v>0.0185780554391344</v>
      </c>
      <c r="N66" s="779">
        <v>0.0184181391789802</v>
      </c>
      <c r="O66" s="779">
        <v>0.0182088322839705</v>
      </c>
      <c r="P66" s="779">
        <f>O66*(100%+$O$67)</f>
        <v>0.01795317875743876</v>
      </c>
      <c r="Q66" s="779">
        <f aca="true" t="shared" si="10" ref="Q66:AK66">P66*(100%+$O$67)</f>
        <v>0.017701114627778212</v>
      </c>
      <c r="R66" s="779">
        <f t="shared" si="10"/>
        <v>0.017452589499556904</v>
      </c>
      <c r="S66" s="779">
        <f t="shared" si="10"/>
        <v>0.01720755368489896</v>
      </c>
      <c r="T66" s="779">
        <f t="shared" si="10"/>
        <v>0.01696595819355044</v>
      </c>
      <c r="U66" s="779">
        <f t="shared" si="10"/>
        <v>0.016727754723084652</v>
      </c>
      <c r="V66" s="779">
        <f t="shared" si="10"/>
        <v>0.016492895649245016</v>
      </c>
      <c r="W66" s="779">
        <f t="shared" si="10"/>
        <v>0.016261334016423493</v>
      </c>
      <c r="X66" s="779">
        <f t="shared" si="10"/>
        <v>0.0160330235282727</v>
      </c>
      <c r="Y66" s="779">
        <f t="shared" si="10"/>
        <v>0.015807918538449844</v>
      </c>
      <c r="Z66" s="779">
        <f t="shared" si="10"/>
        <v>0.015585974041490595</v>
      </c>
      <c r="AA66" s="779">
        <f t="shared" si="10"/>
        <v>0.015367145663811102</v>
      </c>
      <c r="AB66" s="779">
        <f t="shared" si="10"/>
        <v>0.015151389654836341</v>
      </c>
      <c r="AC66" s="779">
        <f t="shared" si="10"/>
        <v>0.014938662878253016</v>
      </c>
      <c r="AD66" s="779">
        <f t="shared" si="10"/>
        <v>0.01472892280338527</v>
      </c>
      <c r="AE66" s="779">
        <f t="shared" si="10"/>
        <v>0.014522127496691493</v>
      </c>
      <c r="AF66" s="779">
        <f t="shared" si="10"/>
        <v>0.014318235613380501</v>
      </c>
      <c r="AG66" s="779">
        <f t="shared" si="10"/>
        <v>0.014117206389145431</v>
      </c>
      <c r="AH66" s="779">
        <f t="shared" si="10"/>
        <v>0.013918999632013696</v>
      </c>
      <c r="AI66" s="779">
        <f t="shared" si="10"/>
        <v>0.01372357571431136</v>
      </c>
      <c r="AJ66" s="779">
        <f t="shared" si="10"/>
        <v>0.01353089556474034</v>
      </c>
      <c r="AK66" s="780">
        <f t="shared" si="10"/>
        <v>0.013340920660566845</v>
      </c>
    </row>
    <row r="67" spans="1:37" ht="12.75">
      <c r="A67" s="530"/>
      <c r="B67" s="372" t="s">
        <v>225</v>
      </c>
      <c r="C67" s="360"/>
      <c r="D67" s="360"/>
      <c r="E67" s="360"/>
      <c r="F67" s="360"/>
      <c r="G67" s="360"/>
      <c r="H67" s="372" t="s">
        <v>211</v>
      </c>
      <c r="I67" s="779"/>
      <c r="J67" s="779"/>
      <c r="K67" s="779"/>
      <c r="L67" s="779"/>
      <c r="M67" s="779"/>
      <c r="N67" s="779"/>
      <c r="O67" s="779">
        <v>-0.014040083545433957</v>
      </c>
      <c r="P67" s="360"/>
      <c r="Q67" s="360"/>
      <c r="R67" s="360"/>
      <c r="S67" s="360"/>
      <c r="T67" s="360"/>
      <c r="U67" s="360"/>
      <c r="V67" s="360"/>
      <c r="W67" s="360"/>
      <c r="X67" s="360"/>
      <c r="Y67" s="360"/>
      <c r="Z67" s="360"/>
      <c r="AA67" s="360"/>
      <c r="AB67" s="360"/>
      <c r="AC67" s="360"/>
      <c r="AD67" s="360"/>
      <c r="AE67" s="360"/>
      <c r="AF67" s="360"/>
      <c r="AG67" s="360"/>
      <c r="AH67" s="360"/>
      <c r="AI67" s="360"/>
      <c r="AJ67" s="360"/>
      <c r="AK67" s="361"/>
    </row>
    <row r="68" spans="1:37" ht="12.75">
      <c r="A68" s="530" t="s">
        <v>226</v>
      </c>
      <c r="B68" s="372"/>
      <c r="C68" s="360"/>
      <c r="D68" s="360"/>
      <c r="E68" s="360"/>
      <c r="F68" s="360"/>
      <c r="G68" s="360"/>
      <c r="H68" s="372"/>
      <c r="I68" s="779">
        <v>0.0443529003711046</v>
      </c>
      <c r="J68" s="779">
        <v>0.0548675302590076</v>
      </c>
      <c r="K68" s="779">
        <v>0.0375686611767114</v>
      </c>
      <c r="L68" s="779">
        <v>0.034805301569576</v>
      </c>
      <c r="M68" s="779">
        <v>0.043843826213511704</v>
      </c>
      <c r="N68" s="779">
        <v>0.0559714468752389</v>
      </c>
      <c r="O68" s="779">
        <v>0.0112298221466707</v>
      </c>
      <c r="P68" s="360"/>
      <c r="Q68" s="360"/>
      <c r="R68" s="360"/>
      <c r="S68" s="360"/>
      <c r="T68" s="360"/>
      <c r="U68" s="360"/>
      <c r="V68" s="360"/>
      <c r="W68" s="360"/>
      <c r="X68" s="360"/>
      <c r="Y68" s="360"/>
      <c r="Z68" s="360"/>
      <c r="AA68" s="360"/>
      <c r="AB68" s="360"/>
      <c r="AC68" s="360"/>
      <c r="AD68" s="360"/>
      <c r="AE68" s="360"/>
      <c r="AF68" s="360"/>
      <c r="AG68" s="360"/>
      <c r="AH68" s="360"/>
      <c r="AI68" s="360"/>
      <c r="AJ68" s="360"/>
      <c r="AK68" s="361"/>
    </row>
    <row r="69" spans="1:37" ht="12.75">
      <c r="A69" s="530"/>
      <c r="B69" s="372" t="s">
        <v>227</v>
      </c>
      <c r="C69" s="360"/>
      <c r="D69" s="360"/>
      <c r="E69" s="360"/>
      <c r="F69" s="360"/>
      <c r="G69" s="360"/>
      <c r="H69" s="372"/>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1"/>
    </row>
    <row r="70" spans="1:37" ht="12.75">
      <c r="A70" s="359" t="s">
        <v>228</v>
      </c>
      <c r="B70" s="372"/>
      <c r="C70" s="360"/>
      <c r="D70" s="360"/>
      <c r="E70" s="360"/>
      <c r="F70" s="360"/>
      <c r="G70" s="360"/>
      <c r="H70" s="372"/>
      <c r="I70" s="786">
        <v>84.7092052895109</v>
      </c>
      <c r="J70" s="786">
        <v>87.7262806522013</v>
      </c>
      <c r="K70" s="786">
        <v>92.8938246244704</v>
      </c>
      <c r="L70" s="786">
        <v>100</v>
      </c>
      <c r="M70" s="786">
        <v>106.258826550263</v>
      </c>
      <c r="N70" s="786">
        <v>109.205289510849</v>
      </c>
      <c r="O70" s="786">
        <v>119.36063679548</v>
      </c>
      <c r="P70" s="786">
        <f>O70*(1+P71)</f>
        <v>126.52227500320882</v>
      </c>
      <c r="Q70" s="786">
        <f>P70*(1+Q71)</f>
        <v>130.95055462832113</v>
      </c>
      <c r="R70" s="786">
        <f>Q70*(1+R71)</f>
        <v>135.53382404031237</v>
      </c>
      <c r="S70" s="786">
        <f>R70*(1+S71)</f>
        <v>140.2775078817233</v>
      </c>
      <c r="T70" s="786">
        <f>S70*(1+T71)</f>
        <v>145.1872206575836</v>
      </c>
      <c r="U70" s="360"/>
      <c r="V70" s="360"/>
      <c r="W70" s="360"/>
      <c r="X70" s="360"/>
      <c r="Y70" s="360"/>
      <c r="Z70" s="360"/>
      <c r="AA70" s="360"/>
      <c r="AB70" s="360"/>
      <c r="AC70" s="360"/>
      <c r="AD70" s="360"/>
      <c r="AE70" s="360"/>
      <c r="AF70" s="360"/>
      <c r="AG70" s="360"/>
      <c r="AH70" s="360"/>
      <c r="AI70" s="360"/>
      <c r="AJ70" s="360"/>
      <c r="AK70" s="361"/>
    </row>
    <row r="71" spans="1:37" ht="12.75">
      <c r="A71" s="530"/>
      <c r="B71" s="372" t="s">
        <v>229</v>
      </c>
      <c r="C71" s="360"/>
      <c r="D71" s="360"/>
      <c r="E71" s="360"/>
      <c r="F71" s="360"/>
      <c r="G71" s="360"/>
      <c r="H71" s="372"/>
      <c r="I71" s="360"/>
      <c r="J71" s="360"/>
      <c r="K71" s="360"/>
      <c r="L71" s="360"/>
      <c r="M71" s="360"/>
      <c r="N71" s="360"/>
      <c r="O71" s="360"/>
      <c r="P71" s="742">
        <v>0.06</v>
      </c>
      <c r="Q71" s="778">
        <v>0.035</v>
      </c>
      <c r="R71" s="778">
        <v>0.035</v>
      </c>
      <c r="S71" s="778">
        <v>0.035</v>
      </c>
      <c r="T71" s="778">
        <v>0.035</v>
      </c>
      <c r="U71" s="778">
        <f>T71</f>
        <v>0.035</v>
      </c>
      <c r="V71" s="778">
        <f>U71</f>
        <v>0.035</v>
      </c>
      <c r="W71" s="778">
        <f aca="true" t="shared" si="11" ref="W71:AK71">V71</f>
        <v>0.035</v>
      </c>
      <c r="X71" s="778">
        <f t="shared" si="11"/>
        <v>0.035</v>
      </c>
      <c r="Y71" s="778">
        <f t="shared" si="11"/>
        <v>0.035</v>
      </c>
      <c r="Z71" s="778">
        <f t="shared" si="11"/>
        <v>0.035</v>
      </c>
      <c r="AA71" s="778">
        <f t="shared" si="11"/>
        <v>0.035</v>
      </c>
      <c r="AB71" s="778">
        <f t="shared" si="11"/>
        <v>0.035</v>
      </c>
      <c r="AC71" s="778">
        <f t="shared" si="11"/>
        <v>0.035</v>
      </c>
      <c r="AD71" s="778">
        <f t="shared" si="11"/>
        <v>0.035</v>
      </c>
      <c r="AE71" s="778">
        <f t="shared" si="11"/>
        <v>0.035</v>
      </c>
      <c r="AF71" s="778">
        <f t="shared" si="11"/>
        <v>0.035</v>
      </c>
      <c r="AG71" s="778">
        <f t="shared" si="11"/>
        <v>0.035</v>
      </c>
      <c r="AH71" s="778">
        <f t="shared" si="11"/>
        <v>0.035</v>
      </c>
      <c r="AI71" s="778">
        <f t="shared" si="11"/>
        <v>0.035</v>
      </c>
      <c r="AJ71" s="778">
        <f t="shared" si="11"/>
        <v>0.035</v>
      </c>
      <c r="AK71" s="790">
        <f t="shared" si="11"/>
        <v>0.035</v>
      </c>
    </row>
    <row r="72" spans="1:37" ht="12.75">
      <c r="A72" s="530"/>
      <c r="B72" s="360"/>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1"/>
    </row>
    <row r="73" spans="1:37" ht="12.75">
      <c r="A73" s="359" t="s">
        <v>512</v>
      </c>
      <c r="B73" s="372"/>
      <c r="C73" s="360"/>
      <c r="D73" s="360"/>
      <c r="E73" s="360"/>
      <c r="F73" s="372"/>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0"/>
      <c r="AJ73" s="360"/>
      <c r="AK73" s="361"/>
    </row>
    <row r="74" spans="1:37" ht="12.75">
      <c r="A74" s="530"/>
      <c r="B74" s="360" t="s">
        <v>513</v>
      </c>
      <c r="C74" s="360"/>
      <c r="D74" s="360"/>
      <c r="E74" s="360"/>
      <c r="F74" s="360"/>
      <c r="G74" s="360"/>
      <c r="H74" s="372" t="s">
        <v>211</v>
      </c>
      <c r="I74" s="779">
        <v>0.0765075177928583</v>
      </c>
      <c r="J74" s="779">
        <v>0.0887775412494332</v>
      </c>
      <c r="K74" s="779">
        <v>0.017609720436612998</v>
      </c>
      <c r="L74" s="779">
        <v>0.0662817590319456</v>
      </c>
      <c r="M74" s="779">
        <v>-0.00925888044985655</v>
      </c>
      <c r="N74" s="779">
        <v>0.00077114422189851</v>
      </c>
      <c r="O74" s="779">
        <v>0.0712476368438313</v>
      </c>
      <c r="P74" s="778">
        <f>AVERAGE(E74:O74)</f>
        <v>0.04456234844667477</v>
      </c>
      <c r="Q74" s="778">
        <f>P74</f>
        <v>0.04456234844667477</v>
      </c>
      <c r="R74" s="778">
        <f aca="true" t="shared" si="12" ref="R74:AK74">Q74</f>
        <v>0.04456234844667477</v>
      </c>
      <c r="S74" s="778">
        <f t="shared" si="12"/>
        <v>0.04456234844667477</v>
      </c>
      <c r="T74" s="778">
        <f t="shared" si="12"/>
        <v>0.04456234844667477</v>
      </c>
      <c r="U74" s="778">
        <f t="shared" si="12"/>
        <v>0.04456234844667477</v>
      </c>
      <c r="V74" s="778">
        <f t="shared" si="12"/>
        <v>0.04456234844667477</v>
      </c>
      <c r="W74" s="778">
        <f t="shared" si="12"/>
        <v>0.04456234844667477</v>
      </c>
      <c r="X74" s="778">
        <f t="shared" si="12"/>
        <v>0.04456234844667477</v>
      </c>
      <c r="Y74" s="778">
        <f t="shared" si="12"/>
        <v>0.04456234844667477</v>
      </c>
      <c r="Z74" s="778">
        <f t="shared" si="12"/>
        <v>0.04456234844667477</v>
      </c>
      <c r="AA74" s="778">
        <f t="shared" si="12"/>
        <v>0.04456234844667477</v>
      </c>
      <c r="AB74" s="778">
        <f t="shared" si="12"/>
        <v>0.04456234844667477</v>
      </c>
      <c r="AC74" s="778">
        <f t="shared" si="12"/>
        <v>0.04456234844667477</v>
      </c>
      <c r="AD74" s="778">
        <f t="shared" si="12"/>
        <v>0.04456234844667477</v>
      </c>
      <c r="AE74" s="778">
        <f t="shared" si="12"/>
        <v>0.04456234844667477</v>
      </c>
      <c r="AF74" s="778">
        <f t="shared" si="12"/>
        <v>0.04456234844667477</v>
      </c>
      <c r="AG74" s="778">
        <f t="shared" si="12"/>
        <v>0.04456234844667477</v>
      </c>
      <c r="AH74" s="778">
        <f t="shared" si="12"/>
        <v>0.04456234844667477</v>
      </c>
      <c r="AI74" s="778">
        <f t="shared" si="12"/>
        <v>0.04456234844667477</v>
      </c>
      <c r="AJ74" s="778">
        <f t="shared" si="12"/>
        <v>0.04456234844667477</v>
      </c>
      <c r="AK74" s="790">
        <f t="shared" si="12"/>
        <v>0.04456234844667477</v>
      </c>
    </row>
    <row r="75" spans="1:37" ht="12.75">
      <c r="A75" s="530"/>
      <c r="B75" s="372" t="s">
        <v>514</v>
      </c>
      <c r="C75" s="360"/>
      <c r="D75" s="360"/>
      <c r="E75" s="360"/>
      <c r="F75" s="360"/>
      <c r="G75" s="360"/>
      <c r="H75" s="372" t="s">
        <v>215</v>
      </c>
      <c r="I75" s="791">
        <f>I59/$L$59*100</f>
        <v>85.29922044932576</v>
      </c>
      <c r="J75" s="791">
        <f aca="true" t="shared" si="13" ref="J75:AK75">J59/$L$59*100</f>
        <v>88.52152104503898</v>
      </c>
      <c r="K75" s="791">
        <f t="shared" si="13"/>
        <v>93.9153318688879</v>
      </c>
      <c r="L75" s="791">
        <f t="shared" si="13"/>
        <v>100</v>
      </c>
      <c r="M75" s="791">
        <f t="shared" si="13"/>
        <v>105.16771178777095</v>
      </c>
      <c r="N75" s="791">
        <f t="shared" si="13"/>
        <v>108.2494002620038</v>
      </c>
      <c r="O75" s="791">
        <f t="shared" si="13"/>
        <v>116.4150749004421</v>
      </c>
      <c r="P75" s="791">
        <f t="shared" si="13"/>
        <v>119.67469699765448</v>
      </c>
      <c r="Q75" s="791">
        <f t="shared" si="13"/>
        <v>124.46168487756064</v>
      </c>
      <c r="R75" s="791">
        <f t="shared" si="13"/>
        <v>129.68907564241817</v>
      </c>
      <c r="S75" s="791">
        <f t="shared" si="13"/>
        <v>135.26570589504217</v>
      </c>
      <c r="T75" s="791">
        <f t="shared" si="13"/>
        <v>141.217396954424</v>
      </c>
      <c r="U75" s="791">
        <f t="shared" si="13"/>
        <v>147.57217981737307</v>
      </c>
      <c r="V75" s="791">
        <f t="shared" si="13"/>
        <v>154.21292790915487</v>
      </c>
      <c r="W75" s="791">
        <f t="shared" si="13"/>
        <v>161.15250966506682</v>
      </c>
      <c r="X75" s="791">
        <f t="shared" si="13"/>
        <v>168.40437259999482</v>
      </c>
      <c r="Y75" s="791">
        <f t="shared" si="13"/>
        <v>175.98256936699457</v>
      </c>
      <c r="Z75" s="791">
        <f t="shared" si="13"/>
        <v>183.90178498850932</v>
      </c>
      <c r="AA75" s="791">
        <f t="shared" si="13"/>
        <v>192.17736531299224</v>
      </c>
      <c r="AB75" s="791">
        <f t="shared" si="13"/>
        <v>200.82534675207685</v>
      </c>
      <c r="AC75" s="791">
        <f t="shared" si="13"/>
        <v>209.86248735592028</v>
      </c>
      <c r="AD75" s="791">
        <f t="shared" si="13"/>
        <v>219.3062992869367</v>
      </c>
      <c r="AE75" s="791">
        <f t="shared" si="13"/>
        <v>229.1750827548489</v>
      </c>
      <c r="AF75" s="791">
        <f t="shared" si="13"/>
        <v>239.48796147881706</v>
      </c>
      <c r="AG75" s="791">
        <f t="shared" si="13"/>
        <v>250.2649197453638</v>
      </c>
      <c r="AH75" s="791">
        <f t="shared" si="13"/>
        <v>261.5268411339052</v>
      </c>
      <c r="AI75" s="791">
        <f t="shared" si="13"/>
        <v>273.29554898493086</v>
      </c>
      <c r="AJ75" s="791">
        <f t="shared" si="13"/>
        <v>285.59384868925275</v>
      </c>
      <c r="AK75" s="792">
        <f t="shared" si="13"/>
        <v>298.44557188026914</v>
      </c>
    </row>
    <row r="76" spans="1:37" ht="12.75">
      <c r="A76" s="530"/>
      <c r="B76" s="372" t="s">
        <v>515</v>
      </c>
      <c r="C76" s="360"/>
      <c r="D76" s="360"/>
      <c r="E76" s="360"/>
      <c r="F76" s="360"/>
      <c r="G76" s="360"/>
      <c r="H76" s="372" t="s">
        <v>217</v>
      </c>
      <c r="I76" s="412">
        <f aca="true" t="shared" si="14" ref="I76:AK76">I60/I65</f>
        <v>49064.532935866424</v>
      </c>
      <c r="J76" s="412">
        <f t="shared" si="14"/>
        <v>52419.17786665753</v>
      </c>
      <c r="K76" s="412">
        <f t="shared" si="14"/>
        <v>58055.95263792706</v>
      </c>
      <c r="L76" s="412">
        <f t="shared" si="14"/>
        <v>63676.00318546347</v>
      </c>
      <c r="M76" s="412">
        <f t="shared" si="14"/>
        <v>69244.83465049077</v>
      </c>
      <c r="N76" s="412">
        <f t="shared" si="14"/>
        <v>74926.44342444089</v>
      </c>
      <c r="O76" s="412">
        <f t="shared" si="14"/>
        <v>82162.05187914977</v>
      </c>
      <c r="P76" s="412">
        <f t="shared" si="14"/>
        <v>84217.55534609943</v>
      </c>
      <c r="Q76" s="412">
        <f t="shared" si="14"/>
        <v>89075.04892307904</v>
      </c>
      <c r="R76" s="412">
        <f t="shared" si="14"/>
        <v>94964.29240547154</v>
      </c>
      <c r="S76" s="412">
        <f t="shared" si="14"/>
        <v>101559.2247174771</v>
      </c>
      <c r="T76" s="412">
        <f t="shared" si="14"/>
        <v>108846.37215221401</v>
      </c>
      <c r="U76" s="412">
        <f t="shared" si="14"/>
        <v>116907.36187475765</v>
      </c>
      <c r="V76" s="412">
        <f t="shared" si="14"/>
        <v>125594.3473857146</v>
      </c>
      <c r="W76" s="412">
        <f t="shared" si="14"/>
        <v>134957.57696678097</v>
      </c>
      <c r="X76" s="412">
        <f t="shared" si="14"/>
        <v>145051.43491829425</v>
      </c>
      <c r="Y76" s="412">
        <f t="shared" si="14"/>
        <v>155934.78877833203</v>
      </c>
      <c r="Z76" s="412">
        <f t="shared" si="14"/>
        <v>167671.36615526085</v>
      </c>
      <c r="AA76" s="412">
        <f t="shared" si="14"/>
        <v>180330.1637320494</v>
      </c>
      <c r="AB76" s="412">
        <f t="shared" si="14"/>
        <v>193985.89122401548</v>
      </c>
      <c r="AC76" s="412">
        <f t="shared" si="14"/>
        <v>208719.45331470386</v>
      </c>
      <c r="AD76" s="412">
        <f t="shared" si="14"/>
        <v>224618.47285903443</v>
      </c>
      <c r="AE76" s="412">
        <f t="shared" si="14"/>
        <v>241777.85893061955</v>
      </c>
      <c r="AF76" s="412">
        <f t="shared" si="14"/>
        <v>260300.42360329512</v>
      </c>
      <c r="AG76" s="412">
        <f t="shared" si="14"/>
        <v>280297.55169769964</v>
      </c>
      <c r="AH76" s="412">
        <f t="shared" si="14"/>
        <v>301889.9280946228</v>
      </c>
      <c r="AI76" s="412">
        <f t="shared" si="14"/>
        <v>325208.32762050576</v>
      </c>
      <c r="AJ76" s="412">
        <f t="shared" si="14"/>
        <v>350394.4729498363</v>
      </c>
      <c r="AK76" s="785">
        <f t="shared" si="14"/>
        <v>377601.9664473962</v>
      </c>
    </row>
    <row r="77" spans="1:37" ht="12.75">
      <c r="A77" s="530"/>
      <c r="B77" s="372" t="s">
        <v>515</v>
      </c>
      <c r="C77" s="360"/>
      <c r="D77" s="360"/>
      <c r="E77" s="360"/>
      <c r="F77" s="360"/>
      <c r="G77" s="360"/>
      <c r="H77" s="372" t="s">
        <v>516</v>
      </c>
      <c r="I77" s="791">
        <f aca="true" t="shared" si="15" ref="I77:AK77">I76/I75*100</f>
        <v>57520.49394755547</v>
      </c>
      <c r="J77" s="791">
        <f t="shared" si="15"/>
        <v>59216.3094892903</v>
      </c>
      <c r="K77" s="791">
        <f t="shared" si="15"/>
        <v>61817.33214655203</v>
      </c>
      <c r="L77" s="791">
        <f t="shared" si="15"/>
        <v>63676.00318546347</v>
      </c>
      <c r="M77" s="791">
        <f t="shared" si="15"/>
        <v>65842.29462957912</v>
      </c>
      <c r="N77" s="791">
        <f t="shared" si="15"/>
        <v>69216.4974984536</v>
      </c>
      <c r="O77" s="791">
        <f t="shared" si="15"/>
        <v>70576.81485788208</v>
      </c>
      <c r="P77" s="791">
        <f t="shared" si="15"/>
        <v>70372.06482148019</v>
      </c>
      <c r="Q77" s="791">
        <f t="shared" si="15"/>
        <v>71568.24930556481</v>
      </c>
      <c r="R77" s="791">
        <f t="shared" si="15"/>
        <v>73224.58883684958</v>
      </c>
      <c r="S77" s="791">
        <f t="shared" si="15"/>
        <v>75081.28098357818</v>
      </c>
      <c r="T77" s="791">
        <f t="shared" si="15"/>
        <v>77077.16931458714</v>
      </c>
      <c r="U77" s="791">
        <f t="shared" si="15"/>
        <v>79220.46148497335</v>
      </c>
      <c r="V77" s="791">
        <f t="shared" si="15"/>
        <v>81442.16512100778</v>
      </c>
      <c r="W77" s="791">
        <f t="shared" si="15"/>
        <v>83745.25301980814</v>
      </c>
      <c r="X77" s="791">
        <f t="shared" si="15"/>
        <v>86132.81987803844</v>
      </c>
      <c r="Y77" s="791">
        <f t="shared" si="15"/>
        <v>88608.08734593775</v>
      </c>
      <c r="Z77" s="791">
        <f t="shared" si="15"/>
        <v>91174.40929990832</v>
      </c>
      <c r="AA77" s="791">
        <f t="shared" si="15"/>
        <v>93835.27734306913</v>
      </c>
      <c r="AB77" s="791">
        <f t="shared" si="15"/>
        <v>96594.32654359868</v>
      </c>
      <c r="AC77" s="791">
        <f t="shared" si="15"/>
        <v>99455.34142112885</v>
      </c>
      <c r="AD77" s="791">
        <f t="shared" si="15"/>
        <v>102422.26219190694</v>
      </c>
      <c r="AE77" s="791">
        <f t="shared" si="15"/>
        <v>105499.1912839198</v>
      </c>
      <c r="AF77" s="791">
        <f t="shared" si="15"/>
        <v>108690.40013366973</v>
      </c>
      <c r="AG77" s="791">
        <f t="shared" si="15"/>
        <v>112000.33627681139</v>
      </c>
      <c r="AH77" s="791">
        <f t="shared" si="15"/>
        <v>115433.63074540069</v>
      </c>
      <c r="AI77" s="791">
        <f t="shared" si="15"/>
        <v>118995.10578506981</v>
      </c>
      <c r="AJ77" s="791">
        <f t="shared" si="15"/>
        <v>122689.7829060357</v>
      </c>
      <c r="AK77" s="792">
        <f t="shared" si="15"/>
        <v>126522.89128246243</v>
      </c>
    </row>
    <row r="78" spans="1:37" ht="12.75">
      <c r="A78" s="530"/>
      <c r="B78" s="372" t="s">
        <v>517</v>
      </c>
      <c r="C78" s="360"/>
      <c r="D78" s="360"/>
      <c r="E78" s="360"/>
      <c r="F78" s="360"/>
      <c r="G78" s="360"/>
      <c r="H78" s="372" t="s">
        <v>546</v>
      </c>
      <c r="I78" s="786">
        <v>2644.02627957709</v>
      </c>
      <c r="J78" s="786">
        <v>2721.9772940755</v>
      </c>
      <c r="K78" s="786">
        <v>2841.53767660361</v>
      </c>
      <c r="L78" s="786">
        <v>2926.97461802577</v>
      </c>
      <c r="M78" s="786">
        <v>3026.55184892867</v>
      </c>
      <c r="N78" s="786">
        <v>3181.65276071956</v>
      </c>
      <c r="O78" s="786">
        <v>3244.18214453216</v>
      </c>
      <c r="P78" s="786">
        <f>P77/P80</f>
        <v>3234.770464315011</v>
      </c>
      <c r="Q78" s="786">
        <f>Q77/Q80</f>
        <v>3289.7550984706895</v>
      </c>
      <c r="R78" s="786">
        <f aca="true" t="shared" si="16" ref="R78:AK78">R77/R80</f>
        <v>3365.891534260505</v>
      </c>
      <c r="S78" s="786">
        <f t="shared" si="16"/>
        <v>3451.237515407985</v>
      </c>
      <c r="T78" s="786">
        <f t="shared" si="16"/>
        <v>3542.9818835688025</v>
      </c>
      <c r="U78" s="786">
        <f t="shared" si="16"/>
        <v>3641.5019174309705</v>
      </c>
      <c r="V78" s="786">
        <f t="shared" si="16"/>
        <v>3743.626266354605</v>
      </c>
      <c r="W78" s="786">
        <f t="shared" si="16"/>
        <v>3849.491579965336</v>
      </c>
      <c r="X78" s="786">
        <f t="shared" si="16"/>
        <v>3959.2401112067178</v>
      </c>
      <c r="Y78" s="786">
        <f t="shared" si="16"/>
        <v>4073.019948657167</v>
      </c>
      <c r="Z78" s="786">
        <f t="shared" si="16"/>
        <v>4190.985258893357</v>
      </c>
      <c r="AA78" s="786">
        <f t="shared" si="16"/>
        <v>4313.296539332424</v>
      </c>
      <c r="AB78" s="786">
        <f t="shared" si="16"/>
        <v>4440.120882004557</v>
      </c>
      <c r="AC78" s="786">
        <f t="shared" si="16"/>
        <v>4571.63224872767</v>
      </c>
      <c r="AD78" s="786">
        <f t="shared" si="16"/>
        <v>4708.011758176798</v>
      </c>
      <c r="AE78" s="786">
        <f t="shared" si="16"/>
        <v>4849.447985362742</v>
      </c>
      <c r="AF78" s="786">
        <f t="shared" si="16"/>
        <v>4996.137274057321</v>
      </c>
      <c r="AG78" s="786">
        <f t="shared" si="16"/>
        <v>5148.284062726441</v>
      </c>
      <c r="AH78" s="786">
        <f t="shared" si="16"/>
        <v>5306.101224557095</v>
      </c>
      <c r="AI78" s="786">
        <f t="shared" si="16"/>
        <v>5469.810422190305</v>
      </c>
      <c r="AJ78" s="786">
        <f t="shared" si="16"/>
        <v>5639.6424777992925</v>
      </c>
      <c r="AK78" s="787">
        <f t="shared" si="16"/>
        <v>5815.837759180306</v>
      </c>
    </row>
    <row r="79" spans="1:37" ht="12.75">
      <c r="A79" s="530"/>
      <c r="B79" s="372"/>
      <c r="C79" s="372" t="s">
        <v>518</v>
      </c>
      <c r="D79" s="360"/>
      <c r="E79" s="360"/>
      <c r="F79" s="360"/>
      <c r="G79" s="360"/>
      <c r="H79" s="372"/>
      <c r="I79" s="786"/>
      <c r="J79" s="786"/>
      <c r="K79" s="786"/>
      <c r="L79" s="786"/>
      <c r="M79" s="786"/>
      <c r="N79" s="786"/>
      <c r="O79" s="786"/>
      <c r="P79" s="360"/>
      <c r="Q79" s="360"/>
      <c r="R79" s="360"/>
      <c r="S79" s="360"/>
      <c r="T79" s="360"/>
      <c r="U79" s="360"/>
      <c r="V79" s="360"/>
      <c r="W79" s="360"/>
      <c r="X79" s="360"/>
      <c r="Y79" s="360"/>
      <c r="Z79" s="360"/>
      <c r="AA79" s="360"/>
      <c r="AB79" s="360"/>
      <c r="AC79" s="360"/>
      <c r="AD79" s="360"/>
      <c r="AE79" s="360"/>
      <c r="AF79" s="360"/>
      <c r="AG79" s="360"/>
      <c r="AH79" s="360"/>
      <c r="AI79" s="360"/>
      <c r="AJ79" s="360"/>
      <c r="AK79" s="361"/>
    </row>
    <row r="80" spans="1:37" ht="12.75">
      <c r="A80" s="530"/>
      <c r="B80" s="372" t="s">
        <v>519</v>
      </c>
      <c r="C80" s="360"/>
      <c r="D80" s="360"/>
      <c r="E80" s="360"/>
      <c r="F80" s="360"/>
      <c r="G80" s="360"/>
      <c r="H80" s="372" t="s">
        <v>545</v>
      </c>
      <c r="I80" s="786">
        <f aca="true" t="shared" si="17" ref="I80:N80">I77/I78</f>
        <v>21.754887382116273</v>
      </c>
      <c r="J80" s="786">
        <f t="shared" si="17"/>
        <v>21.75488738211635</v>
      </c>
      <c r="K80" s="786">
        <f t="shared" si="17"/>
        <v>21.75488738211633</v>
      </c>
      <c r="L80" s="786">
        <f t="shared" si="17"/>
        <v>21.75488738211629</v>
      </c>
      <c r="M80" s="786">
        <f t="shared" si="17"/>
        <v>21.754887382116312</v>
      </c>
      <c r="N80" s="786">
        <f t="shared" si="17"/>
        <v>21.754887382116348</v>
      </c>
      <c r="O80" s="786">
        <f>O77/O78</f>
        <v>21.754886659750078</v>
      </c>
      <c r="P80" s="786">
        <f>O80</f>
        <v>21.754886659750078</v>
      </c>
      <c r="Q80" s="786">
        <f aca="true" t="shared" si="18" ref="Q80:AK80">P80</f>
        <v>21.754886659750078</v>
      </c>
      <c r="R80" s="786">
        <f t="shared" si="18"/>
        <v>21.754886659750078</v>
      </c>
      <c r="S80" s="786">
        <f t="shared" si="18"/>
        <v>21.754886659750078</v>
      </c>
      <c r="T80" s="786">
        <f t="shared" si="18"/>
        <v>21.754886659750078</v>
      </c>
      <c r="U80" s="786">
        <f t="shared" si="18"/>
        <v>21.754886659750078</v>
      </c>
      <c r="V80" s="786">
        <f t="shared" si="18"/>
        <v>21.754886659750078</v>
      </c>
      <c r="W80" s="786">
        <f t="shared" si="18"/>
        <v>21.754886659750078</v>
      </c>
      <c r="X80" s="786">
        <f t="shared" si="18"/>
        <v>21.754886659750078</v>
      </c>
      <c r="Y80" s="786">
        <f t="shared" si="18"/>
        <v>21.754886659750078</v>
      </c>
      <c r="Z80" s="786">
        <f t="shared" si="18"/>
        <v>21.754886659750078</v>
      </c>
      <c r="AA80" s="786">
        <f t="shared" si="18"/>
        <v>21.754886659750078</v>
      </c>
      <c r="AB80" s="786">
        <f t="shared" si="18"/>
        <v>21.754886659750078</v>
      </c>
      <c r="AC80" s="786">
        <f t="shared" si="18"/>
        <v>21.754886659750078</v>
      </c>
      <c r="AD80" s="786">
        <f t="shared" si="18"/>
        <v>21.754886659750078</v>
      </c>
      <c r="AE80" s="786">
        <f t="shared" si="18"/>
        <v>21.754886659750078</v>
      </c>
      <c r="AF80" s="786">
        <f t="shared" si="18"/>
        <v>21.754886659750078</v>
      </c>
      <c r="AG80" s="786">
        <f t="shared" si="18"/>
        <v>21.754886659750078</v>
      </c>
      <c r="AH80" s="786">
        <f t="shared" si="18"/>
        <v>21.754886659750078</v>
      </c>
      <c r="AI80" s="786">
        <f t="shared" si="18"/>
        <v>21.754886659750078</v>
      </c>
      <c r="AJ80" s="786">
        <f t="shared" si="18"/>
        <v>21.754886659750078</v>
      </c>
      <c r="AK80" s="787">
        <f t="shared" si="18"/>
        <v>21.754886659750078</v>
      </c>
    </row>
    <row r="81" spans="1:37" ht="12.75">
      <c r="A81" s="530"/>
      <c r="B81" s="372" t="s">
        <v>515</v>
      </c>
      <c r="C81" s="360"/>
      <c r="D81" s="360"/>
      <c r="E81" s="360"/>
      <c r="F81" s="360"/>
      <c r="G81" s="360"/>
      <c r="H81" s="372" t="s">
        <v>221</v>
      </c>
      <c r="I81" s="786">
        <f aca="true" t="shared" si="19" ref="I81:AK81">I64/I65</f>
        <v>1133.5482748351724</v>
      </c>
      <c r="J81" s="786">
        <f t="shared" si="19"/>
        <v>1128.907775581576</v>
      </c>
      <c r="K81" s="786">
        <f t="shared" si="19"/>
        <v>1175.5576161354709</v>
      </c>
      <c r="L81" s="786">
        <f t="shared" si="19"/>
        <v>1270.6228570044152</v>
      </c>
      <c r="M81" s="786">
        <f t="shared" si="19"/>
        <v>1437.9754372802913</v>
      </c>
      <c r="N81" s="786">
        <f t="shared" si="19"/>
        <v>1685.368420982188</v>
      </c>
      <c r="O81" s="786">
        <f t="shared" si="19"/>
        <v>1876.9526433695892</v>
      </c>
      <c r="P81" s="786">
        <f t="shared" si="19"/>
        <v>1811.130222496762</v>
      </c>
      <c r="Q81" s="786">
        <f t="shared" si="19"/>
        <v>1887.283201929743</v>
      </c>
      <c r="R81" s="786">
        <f t="shared" si="19"/>
        <v>1980.3759041828241</v>
      </c>
      <c r="S81" s="786">
        <f t="shared" si="19"/>
        <v>2080.4577272823594</v>
      </c>
      <c r="T81" s="786">
        <f t="shared" si="19"/>
        <v>2188.1611019827956</v>
      </c>
      <c r="U81" s="786">
        <f t="shared" si="19"/>
        <v>2304.1302386287275</v>
      </c>
      <c r="V81" s="786">
        <f t="shared" si="19"/>
        <v>2426.8061394232473</v>
      </c>
      <c r="W81" s="786">
        <f t="shared" si="19"/>
        <v>2556.595922507772</v>
      </c>
      <c r="X81" s="786">
        <f t="shared" si="19"/>
        <v>2693.932298772703</v>
      </c>
      <c r="Y81" s="786">
        <f t="shared" si="19"/>
        <v>2839.2752220784596</v>
      </c>
      <c r="Z81" s="786">
        <f t="shared" si="19"/>
        <v>2993.1136479776533</v>
      </c>
      <c r="AA81" s="786">
        <f t="shared" si="19"/>
        <v>3155.967408180018</v>
      </c>
      <c r="AB81" s="786">
        <f t="shared" si="19"/>
        <v>3328.389208490758</v>
      </c>
      <c r="AC81" s="786">
        <f t="shared" si="19"/>
        <v>3510.966758475363</v>
      </c>
      <c r="AD81" s="786">
        <f t="shared" si="19"/>
        <v>3704.3250416619853</v>
      </c>
      <c r="AE81" s="786">
        <f t="shared" si="19"/>
        <v>3909.128735688498</v>
      </c>
      <c r="AF81" s="786">
        <f t="shared" si="19"/>
        <v>4126.084792438175</v>
      </c>
      <c r="AG81" s="786">
        <f t="shared" si="19"/>
        <v>4355.945188888167</v>
      </c>
      <c r="AH81" s="786">
        <f t="shared" si="19"/>
        <v>4599.509860121681</v>
      </c>
      <c r="AI81" s="786">
        <f t="shared" si="19"/>
        <v>4857.629826731129</v>
      </c>
      <c r="AJ81" s="786">
        <f t="shared" si="19"/>
        <v>5131.210529669076</v>
      </c>
      <c r="AK81" s="787">
        <f t="shared" si="19"/>
        <v>5421.215386489965</v>
      </c>
    </row>
    <row r="82" spans="1:37" ht="12.75">
      <c r="A82" s="530"/>
      <c r="B82" s="372"/>
      <c r="C82" s="372" t="s">
        <v>520</v>
      </c>
      <c r="D82" s="360"/>
      <c r="E82" s="360"/>
      <c r="F82" s="360"/>
      <c r="G82" s="360"/>
      <c r="H82" s="372"/>
      <c r="I82" s="779"/>
      <c r="J82" s="779">
        <f aca="true" t="shared" si="20" ref="J82:AK82">(J81-I81)/I81</f>
        <v>-0.004093781761761391</v>
      </c>
      <c r="K82" s="779">
        <f t="shared" si="20"/>
        <v>0.04132298630848066</v>
      </c>
      <c r="L82" s="779">
        <f t="shared" si="20"/>
        <v>0.08086821059563366</v>
      </c>
      <c r="M82" s="779">
        <f t="shared" si="20"/>
        <v>0.13170909003669418</v>
      </c>
      <c r="N82" s="779">
        <f t="shared" si="20"/>
        <v>0.17204256574076274</v>
      </c>
      <c r="O82" s="779">
        <f t="shared" si="20"/>
        <v>0.11367498049818156</v>
      </c>
      <c r="P82" s="779">
        <f t="shared" si="20"/>
        <v>-0.03506877017134535</v>
      </c>
      <c r="Q82" s="779">
        <f t="shared" si="20"/>
        <v>0.04204721366087038</v>
      </c>
      <c r="R82" s="779">
        <f t="shared" si="20"/>
        <v>0.049326302569690686</v>
      </c>
      <c r="S82" s="779">
        <f t="shared" si="20"/>
        <v>0.050536780864758477</v>
      </c>
      <c r="T82" s="779">
        <f t="shared" si="20"/>
        <v>0.05176907624127787</v>
      </c>
      <c r="U82" s="779">
        <f t="shared" si="20"/>
        <v>0.052998445379934256</v>
      </c>
      <c r="V82" s="779">
        <f t="shared" si="20"/>
        <v>0.05324173900322956</v>
      </c>
      <c r="W82" s="779">
        <f t="shared" si="20"/>
        <v>0.05348172685741196</v>
      </c>
      <c r="X82" s="779">
        <f t="shared" si="20"/>
        <v>0.053718452359189164</v>
      </c>
      <c r="Y82" s="779">
        <f t="shared" si="20"/>
        <v>0.05395195839627147</v>
      </c>
      <c r="Z82" s="779">
        <f t="shared" si="20"/>
        <v>0.05418228733267287</v>
      </c>
      <c r="AA82" s="779">
        <f t="shared" si="20"/>
        <v>0.054409481013993455</v>
      </c>
      <c r="AB82" s="779">
        <f t="shared" si="20"/>
        <v>0.054633580772677236</v>
      </c>
      <c r="AC82" s="779">
        <f t="shared" si="20"/>
        <v>0.05485462743324837</v>
      </c>
      <c r="AD82" s="779">
        <f t="shared" si="20"/>
        <v>0.05507266131753075</v>
      </c>
      <c r="AE82" s="779">
        <f t="shared" si="20"/>
        <v>0.05528772224983407</v>
      </c>
      <c r="AF82" s="779">
        <f t="shared" si="20"/>
        <v>0.055499849562121256</v>
      </c>
      <c r="AG82" s="779">
        <f t="shared" si="20"/>
        <v>0.05570908209914977</v>
      </c>
      <c r="AH82" s="779">
        <f t="shared" si="20"/>
        <v>0.05591545822358783</v>
      </c>
      <c r="AI82" s="779">
        <f t="shared" si="20"/>
        <v>0.056119015821094145</v>
      </c>
      <c r="AJ82" s="779">
        <f t="shared" si="20"/>
        <v>0.05631979230538645</v>
      </c>
      <c r="AK82" s="780">
        <f t="shared" si="20"/>
        <v>0.0565178246232652</v>
      </c>
    </row>
    <row r="83" spans="1:37" ht="12.75">
      <c r="A83" s="530"/>
      <c r="B83" s="372" t="s">
        <v>521</v>
      </c>
      <c r="C83" s="360"/>
      <c r="D83" s="360"/>
      <c r="E83" s="360"/>
      <c r="F83" s="360"/>
      <c r="G83" s="360"/>
      <c r="H83" s="372" t="s">
        <v>544</v>
      </c>
      <c r="I83" s="793">
        <f aca="true" t="shared" si="21" ref="I83:AK83">I81/I78</f>
        <v>0.4287205023606961</v>
      </c>
      <c r="J83" s="793">
        <f t="shared" si="21"/>
        <v>0.4147381310045062</v>
      </c>
      <c r="K83" s="793">
        <f t="shared" si="21"/>
        <v>0.4137047436726489</v>
      </c>
      <c r="L83" s="793">
        <f t="shared" si="21"/>
        <v>0.43410791784092895</v>
      </c>
      <c r="M83" s="793">
        <f t="shared" si="21"/>
        <v>0.475120040579943</v>
      </c>
      <c r="N83" s="793">
        <f t="shared" si="21"/>
        <v>0.5297147576220814</v>
      </c>
      <c r="O83" s="793">
        <f t="shared" si="21"/>
        <v>0.5785595751869421</v>
      </c>
      <c r="P83" s="793">
        <f t="shared" si="21"/>
        <v>0.5598945095105174</v>
      </c>
      <c r="Q83" s="793">
        <f t="shared" si="21"/>
        <v>0.5736850146708748</v>
      </c>
      <c r="R83" s="793">
        <f t="shared" si="21"/>
        <v>0.5883659304006413</v>
      </c>
      <c r="S83" s="793">
        <f t="shared" si="21"/>
        <v>0.6028149954890659</v>
      </c>
      <c r="T83" s="793">
        <f t="shared" si="21"/>
        <v>0.6176043722184341</v>
      </c>
      <c r="U83" s="793">
        <f t="shared" si="21"/>
        <v>0.6327417342826115</v>
      </c>
      <c r="V83" s="793">
        <f t="shared" si="21"/>
        <v>0.6482501101228716</v>
      </c>
      <c r="W83" s="793">
        <f t="shared" si="21"/>
        <v>0.6641385932141183</v>
      </c>
      <c r="X83" s="793">
        <f t="shared" si="21"/>
        <v>0.6804164999105428</v>
      </c>
      <c r="Y83" s="793">
        <f t="shared" si="21"/>
        <v>0.6970933749083502</v>
      </c>
      <c r="Z83" s="793">
        <f t="shared" si="21"/>
        <v>0.7141789968423784</v>
      </c>
      <c r="AA83" s="793">
        <f t="shared" si="21"/>
        <v>0.7316833840198876</v>
      </c>
      <c r="AB83" s="793">
        <f t="shared" si="21"/>
        <v>0.7496168002948849</v>
      </c>
      <c r="AC83" s="793">
        <f t="shared" si="21"/>
        <v>0.7679897610864258</v>
      </c>
      <c r="AD83" s="793">
        <f t="shared" si="21"/>
        <v>0.7868130395444264</v>
      </c>
      <c r="AE83" s="793">
        <f t="shared" si="21"/>
        <v>0.8060976728665938</v>
      </c>
      <c r="AF83" s="793">
        <f t="shared" si="21"/>
        <v>0.8258549687701868</v>
      </c>
      <c r="AG83" s="793">
        <f t="shared" si="21"/>
        <v>0.8460965121223972</v>
      </c>
      <c r="AH83" s="793">
        <f t="shared" si="21"/>
        <v>0.8668341717332403</v>
      </c>
      <c r="AI83" s="793">
        <f t="shared" si="21"/>
        <v>0.8880801073149373</v>
      </c>
      <c r="AJ83" s="793">
        <f t="shared" si="21"/>
        <v>0.9098467766118719</v>
      </c>
      <c r="AK83" s="794">
        <f t="shared" si="21"/>
        <v>0.9321469427052999</v>
      </c>
    </row>
    <row r="84" spans="1:39" ht="12.75" customHeight="1">
      <c r="A84" s="795"/>
      <c r="B84" s="360"/>
      <c r="C84" s="796" t="s">
        <v>522</v>
      </c>
      <c r="D84" s="360"/>
      <c r="E84" s="360"/>
      <c r="F84" s="360"/>
      <c r="G84" s="796"/>
      <c r="H84" s="796"/>
      <c r="I84" s="796"/>
      <c r="J84" s="796"/>
      <c r="K84" s="796"/>
      <c r="L84" s="796"/>
      <c r="M84" s="796"/>
      <c r="N84" s="796"/>
      <c r="O84" s="796"/>
      <c r="P84" s="796"/>
      <c r="Q84" s="796"/>
      <c r="R84" s="796"/>
      <c r="S84" s="796"/>
      <c r="T84" s="796"/>
      <c r="U84" s="796"/>
      <c r="V84" s="796"/>
      <c r="W84" s="796"/>
      <c r="X84" s="796"/>
      <c r="Y84" s="796"/>
      <c r="Z84" s="796"/>
      <c r="AA84" s="796"/>
      <c r="AB84" s="796"/>
      <c r="AC84" s="796"/>
      <c r="AD84" s="796"/>
      <c r="AE84" s="796"/>
      <c r="AF84" s="796"/>
      <c r="AG84" s="796"/>
      <c r="AH84" s="796"/>
      <c r="AI84" s="796"/>
      <c r="AJ84" s="796"/>
      <c r="AK84" s="797"/>
      <c r="AL84" s="798"/>
      <c r="AM84" s="798"/>
    </row>
    <row r="85" spans="1:39" ht="12.75" customHeight="1">
      <c r="A85" s="530"/>
      <c r="B85" s="799" t="s">
        <v>523</v>
      </c>
      <c r="C85" s="204"/>
      <c r="D85" s="204"/>
      <c r="E85" s="204"/>
      <c r="F85" s="799" t="s">
        <v>223</v>
      </c>
      <c r="G85" s="796"/>
      <c r="H85" s="796"/>
      <c r="I85" s="796"/>
      <c r="J85" s="796"/>
      <c r="K85" s="796"/>
      <c r="L85" s="796"/>
      <c r="M85" s="796"/>
      <c r="N85" s="796"/>
      <c r="O85" s="796"/>
      <c r="P85" s="800">
        <v>97976603</v>
      </c>
      <c r="Q85" s="385">
        <f aca="true" t="shared" si="22" ref="Q85:AI85">P85*(1+$P$86)</f>
        <v>99894005.12071002</v>
      </c>
      <c r="R85" s="385">
        <f t="shared" si="22"/>
        <v>101848930.80092232</v>
      </c>
      <c r="S85" s="385">
        <f t="shared" si="22"/>
        <v>103842114.37669638</v>
      </c>
      <c r="T85" s="385">
        <f t="shared" si="22"/>
        <v>105874304.55504833</v>
      </c>
      <c r="U85" s="385">
        <f t="shared" si="22"/>
        <v>107946264.69519064</v>
      </c>
      <c r="V85" s="385">
        <f t="shared" si="22"/>
        <v>110058773.09527552</v>
      </c>
      <c r="W85" s="385">
        <f t="shared" si="22"/>
        <v>112212623.28475007</v>
      </c>
      <c r="X85" s="385">
        <f t="shared" si="22"/>
        <v>114408624.32243264</v>
      </c>
      <c r="Y85" s="385">
        <f t="shared" si="22"/>
        <v>116647601.10042265</v>
      </c>
      <c r="Z85" s="385">
        <f t="shared" si="22"/>
        <v>118930394.65395793</v>
      </c>
      <c r="AA85" s="385">
        <f t="shared" si="22"/>
        <v>121257862.4773359</v>
      </c>
      <c r="AB85" s="385">
        <f t="shared" si="22"/>
        <v>123630878.84601738</v>
      </c>
      <c r="AC85" s="385">
        <f t="shared" si="22"/>
        <v>126050335.14503394</v>
      </c>
      <c r="AD85" s="385">
        <f t="shared" si="22"/>
        <v>128517140.20382227</v>
      </c>
      <c r="AE85" s="385">
        <f t="shared" si="22"/>
        <v>131032220.63761108</v>
      </c>
      <c r="AF85" s="385">
        <f t="shared" si="22"/>
        <v>133596521.19548914</v>
      </c>
      <c r="AG85" s="385">
        <f t="shared" si="22"/>
        <v>136211005.11528486</v>
      </c>
      <c r="AH85" s="385">
        <f t="shared" si="22"/>
        <v>138876654.485391</v>
      </c>
      <c r="AI85" s="385">
        <f t="shared" si="22"/>
        <v>141594470.6136701</v>
      </c>
      <c r="AJ85" s="385">
        <f>AI85*(1+$P$86)</f>
        <v>144365474.40357965</v>
      </c>
      <c r="AK85" s="801">
        <f>AJ85*(1+$P$86)</f>
        <v>147190706.73765773</v>
      </c>
      <c r="AL85" s="220"/>
      <c r="AM85" s="220"/>
    </row>
    <row r="86" spans="1:39" ht="12.75" customHeight="1" thickBot="1">
      <c r="A86" s="530"/>
      <c r="B86" s="799" t="s">
        <v>524</v>
      </c>
      <c r="C86" s="204"/>
      <c r="D86" s="204"/>
      <c r="E86" s="204"/>
      <c r="F86" s="799" t="s">
        <v>211</v>
      </c>
      <c r="G86" s="796"/>
      <c r="H86" s="796"/>
      <c r="I86" s="796"/>
      <c r="J86" s="796"/>
      <c r="K86" s="796"/>
      <c r="L86" s="796"/>
      <c r="M86" s="796"/>
      <c r="N86" s="796"/>
      <c r="O86" s="796"/>
      <c r="P86" s="802">
        <v>0.01957</v>
      </c>
      <c r="Q86" s="796"/>
      <c r="R86" s="796"/>
      <c r="S86" s="796"/>
      <c r="T86" s="796"/>
      <c r="U86" s="796"/>
      <c r="V86" s="796"/>
      <c r="W86" s="796"/>
      <c r="X86" s="796"/>
      <c r="Y86" s="796"/>
      <c r="Z86" s="796"/>
      <c r="AA86" s="796"/>
      <c r="AB86" s="796"/>
      <c r="AC86" s="796"/>
      <c r="AD86" s="796"/>
      <c r="AE86" s="796"/>
      <c r="AF86" s="796"/>
      <c r="AG86" s="796"/>
      <c r="AH86" s="796"/>
      <c r="AI86" s="796"/>
      <c r="AJ86" s="360"/>
      <c r="AK86" s="361"/>
      <c r="AL86" s="798"/>
      <c r="AM86" s="798"/>
    </row>
    <row r="87" spans="1:39" ht="12.75" customHeight="1">
      <c r="A87" s="803"/>
      <c r="B87" s="804" t="s">
        <v>521</v>
      </c>
      <c r="C87" s="805"/>
      <c r="D87" s="805"/>
      <c r="E87" s="805"/>
      <c r="F87" s="804" t="s">
        <v>533</v>
      </c>
      <c r="G87" s="367"/>
      <c r="H87" s="367"/>
      <c r="I87" s="806">
        <f>(P70/L70)*L80</f>
        <v>27.52477844023955</v>
      </c>
      <c r="J87" s="807" t="s">
        <v>525</v>
      </c>
      <c r="K87" s="807"/>
      <c r="L87" s="807"/>
      <c r="M87" s="807"/>
      <c r="N87" s="807"/>
      <c r="O87" s="808"/>
      <c r="P87" s="807"/>
      <c r="Q87" s="807"/>
      <c r="R87" s="807"/>
      <c r="S87" s="807"/>
      <c r="T87" s="807"/>
      <c r="U87" s="807"/>
      <c r="V87" s="807"/>
      <c r="W87" s="807"/>
      <c r="X87" s="807"/>
      <c r="Y87" s="807"/>
      <c r="Z87" s="807"/>
      <c r="AA87" s="807"/>
      <c r="AB87" s="807"/>
      <c r="AC87" s="807"/>
      <c r="AD87" s="807"/>
      <c r="AE87" s="807"/>
      <c r="AF87" s="807"/>
      <c r="AG87" s="807"/>
      <c r="AH87" s="807"/>
      <c r="AI87" s="807"/>
      <c r="AJ87" s="807"/>
      <c r="AK87" s="809"/>
      <c r="AL87" s="798"/>
      <c r="AM87" s="798"/>
    </row>
    <row r="88" spans="2:37" ht="12.75">
      <c r="B88" s="212"/>
      <c r="H88" s="212"/>
      <c r="I88" s="810"/>
      <c r="J88" s="810"/>
      <c r="K88" s="810"/>
      <c r="L88" s="810"/>
      <c r="M88" s="810"/>
      <c r="N88" s="810"/>
      <c r="O88" s="810"/>
      <c r="P88" s="810"/>
      <c r="Q88" s="810"/>
      <c r="R88" s="810"/>
      <c r="S88" s="810"/>
      <c r="T88" s="810"/>
      <c r="U88" s="810"/>
      <c r="V88" s="810"/>
      <c r="W88" s="810"/>
      <c r="X88" s="810"/>
      <c r="Y88" s="810"/>
      <c r="Z88" s="810"/>
      <c r="AA88" s="810"/>
      <c r="AB88" s="810"/>
      <c r="AC88" s="810"/>
      <c r="AD88" s="810"/>
      <c r="AE88" s="810"/>
      <c r="AF88" s="810"/>
      <c r="AG88" s="810"/>
      <c r="AH88" s="810"/>
      <c r="AI88" s="810"/>
      <c r="AJ88" s="810"/>
      <c r="AK88" s="810"/>
    </row>
    <row r="89" ht="12.75"/>
    <row r="90" spans="1:12" ht="15">
      <c r="A90" s="897" t="s">
        <v>206</v>
      </c>
      <c r="B90" s="898"/>
      <c r="C90" s="898"/>
      <c r="D90" s="898"/>
      <c r="E90" s="898"/>
      <c r="F90" s="898"/>
      <c r="G90" s="898"/>
      <c r="H90" s="898"/>
      <c r="I90" s="898"/>
      <c r="J90" s="898"/>
      <c r="K90" s="898"/>
      <c r="L90" s="963"/>
    </row>
    <row r="91" spans="1:12" ht="12.75">
      <c r="A91" s="359" t="s">
        <v>626</v>
      </c>
      <c r="B91" s="360"/>
      <c r="C91" s="360"/>
      <c r="D91" s="360"/>
      <c r="E91" s="360"/>
      <c r="F91" s="360"/>
      <c r="G91" s="360"/>
      <c r="H91" s="360"/>
      <c r="I91" s="360"/>
      <c r="J91" s="360"/>
      <c r="K91" s="360"/>
      <c r="L91" s="361"/>
    </row>
    <row r="92" spans="1:12" ht="12.75">
      <c r="A92" s="359" t="s">
        <v>252</v>
      </c>
      <c r="B92" s="360"/>
      <c r="C92" s="360"/>
      <c r="D92" s="360"/>
      <c r="E92" s="360"/>
      <c r="F92" s="360"/>
      <c r="G92" s="360"/>
      <c r="H92" s="360"/>
      <c r="I92" s="360"/>
      <c r="J92" s="360"/>
      <c r="K92" s="360"/>
      <c r="L92" s="361"/>
    </row>
    <row r="93" spans="1:12" ht="12.75">
      <c r="A93" s="359" t="s">
        <v>253</v>
      </c>
      <c r="B93" s="360"/>
      <c r="C93" s="360"/>
      <c r="D93" s="360"/>
      <c r="E93" s="360"/>
      <c r="F93" s="360"/>
      <c r="G93" s="360"/>
      <c r="H93" s="360"/>
      <c r="I93" s="360"/>
      <c r="J93" s="360"/>
      <c r="K93" s="360"/>
      <c r="L93" s="361"/>
    </row>
    <row r="94" spans="1:12" ht="12.75">
      <c r="A94" s="359" t="s">
        <v>256</v>
      </c>
      <c r="B94" s="360"/>
      <c r="C94" s="360"/>
      <c r="D94" s="360"/>
      <c r="E94" s="360"/>
      <c r="F94" s="360"/>
      <c r="G94" s="360"/>
      <c r="H94" s="360"/>
      <c r="I94" s="360"/>
      <c r="J94" s="360"/>
      <c r="K94" s="360"/>
      <c r="L94" s="361"/>
    </row>
    <row r="95" spans="1:12" ht="12.75">
      <c r="A95" s="811" t="s">
        <v>359</v>
      </c>
      <c r="B95" s="367"/>
      <c r="C95" s="367"/>
      <c r="D95" s="812" t="s">
        <v>360</v>
      </c>
      <c r="E95" s="367"/>
      <c r="F95" s="367"/>
      <c r="G95" s="367"/>
      <c r="H95" s="367"/>
      <c r="I95" s="367"/>
      <c r="J95" s="367"/>
      <c r="K95" s="367"/>
      <c r="L95" s="720"/>
    </row>
    <row r="111" ht="12" customHeight="1"/>
  </sheetData>
  <sheetProtection/>
  <mergeCells count="4">
    <mergeCell ref="A8:H8"/>
    <mergeCell ref="A90:L90"/>
    <mergeCell ref="I54:AK54"/>
    <mergeCell ref="A54:G54"/>
  </mergeCells>
  <printOptions/>
  <pageMargins left="0.7" right="0.7" top="0.75" bottom="0.75" header="0.3" footer="0.3"/>
  <pageSetup horizontalDpi="200" verticalDpi="200" orientation="portrait" r:id="rId4"/>
  <drawing r:id="rId3"/>
  <legacyDrawing r:id="rId2"/>
</worksheet>
</file>

<file path=xl/worksheets/sheet14.xml><?xml version="1.0" encoding="utf-8"?>
<worksheet xmlns="http://schemas.openxmlformats.org/spreadsheetml/2006/main" xmlns:r="http://schemas.openxmlformats.org/officeDocument/2006/relationships">
  <sheetPr codeName="Sheet2"/>
  <dimension ref="A1:K57"/>
  <sheetViews>
    <sheetView zoomScale="85" zoomScaleNormal="85" zoomScalePageLayoutView="0" workbookViewId="0" topLeftCell="A1">
      <selection activeCell="A1" sqref="A1"/>
    </sheetView>
  </sheetViews>
  <sheetFormatPr defaultColWidth="9.140625" defaultRowHeight="12.75"/>
  <cols>
    <col min="1" max="1" width="52.28125" style="210" customWidth="1"/>
    <col min="2" max="2" width="7.140625" style="210" customWidth="1"/>
    <col min="3" max="3" width="15.140625" style="210" bestFit="1" customWidth="1"/>
    <col min="4" max="4" width="10.00390625" style="210" customWidth="1"/>
    <col min="5" max="5" width="16.7109375" style="224" bestFit="1" customWidth="1"/>
    <col min="6" max="6" width="13.421875" style="210" customWidth="1"/>
    <col min="7" max="7" width="12.28125" style="210" customWidth="1"/>
    <col min="8" max="8" width="10.421875" style="210" customWidth="1"/>
    <col min="9" max="9" width="18.8515625" style="210" customWidth="1"/>
    <col min="10" max="10" width="10.28125" style="210" bestFit="1" customWidth="1"/>
    <col min="11" max="16384" width="9.140625" style="210" customWidth="1"/>
  </cols>
  <sheetData>
    <row r="1" ht="12.75">
      <c r="K1" s="200" t="s">
        <v>691</v>
      </c>
    </row>
    <row r="2" spans="1:7" s="204" customFormat="1" ht="18">
      <c r="A2" s="203" t="s">
        <v>607</v>
      </c>
      <c r="G2" s="205"/>
    </row>
    <row r="3" ht="12.75">
      <c r="A3" s="395">
        <f>IF('ERR &amp; Sensitivity Analysis'!$I$12="y",IF('ERR &amp; Sensitivity Analysis'!$I$16="y","","Note: Current calculations are based on user input and are not the original MCC estimates"),"Note: Current calculations are based on user input and are not the original MCC estimates")</f>
      </c>
    </row>
    <row r="4" ht="18">
      <c r="A4" s="394" t="s">
        <v>647</v>
      </c>
    </row>
    <row r="5" ht="12.75">
      <c r="A5" s="395"/>
    </row>
    <row r="6" ht="12.75">
      <c r="A6" s="212" t="s">
        <v>284</v>
      </c>
    </row>
    <row r="7" ht="12.75">
      <c r="A7" s="212"/>
    </row>
    <row r="8" spans="1:9" ht="12.75">
      <c r="A8" s="1065" t="s">
        <v>201</v>
      </c>
      <c r="B8" s="1058"/>
      <c r="C8" s="1058"/>
      <c r="D8" s="1058"/>
      <c r="E8" s="1058"/>
      <c r="F8" s="1058"/>
      <c r="G8" s="1058"/>
      <c r="H8" s="1058"/>
      <c r="I8" s="1066"/>
    </row>
    <row r="9" spans="1:9" ht="12.75" customHeight="1">
      <c r="A9" s="1067" t="s">
        <v>83</v>
      </c>
      <c r="B9" s="1067" t="s">
        <v>72</v>
      </c>
      <c r="C9" s="1069" t="s">
        <v>480</v>
      </c>
      <c r="D9" s="1067" t="s">
        <v>196</v>
      </c>
      <c r="E9" s="1068" t="s">
        <v>101</v>
      </c>
      <c r="F9" s="994" t="s">
        <v>82</v>
      </c>
      <c r="G9" s="1070" t="s">
        <v>195</v>
      </c>
      <c r="H9" s="1072" t="s">
        <v>261</v>
      </c>
      <c r="I9" s="1073"/>
    </row>
    <row r="10" spans="1:9" s="219" customFormat="1" ht="12.75">
      <c r="A10" s="1067"/>
      <c r="B10" s="1067"/>
      <c r="C10" s="1069"/>
      <c r="D10" s="1067"/>
      <c r="E10" s="1068"/>
      <c r="F10" s="995"/>
      <c r="G10" s="1071"/>
      <c r="H10" s="1074"/>
      <c r="I10" s="1075"/>
    </row>
    <row r="11" spans="1:9" ht="12.75">
      <c r="A11" s="530" t="s">
        <v>77</v>
      </c>
      <c r="B11" s="595" t="s">
        <v>137</v>
      </c>
      <c r="C11" s="403">
        <v>982169.0380016328</v>
      </c>
      <c r="D11" s="360">
        <v>2.51</v>
      </c>
      <c r="E11" s="403">
        <v>2465244.285384098</v>
      </c>
      <c r="F11" s="707">
        <v>666.6666666666666</v>
      </c>
      <c r="G11" s="405" t="s">
        <v>87</v>
      </c>
      <c r="H11" s="1063">
        <f>'ERR &amp; Sensitivity Analysis'!G17</f>
        <v>0.232660228270413</v>
      </c>
      <c r="I11" s="1064"/>
    </row>
    <row r="12" spans="1:9" ht="12.75">
      <c r="A12" s="708" t="s">
        <v>399</v>
      </c>
      <c r="B12" s="595" t="s">
        <v>137</v>
      </c>
      <c r="C12" s="403">
        <v>3398294.900398406</v>
      </c>
      <c r="D12" s="360">
        <v>2.51</v>
      </c>
      <c r="E12" s="403">
        <v>8529720.2</v>
      </c>
      <c r="F12" s="707">
        <v>666.6666666666666</v>
      </c>
      <c r="G12" s="405" t="s">
        <v>87</v>
      </c>
      <c r="H12" s="1061">
        <f>'ERR &amp; Sensitivity Analysis'!G18</f>
        <v>0.062774363476734</v>
      </c>
      <c r="I12" s="1062"/>
    </row>
    <row r="13" spans="1:9" ht="12.75">
      <c r="A13" s="359" t="s">
        <v>414</v>
      </c>
      <c r="B13" s="595" t="s">
        <v>197</v>
      </c>
      <c r="C13" s="410">
        <v>1218035.7514719456</v>
      </c>
      <c r="D13" s="360">
        <v>1</v>
      </c>
      <c r="E13" s="403">
        <v>1218035.7514719456</v>
      </c>
      <c r="F13" s="707">
        <v>121</v>
      </c>
      <c r="G13" s="411" t="s">
        <v>87</v>
      </c>
      <c r="H13" s="1061">
        <f>'ERR &amp; Sensitivity Analysis'!G19</f>
        <v>0.120376975417032</v>
      </c>
      <c r="I13" s="1062"/>
    </row>
    <row r="14" spans="1:9" ht="12.75">
      <c r="A14" s="359" t="s">
        <v>415</v>
      </c>
      <c r="B14" s="595" t="s">
        <v>197</v>
      </c>
      <c r="C14" s="403">
        <v>1050782.4619445591</v>
      </c>
      <c r="D14" s="360">
        <v>1</v>
      </c>
      <c r="E14" s="403">
        <v>1050782.4619445591</v>
      </c>
      <c r="F14" s="707">
        <v>121</v>
      </c>
      <c r="G14" s="411" t="s">
        <v>87</v>
      </c>
      <c r="H14" s="1061">
        <f>'ERR &amp; Sensitivity Analysis'!G20</f>
        <v>0.175935579455663</v>
      </c>
      <c r="I14" s="1062"/>
    </row>
    <row r="15" spans="1:10" ht="12.75">
      <c r="A15" s="359" t="s">
        <v>258</v>
      </c>
      <c r="B15" s="530" t="s">
        <v>88</v>
      </c>
      <c r="C15" s="403">
        <v>223785.83871728161</v>
      </c>
      <c r="D15" s="360">
        <v>1</v>
      </c>
      <c r="E15" s="403">
        <v>223785.83871728161</v>
      </c>
      <c r="F15" s="707">
        <v>100</v>
      </c>
      <c r="G15" s="405" t="s">
        <v>87</v>
      </c>
      <c r="H15" s="1061">
        <f>'ERR &amp; Sensitivity Analysis'!G21</f>
        <v>0.0447761194029851</v>
      </c>
      <c r="I15" s="1062"/>
      <c r="J15" s="709"/>
    </row>
    <row r="16" spans="1:9" ht="12.75">
      <c r="A16" s="530" t="s">
        <v>239</v>
      </c>
      <c r="B16" s="595" t="s">
        <v>198</v>
      </c>
      <c r="C16" s="813">
        <v>9383.16029672135</v>
      </c>
      <c r="D16" s="412">
        <v>145.45454545454547</v>
      </c>
      <c r="E16" s="813">
        <v>1364823.31588674</v>
      </c>
      <c r="F16" s="707">
        <v>80</v>
      </c>
      <c r="G16" s="411" t="s">
        <v>90</v>
      </c>
      <c r="H16" s="1061">
        <f>'ERR &amp; Sensitivity Analysis'!G22</f>
        <v>0.138718173836699</v>
      </c>
      <c r="I16" s="1062"/>
    </row>
    <row r="17" spans="1:9" ht="12.75">
      <c r="A17" s="530" t="s">
        <v>238</v>
      </c>
      <c r="B17" s="595" t="s">
        <v>198</v>
      </c>
      <c r="C17" s="403">
        <v>12565.563320194766</v>
      </c>
      <c r="D17" s="412">
        <v>145.45454545454547</v>
      </c>
      <c r="E17" s="403">
        <v>1827718.3011192388</v>
      </c>
      <c r="F17" s="707">
        <v>80</v>
      </c>
      <c r="G17" s="411" t="s">
        <v>90</v>
      </c>
      <c r="H17" s="1061">
        <f>'ERR &amp; Sensitivity Analysis'!G23</f>
        <v>0.111062335381914</v>
      </c>
      <c r="I17" s="1062"/>
    </row>
    <row r="18" spans="1:9" ht="12.75" hidden="1">
      <c r="A18" s="530" t="s">
        <v>91</v>
      </c>
      <c r="B18" s="595" t="s">
        <v>198</v>
      </c>
      <c r="C18" s="403">
        <v>11223.989749707065</v>
      </c>
      <c r="D18" s="710" t="s">
        <v>205</v>
      </c>
      <c r="E18" s="711" t="s">
        <v>205</v>
      </c>
      <c r="F18" s="707"/>
      <c r="G18" s="360"/>
      <c r="H18" s="712"/>
      <c r="I18" s="713"/>
    </row>
    <row r="19" spans="1:10" ht="12.75">
      <c r="A19" s="714" t="s">
        <v>92</v>
      </c>
      <c r="B19" s="671" t="s">
        <v>198</v>
      </c>
      <c r="C19" s="414">
        <v>13191.874895561654</v>
      </c>
      <c r="D19" s="367">
        <v>72</v>
      </c>
      <c r="E19" s="414">
        <v>949814.9924804391</v>
      </c>
      <c r="F19" s="715">
        <v>250</v>
      </c>
      <c r="G19" s="716" t="s">
        <v>87</v>
      </c>
      <c r="H19" s="1081">
        <f>'ERR &amp; Sensitivity Analysis'!G24</f>
        <v>0.11369622475856</v>
      </c>
      <c r="I19" s="1082"/>
      <c r="J19" s="717"/>
    </row>
    <row r="20" spans="1:9" ht="12.75" hidden="1">
      <c r="A20" s="530" t="s">
        <v>73</v>
      </c>
      <c r="B20" s="595" t="s">
        <v>199</v>
      </c>
      <c r="C20" s="403">
        <f>60000*C51</f>
        <v>84179.923122803</v>
      </c>
      <c r="D20" s="360">
        <v>1</v>
      </c>
      <c r="E20" s="403">
        <f>C20*D20</f>
        <v>84179.923122803</v>
      </c>
      <c r="F20" s="279"/>
      <c r="G20" s="360"/>
      <c r="H20" s="530"/>
      <c r="I20" s="361"/>
    </row>
    <row r="21" spans="1:9" ht="12.75" hidden="1">
      <c r="A21" s="714" t="s">
        <v>94</v>
      </c>
      <c r="B21" s="671" t="s">
        <v>199</v>
      </c>
      <c r="C21" s="414">
        <f>125000*C51</f>
        <v>175374.8398391729</v>
      </c>
      <c r="D21" s="718">
        <v>1</v>
      </c>
      <c r="E21" s="414">
        <f>C21*D21</f>
        <v>175374.8398391729</v>
      </c>
      <c r="F21" s="719"/>
      <c r="G21" s="367"/>
      <c r="H21" s="714"/>
      <c r="I21" s="720"/>
    </row>
    <row r="22" spans="1:10" ht="12.75">
      <c r="A22" s="721"/>
      <c r="B22" s="683"/>
      <c r="C22" s="722"/>
      <c r="D22" s="722"/>
      <c r="E22" s="723"/>
      <c r="F22" s="722"/>
      <c r="G22" s="724" t="s">
        <v>240</v>
      </c>
      <c r="H22" s="1079">
        <f>SUM(H11:H21)</f>
        <v>1</v>
      </c>
      <c r="I22" s="1080"/>
      <c r="J22" s="725"/>
    </row>
    <row r="23" spans="5:6" ht="12.75">
      <c r="E23" s="726"/>
      <c r="F23" s="224"/>
    </row>
    <row r="24" ht="12.75"/>
    <row r="25" spans="1:9" ht="12.75">
      <c r="A25" s="994" t="s">
        <v>83</v>
      </c>
      <c r="B25" s="994" t="s">
        <v>72</v>
      </c>
      <c r="C25" s="1077" t="s">
        <v>480</v>
      </c>
      <c r="D25" s="1065" t="s">
        <v>97</v>
      </c>
      <c r="E25" s="1058"/>
      <c r="F25" s="1058"/>
      <c r="G25" s="1058"/>
      <c r="H25" s="1058"/>
      <c r="I25" s="1066"/>
    </row>
    <row r="26" spans="1:9" ht="12.75">
      <c r="A26" s="1076"/>
      <c r="B26" s="1076"/>
      <c r="C26" s="1078"/>
      <c r="D26" s="994" t="s">
        <v>98</v>
      </c>
      <c r="E26" s="994" t="s">
        <v>99</v>
      </c>
      <c r="F26" s="1010" t="s">
        <v>100</v>
      </c>
      <c r="G26" s="1012"/>
      <c r="H26" s="1010" t="s">
        <v>101</v>
      </c>
      <c r="I26" s="1012"/>
    </row>
    <row r="27" spans="1:9" ht="12.75">
      <c r="A27" s="1076"/>
      <c r="B27" s="995"/>
      <c r="C27" s="1078"/>
      <c r="D27" s="1076"/>
      <c r="E27" s="1076"/>
      <c r="F27" s="727" t="s">
        <v>102</v>
      </c>
      <c r="G27" s="727" t="s">
        <v>103</v>
      </c>
      <c r="H27" s="727" t="s">
        <v>104</v>
      </c>
      <c r="I27" s="728" t="s">
        <v>105</v>
      </c>
    </row>
    <row r="28" spans="1:9" ht="12.75">
      <c r="A28" s="729" t="s">
        <v>77</v>
      </c>
      <c r="B28" s="602" t="s">
        <v>85</v>
      </c>
      <c r="C28" s="730">
        <f aca="true" t="shared" si="0" ref="C28:C38">C11</f>
        <v>982169.0380016328</v>
      </c>
      <c r="D28" s="731">
        <v>0.03</v>
      </c>
      <c r="E28" s="731">
        <v>0.8</v>
      </c>
      <c r="F28" s="731">
        <v>0.08</v>
      </c>
      <c r="G28" s="731">
        <v>0.04</v>
      </c>
      <c r="H28" s="731">
        <f>SUM(D28:G28)</f>
        <v>0.9500000000000001</v>
      </c>
      <c r="I28" s="732">
        <f>100%-H28</f>
        <v>0.04999999999999993</v>
      </c>
    </row>
    <row r="29" spans="1:9" ht="12.75">
      <c r="A29" s="708" t="s">
        <v>78</v>
      </c>
      <c r="B29" s="401" t="s">
        <v>85</v>
      </c>
      <c r="C29" s="733">
        <f t="shared" si="0"/>
        <v>3398294.900398406</v>
      </c>
      <c r="D29" s="734">
        <v>0.03</v>
      </c>
      <c r="E29" s="734">
        <v>0.8</v>
      </c>
      <c r="F29" s="734">
        <v>0.08</v>
      </c>
      <c r="G29" s="734">
        <v>0.04</v>
      </c>
      <c r="H29" s="734">
        <f aca="true" t="shared" si="1" ref="H29:H38">SUM(D29:G29)</f>
        <v>0.9500000000000001</v>
      </c>
      <c r="I29" s="735">
        <f aca="true" t="shared" si="2" ref="I29:I38">100%-H29</f>
        <v>0.04999999999999993</v>
      </c>
    </row>
    <row r="30" spans="1:9" ht="12.75">
      <c r="A30" s="359" t="s">
        <v>414</v>
      </c>
      <c r="B30" s="401" t="s">
        <v>86</v>
      </c>
      <c r="C30" s="733">
        <f t="shared" si="0"/>
        <v>1218035.7514719456</v>
      </c>
      <c r="D30" s="734">
        <v>0.03</v>
      </c>
      <c r="E30" s="734">
        <v>0.57</v>
      </c>
      <c r="F30" s="734">
        <v>0.175</v>
      </c>
      <c r="G30" s="734">
        <v>0.175</v>
      </c>
      <c r="H30" s="734">
        <f t="shared" si="1"/>
        <v>0.95</v>
      </c>
      <c r="I30" s="735">
        <f t="shared" si="2"/>
        <v>0.050000000000000044</v>
      </c>
    </row>
    <row r="31" spans="1:9" ht="12.75">
      <c r="A31" s="359" t="s">
        <v>415</v>
      </c>
      <c r="B31" s="401" t="s">
        <v>86</v>
      </c>
      <c r="C31" s="733">
        <f t="shared" si="0"/>
        <v>1050782.4619445591</v>
      </c>
      <c r="D31" s="734">
        <v>0.03</v>
      </c>
      <c r="E31" s="734">
        <v>0.57</v>
      </c>
      <c r="F31" s="734">
        <v>0.175</v>
      </c>
      <c r="G31" s="734">
        <v>0.175</v>
      </c>
      <c r="H31" s="734">
        <f t="shared" si="1"/>
        <v>0.95</v>
      </c>
      <c r="I31" s="735">
        <f t="shared" si="2"/>
        <v>0.050000000000000044</v>
      </c>
    </row>
    <row r="32" spans="1:9" ht="12.75">
      <c r="A32" s="359" t="s">
        <v>258</v>
      </c>
      <c r="B32" s="401" t="s">
        <v>88</v>
      </c>
      <c r="C32" s="733">
        <f t="shared" si="0"/>
        <v>223785.83871728161</v>
      </c>
      <c r="D32" s="734">
        <v>0.03</v>
      </c>
      <c r="E32" s="734">
        <v>0.57</v>
      </c>
      <c r="F32" s="734">
        <v>0.23</v>
      </c>
      <c r="G32" s="734">
        <v>0.12</v>
      </c>
      <c r="H32" s="734">
        <f t="shared" si="1"/>
        <v>0.95</v>
      </c>
      <c r="I32" s="735">
        <f t="shared" si="2"/>
        <v>0.050000000000000044</v>
      </c>
    </row>
    <row r="33" spans="1:9" ht="12.75">
      <c r="A33" s="530" t="s">
        <v>239</v>
      </c>
      <c r="B33" s="401" t="s">
        <v>198</v>
      </c>
      <c r="C33" s="733">
        <f t="shared" si="0"/>
        <v>9383.16029672135</v>
      </c>
      <c r="D33" s="734">
        <v>0.03</v>
      </c>
      <c r="E33" s="734">
        <v>0.57</v>
      </c>
      <c r="F33" s="734">
        <v>0.23</v>
      </c>
      <c r="G33" s="734">
        <v>0.12</v>
      </c>
      <c r="H33" s="734">
        <f t="shared" si="1"/>
        <v>0.95</v>
      </c>
      <c r="I33" s="735">
        <f t="shared" si="2"/>
        <v>0.050000000000000044</v>
      </c>
    </row>
    <row r="34" spans="1:9" ht="12.75">
      <c r="A34" s="530" t="s">
        <v>238</v>
      </c>
      <c r="B34" s="609" t="s">
        <v>198</v>
      </c>
      <c r="C34" s="733">
        <f t="shared" si="0"/>
        <v>12565.563320194766</v>
      </c>
      <c r="D34" s="734">
        <v>0.03</v>
      </c>
      <c r="E34" s="734">
        <v>0.57</v>
      </c>
      <c r="F34" s="734">
        <v>0.23</v>
      </c>
      <c r="G34" s="734">
        <v>0.12</v>
      </c>
      <c r="H34" s="734">
        <f>SUM(D34:G34)</f>
        <v>0.95</v>
      </c>
      <c r="I34" s="735">
        <f>100%-H34</f>
        <v>0.050000000000000044</v>
      </c>
    </row>
    <row r="35" spans="1:9" ht="12.75">
      <c r="A35" s="530" t="s">
        <v>91</v>
      </c>
      <c r="B35" s="401" t="s">
        <v>89</v>
      </c>
      <c r="C35" s="733">
        <f t="shared" si="0"/>
        <v>11223.989749707065</v>
      </c>
      <c r="D35" s="734">
        <v>0.03</v>
      </c>
      <c r="E35" s="734">
        <v>0.57</v>
      </c>
      <c r="F35" s="734">
        <v>0.23</v>
      </c>
      <c r="G35" s="734">
        <v>0.12</v>
      </c>
      <c r="H35" s="734">
        <f t="shared" si="1"/>
        <v>0.95</v>
      </c>
      <c r="I35" s="735">
        <f t="shared" si="2"/>
        <v>0.050000000000000044</v>
      </c>
    </row>
    <row r="36" spans="1:9" ht="12.75">
      <c r="A36" s="530" t="s">
        <v>92</v>
      </c>
      <c r="B36" s="401" t="s">
        <v>89</v>
      </c>
      <c r="C36" s="733">
        <f t="shared" si="0"/>
        <v>13191.874895561654</v>
      </c>
      <c r="D36" s="734">
        <v>0.03</v>
      </c>
      <c r="E36" s="734">
        <v>0.57</v>
      </c>
      <c r="F36" s="734">
        <v>0.23</v>
      </c>
      <c r="G36" s="734">
        <v>0.12</v>
      </c>
      <c r="H36" s="734">
        <f t="shared" si="1"/>
        <v>0.95</v>
      </c>
      <c r="I36" s="735">
        <f t="shared" si="2"/>
        <v>0.050000000000000044</v>
      </c>
    </row>
    <row r="37" spans="1:9" ht="12.75">
      <c r="A37" s="530" t="s">
        <v>73</v>
      </c>
      <c r="B37" s="401" t="s">
        <v>93</v>
      </c>
      <c r="C37" s="733">
        <f t="shared" si="0"/>
        <v>84179.923122803</v>
      </c>
      <c r="D37" s="734">
        <v>0.03</v>
      </c>
      <c r="E37" s="734">
        <v>0.57</v>
      </c>
      <c r="F37" s="734">
        <v>0.175</v>
      </c>
      <c r="G37" s="734">
        <v>0.175</v>
      </c>
      <c r="H37" s="734">
        <f t="shared" si="1"/>
        <v>0.95</v>
      </c>
      <c r="I37" s="735">
        <f t="shared" si="2"/>
        <v>0.050000000000000044</v>
      </c>
    </row>
    <row r="38" spans="1:9" ht="12.75" customHeight="1" hidden="1">
      <c r="A38" s="530" t="s">
        <v>94</v>
      </c>
      <c r="B38" s="401" t="s">
        <v>93</v>
      </c>
      <c r="C38" s="733">
        <f t="shared" si="0"/>
        <v>175374.8398391729</v>
      </c>
      <c r="D38" s="734">
        <v>0.03</v>
      </c>
      <c r="E38" s="734">
        <v>0.57</v>
      </c>
      <c r="F38" s="734">
        <v>0.175</v>
      </c>
      <c r="G38" s="734">
        <v>0.175</v>
      </c>
      <c r="H38" s="734">
        <f t="shared" si="1"/>
        <v>0.95</v>
      </c>
      <c r="I38" s="735">
        <f t="shared" si="2"/>
        <v>0.050000000000000044</v>
      </c>
    </row>
    <row r="39" spans="1:9" ht="12.75">
      <c r="A39" s="736" t="s">
        <v>106</v>
      </c>
      <c r="B39" s="293" t="s">
        <v>107</v>
      </c>
      <c r="C39" s="737">
        <v>100000</v>
      </c>
      <c r="D39" s="738">
        <v>0.03</v>
      </c>
      <c r="E39" s="738">
        <v>0.57</v>
      </c>
      <c r="F39" s="738">
        <v>0.23</v>
      </c>
      <c r="G39" s="738">
        <v>0.12</v>
      </c>
      <c r="H39" s="738">
        <f>SUM(D39:G39)</f>
        <v>0.95</v>
      </c>
      <c r="I39" s="739">
        <f>100%-H39</f>
        <v>0.050000000000000044</v>
      </c>
    </row>
    <row r="40" spans="1:9" ht="12.75" customHeight="1" hidden="1">
      <c r="A40" s="736" t="s">
        <v>108</v>
      </c>
      <c r="B40" s="714" t="s">
        <v>109</v>
      </c>
      <c r="C40" s="718">
        <v>20000</v>
      </c>
      <c r="D40" s="740">
        <v>0.03</v>
      </c>
      <c r="E40" s="741">
        <v>0.57</v>
      </c>
      <c r="F40" s="741">
        <v>0.175</v>
      </c>
      <c r="G40" s="741">
        <v>0.175</v>
      </c>
      <c r="H40" s="741">
        <f>SUM(D40:G40)</f>
        <v>0.95</v>
      </c>
      <c r="I40" s="739">
        <f>100%-H40</f>
        <v>0.050000000000000044</v>
      </c>
    </row>
    <row r="41" spans="1:9" ht="12.75" customHeight="1" hidden="1">
      <c r="A41" s="595" t="s">
        <v>200</v>
      </c>
      <c r="B41" s="360"/>
      <c r="C41" s="411"/>
      <c r="D41" s="742"/>
      <c r="E41" s="742"/>
      <c r="F41" s="742"/>
      <c r="G41" s="742"/>
      <c r="H41" s="742"/>
      <c r="I41" s="735"/>
    </row>
    <row r="42" spans="1:9" ht="12.75" customHeight="1" hidden="1">
      <c r="A42" s="529" t="s">
        <v>95</v>
      </c>
      <c r="B42" s="360"/>
      <c r="C42" s="360"/>
      <c r="D42" s="360"/>
      <c r="E42" s="360"/>
      <c r="F42" s="360"/>
      <c r="G42" s="360"/>
      <c r="H42" s="360"/>
      <c r="I42" s="361"/>
    </row>
    <row r="43" spans="1:9" ht="12.75" customHeight="1" hidden="1">
      <c r="A43" s="529" t="s">
        <v>96</v>
      </c>
      <c r="B43" s="360"/>
      <c r="C43" s="360"/>
      <c r="D43" s="360"/>
      <c r="E43" s="360"/>
      <c r="F43" s="360"/>
      <c r="G43" s="360"/>
      <c r="H43" s="360"/>
      <c r="I43" s="361"/>
    </row>
    <row r="44" spans="1:9" ht="12.75">
      <c r="A44" s="595" t="s">
        <v>200</v>
      </c>
      <c r="B44" s="360"/>
      <c r="C44" s="360"/>
      <c r="D44" s="360"/>
      <c r="E44" s="360"/>
      <c r="F44" s="360"/>
      <c r="G44" s="360"/>
      <c r="H44" s="360"/>
      <c r="I44" s="361"/>
    </row>
    <row r="45" spans="1:11" ht="12.75">
      <c r="A45" s="529" t="s">
        <v>95</v>
      </c>
      <c r="B45" s="360"/>
      <c r="C45" s="360"/>
      <c r="D45" s="360"/>
      <c r="E45" s="743"/>
      <c r="F45" s="360"/>
      <c r="G45" s="360"/>
      <c r="H45" s="360"/>
      <c r="I45" s="361"/>
      <c r="K45" s="725"/>
    </row>
    <row r="46" spans="1:9" ht="12.75">
      <c r="A46" s="447" t="s">
        <v>478</v>
      </c>
      <c r="B46" s="360"/>
      <c r="C46" s="360"/>
      <c r="D46" s="360"/>
      <c r="E46" s="743"/>
      <c r="F46" s="360"/>
      <c r="G46" s="360"/>
      <c r="H46" s="360"/>
      <c r="I46" s="361"/>
    </row>
    <row r="47" spans="1:9" ht="12.75">
      <c r="A47" s="744" t="s">
        <v>479</v>
      </c>
      <c r="B47" s="367"/>
      <c r="C47" s="367"/>
      <c r="D47" s="367"/>
      <c r="E47" s="745"/>
      <c r="F47" s="367"/>
      <c r="G47" s="367"/>
      <c r="H47" s="367"/>
      <c r="I47" s="720"/>
    </row>
    <row r="48" ht="12.75">
      <c r="A48" s="746"/>
    </row>
    <row r="49" spans="1:3" ht="12.75">
      <c r="A49" s="1010" t="s">
        <v>627</v>
      </c>
      <c r="B49" s="1011"/>
      <c r="C49" s="1012"/>
    </row>
    <row r="50" spans="1:3" ht="12.75">
      <c r="A50" s="466" t="str">
        <f>'Assumptions &amp; Data'!$A$9</f>
        <v>Inflation factors</v>
      </c>
      <c r="B50" s="466" t="s">
        <v>40</v>
      </c>
      <c r="C50" s="466" t="s">
        <v>624</v>
      </c>
    </row>
    <row r="51" spans="1:3" ht="12.75">
      <c r="A51" s="529" t="s">
        <v>263</v>
      </c>
      <c r="B51" s="362" t="s">
        <v>211</v>
      </c>
      <c r="C51" s="747">
        <f>'Assumptions &amp; Data'!J10</f>
        <v>1.4029987187133832</v>
      </c>
    </row>
    <row r="52" spans="1:3" ht="12.75">
      <c r="A52" s="529" t="s">
        <v>264</v>
      </c>
      <c r="B52" s="362" t="s">
        <v>211</v>
      </c>
      <c r="C52" s="747">
        <f>'Assumptions &amp; Data'!J11</f>
        <v>1.3519277073511313</v>
      </c>
    </row>
    <row r="53" spans="1:3" ht="12.75">
      <c r="A53" s="529" t="s">
        <v>265</v>
      </c>
      <c r="B53" s="362" t="s">
        <v>211</v>
      </c>
      <c r="C53" s="747">
        <f>'Assumptions &amp; Data'!J12</f>
        <v>1.2742828526095011</v>
      </c>
    </row>
    <row r="54" spans="1:3" ht="12.75">
      <c r="A54" s="529" t="s">
        <v>266</v>
      </c>
      <c r="B54" s="362" t="s">
        <v>211</v>
      </c>
      <c r="C54" s="747">
        <f>'Assumptions &amp; Data'!J13</f>
        <v>1.1967469699765447</v>
      </c>
    </row>
    <row r="55" spans="1:3" ht="12.75">
      <c r="A55" s="529" t="s">
        <v>267</v>
      </c>
      <c r="B55" s="362" t="s">
        <v>211</v>
      </c>
      <c r="C55" s="747">
        <f>'Assumptions &amp; Data'!J14</f>
        <v>1.1379414362381366</v>
      </c>
    </row>
    <row r="56" spans="1:3" ht="12.75">
      <c r="A56" s="529" t="s">
        <v>268</v>
      </c>
      <c r="B56" s="362" t="s">
        <v>211</v>
      </c>
      <c r="C56" s="747">
        <f>'Assumptions &amp; Data'!J15</f>
        <v>1.10554605113744</v>
      </c>
    </row>
    <row r="57" spans="1:3" ht="12.75">
      <c r="A57" s="736" t="s">
        <v>269</v>
      </c>
      <c r="B57" s="369" t="s">
        <v>211</v>
      </c>
      <c r="C57" s="748">
        <f>'Assumptions &amp; Data'!J16</f>
        <v>1.028</v>
      </c>
    </row>
  </sheetData>
  <sheetProtection/>
  <mergeCells count="27">
    <mergeCell ref="H22:I22"/>
    <mergeCell ref="H19:I19"/>
    <mergeCell ref="H17:I17"/>
    <mergeCell ref="H16:I16"/>
    <mergeCell ref="H15:I15"/>
    <mergeCell ref="A49:C49"/>
    <mergeCell ref="A25:A27"/>
    <mergeCell ref="C25:C27"/>
    <mergeCell ref="B25:B27"/>
    <mergeCell ref="D25:I25"/>
    <mergeCell ref="D26:D27"/>
    <mergeCell ref="E26:E27"/>
    <mergeCell ref="F26:G26"/>
    <mergeCell ref="H26:I26"/>
    <mergeCell ref="H14:I14"/>
    <mergeCell ref="H13:I13"/>
    <mergeCell ref="H12:I12"/>
    <mergeCell ref="H11:I11"/>
    <mergeCell ref="A8:I8"/>
    <mergeCell ref="A9:A10"/>
    <mergeCell ref="F9:F10"/>
    <mergeCell ref="E9:E10"/>
    <mergeCell ref="D9:D10"/>
    <mergeCell ref="C9:C10"/>
    <mergeCell ref="B9:B10"/>
    <mergeCell ref="G9:G10"/>
    <mergeCell ref="H9:I10"/>
  </mergeCells>
  <conditionalFormatting sqref="H22">
    <cfRule type="cellIs" priority="1" dxfId="0" operator="notEqual">
      <formula>1</formula>
    </cfRule>
  </conditionalFormatting>
  <printOptions/>
  <pageMargins left="0.75" right="0.75" top="1" bottom="1" header="0.5" footer="0.5"/>
  <pageSetup horizontalDpi="600" verticalDpi="600" orientation="portrait" r:id="rId4"/>
  <drawing r:id="rId3"/>
  <legacyDrawing r:id="rId2"/>
</worksheet>
</file>

<file path=xl/worksheets/sheet15.xml><?xml version="1.0" encoding="utf-8"?>
<worksheet xmlns="http://schemas.openxmlformats.org/spreadsheetml/2006/main" xmlns:r="http://schemas.openxmlformats.org/officeDocument/2006/relationships">
  <sheetPr codeName="Sheet3">
    <pageSetUpPr fitToPage="1"/>
  </sheetPr>
  <dimension ref="A1:Q60"/>
  <sheetViews>
    <sheetView zoomScalePageLayoutView="0" workbookViewId="0" topLeftCell="A1">
      <selection activeCell="A2" sqref="A2:E2"/>
    </sheetView>
  </sheetViews>
  <sheetFormatPr defaultColWidth="5.7109375" defaultRowHeight="12.75"/>
  <cols>
    <col min="1" max="1" width="29.7109375" style="11" customWidth="1"/>
    <col min="2" max="2" width="9.7109375" style="11" bestFit="1" customWidth="1"/>
    <col min="3" max="3" width="15.8515625" style="11" customWidth="1"/>
    <col min="4" max="4" width="14.140625" style="11" bestFit="1" customWidth="1"/>
    <col min="5" max="5" width="14.28125" style="11" customWidth="1"/>
    <col min="6" max="6" width="5.7109375" style="11" customWidth="1"/>
    <col min="7" max="7" width="5.7109375" style="33" customWidth="1"/>
    <col min="8" max="8" width="10.8515625" style="33" bestFit="1" customWidth="1"/>
    <col min="9" max="9" width="12.28125" style="11" bestFit="1" customWidth="1"/>
    <col min="10" max="10" width="5.7109375" style="11" customWidth="1"/>
    <col min="11" max="11" width="11.140625" style="11" customWidth="1"/>
    <col min="12" max="12" width="12.57421875" style="11" bestFit="1" customWidth="1"/>
    <col min="13" max="13" width="6.140625" style="11" customWidth="1"/>
    <col min="14" max="14" width="16.00390625" style="11" customWidth="1"/>
    <col min="15" max="15" width="12.57421875" style="11" bestFit="1" customWidth="1"/>
    <col min="16" max="16" width="5.8515625" style="11" bestFit="1" customWidth="1"/>
    <col min="17" max="17" width="16.00390625" style="11" bestFit="1" customWidth="1"/>
    <col min="18" max="16384" width="5.7109375" style="11" customWidth="1"/>
  </cols>
  <sheetData>
    <row r="1" ht="12.75">
      <c r="A1" s="65" t="s">
        <v>257</v>
      </c>
    </row>
    <row r="2" spans="1:11" ht="12.75">
      <c r="A2" s="1086" t="s">
        <v>139</v>
      </c>
      <c r="B2" s="1086"/>
      <c r="C2" s="1086"/>
      <c r="D2" s="1086"/>
      <c r="E2" s="1086"/>
      <c r="K2" s="65" t="s">
        <v>230</v>
      </c>
    </row>
    <row r="3" spans="1:14" ht="15">
      <c r="A3" s="1083" t="s">
        <v>19</v>
      </c>
      <c r="B3" s="1084"/>
      <c r="C3" s="1084"/>
      <c r="D3" s="1084"/>
      <c r="E3" s="1085"/>
      <c r="G3" s="36" t="s">
        <v>60</v>
      </c>
      <c r="H3" s="34" t="s">
        <v>56</v>
      </c>
      <c r="I3" s="34" t="s">
        <v>58</v>
      </c>
      <c r="L3" s="66" t="s">
        <v>237</v>
      </c>
      <c r="M3" s="67"/>
      <c r="N3" s="75"/>
    </row>
    <row r="4" spans="2:12" s="27" customFormat="1" ht="12.75">
      <c r="B4" s="10" t="s">
        <v>72</v>
      </c>
      <c r="C4" s="10" t="s">
        <v>75</v>
      </c>
      <c r="D4" s="10" t="s">
        <v>76</v>
      </c>
      <c r="E4" s="10" t="s">
        <v>67</v>
      </c>
      <c r="G4" s="34">
        <v>1</v>
      </c>
      <c r="H4" s="34">
        <f>-E7</f>
        <v>-6313494.234210225</v>
      </c>
      <c r="I4" s="34">
        <f>-E28</f>
        <v>-13153112.987937968</v>
      </c>
      <c r="L4" s="72" t="s">
        <v>236</v>
      </c>
    </row>
    <row r="5" spans="1:12" ht="12.75">
      <c r="A5" s="11" t="s">
        <v>63</v>
      </c>
      <c r="B5" s="30" t="s">
        <v>22</v>
      </c>
      <c r="C5" s="11">
        <f>+C8*C9</f>
        <v>75</v>
      </c>
      <c r="D5" s="11">
        <f>+C5</f>
        <v>75</v>
      </c>
      <c r="E5" s="11">
        <f aca="true" t="shared" si="0" ref="E5:E14">+D5-C5</f>
        <v>0</v>
      </c>
      <c r="G5" s="33">
        <f>+G4+1</f>
        <v>2</v>
      </c>
      <c r="H5" s="33">
        <f>+E17</f>
        <v>830902.7018026419</v>
      </c>
      <c r="I5" s="33">
        <f>+E38</f>
        <v>2385711.9708103407</v>
      </c>
      <c r="L5" s="65" t="s">
        <v>235</v>
      </c>
    </row>
    <row r="6" spans="1:9" ht="12.75" customHeight="1">
      <c r="A6" s="30" t="s">
        <v>84</v>
      </c>
      <c r="B6" s="31" t="s">
        <v>23</v>
      </c>
      <c r="C6" s="11">
        <v>0</v>
      </c>
      <c r="D6" s="69">
        <f>'Subproject Data'!C20</f>
        <v>84179.923122803</v>
      </c>
      <c r="E6" s="11">
        <f t="shared" si="0"/>
        <v>84179.923122803</v>
      </c>
      <c r="G6" s="33">
        <f aca="true" t="shared" si="1" ref="G6:G23">+G5+1</f>
        <v>3</v>
      </c>
      <c r="H6" s="33">
        <f>+H5</f>
        <v>830902.7018026419</v>
      </c>
      <c r="I6" s="33">
        <f>+I5</f>
        <v>2385711.9708103407</v>
      </c>
    </row>
    <row r="7" spans="1:9" ht="12.75">
      <c r="A7" s="11" t="s">
        <v>64</v>
      </c>
      <c r="B7" s="11" t="s">
        <v>23</v>
      </c>
      <c r="C7" s="11">
        <v>0</v>
      </c>
      <c r="D7" s="11">
        <f>+D6*D5</f>
        <v>6313494.234210225</v>
      </c>
      <c r="E7" s="11">
        <f t="shared" si="0"/>
        <v>6313494.234210225</v>
      </c>
      <c r="G7" s="33">
        <f t="shared" si="1"/>
        <v>4</v>
      </c>
      <c r="H7" s="33">
        <f aca="true" t="shared" si="2" ref="H7:I22">+H6</f>
        <v>830902.7018026419</v>
      </c>
      <c r="I7" s="33">
        <f t="shared" si="2"/>
        <v>2385711.9708103407</v>
      </c>
    </row>
    <row r="8" spans="1:15" ht="12.75">
      <c r="A8" s="11" t="s">
        <v>65</v>
      </c>
      <c r="B8" s="11" t="s">
        <v>134</v>
      </c>
      <c r="C8" s="80">
        <v>50</v>
      </c>
      <c r="D8" s="71">
        <f>+C8</f>
        <v>50</v>
      </c>
      <c r="E8" s="11">
        <f t="shared" si="0"/>
        <v>0</v>
      </c>
      <c r="G8" s="33">
        <f t="shared" si="1"/>
        <v>5</v>
      </c>
      <c r="H8" s="33">
        <f t="shared" si="2"/>
        <v>830902.7018026419</v>
      </c>
      <c r="I8" s="33">
        <f t="shared" si="2"/>
        <v>2385711.9708103407</v>
      </c>
      <c r="L8" s="66" t="s">
        <v>231</v>
      </c>
      <c r="M8" s="53"/>
      <c r="N8" s="53"/>
      <c r="O8" s="53"/>
    </row>
    <row r="9" spans="1:9" ht="12.75">
      <c r="A9" s="30" t="s">
        <v>49</v>
      </c>
      <c r="B9" s="11" t="s">
        <v>50</v>
      </c>
      <c r="C9" s="68">
        <v>1.5</v>
      </c>
      <c r="D9" s="69">
        <f>+C9</f>
        <v>1.5</v>
      </c>
      <c r="E9" s="11">
        <f t="shared" si="0"/>
        <v>0</v>
      </c>
      <c r="G9" s="33">
        <f t="shared" si="1"/>
        <v>6</v>
      </c>
      <c r="H9" s="33">
        <f t="shared" si="2"/>
        <v>830902.7018026419</v>
      </c>
      <c r="I9" s="33">
        <f t="shared" si="2"/>
        <v>2385711.9708103407</v>
      </c>
    </row>
    <row r="10" spans="1:9" ht="12.75">
      <c r="A10" s="30" t="s">
        <v>30</v>
      </c>
      <c r="B10" s="11" t="s">
        <v>24</v>
      </c>
      <c r="C10" s="68">
        <v>3.5</v>
      </c>
      <c r="D10" s="68">
        <v>4.5</v>
      </c>
      <c r="E10" s="11">
        <f t="shared" si="0"/>
        <v>1</v>
      </c>
      <c r="G10" s="33">
        <f t="shared" si="1"/>
        <v>7</v>
      </c>
      <c r="H10" s="33">
        <f t="shared" si="2"/>
        <v>830902.7018026419</v>
      </c>
      <c r="I10" s="33">
        <f t="shared" si="2"/>
        <v>2385711.9708103407</v>
      </c>
    </row>
    <row r="11" spans="1:9" ht="12.75">
      <c r="A11" s="11" t="s">
        <v>66</v>
      </c>
      <c r="B11" s="11" t="s">
        <v>25</v>
      </c>
      <c r="C11" s="68">
        <v>8500</v>
      </c>
      <c r="D11" s="69">
        <f>+C11</f>
        <v>8500</v>
      </c>
      <c r="E11" s="11">
        <f t="shared" si="0"/>
        <v>0</v>
      </c>
      <c r="G11" s="33">
        <f t="shared" si="1"/>
        <v>8</v>
      </c>
      <c r="H11" s="33">
        <f t="shared" si="2"/>
        <v>830902.7018026419</v>
      </c>
      <c r="I11" s="33">
        <f t="shared" si="2"/>
        <v>2385711.9708103407</v>
      </c>
    </row>
    <row r="12" spans="1:9" ht="12.75">
      <c r="A12" s="30" t="s">
        <v>71</v>
      </c>
      <c r="B12" s="11" t="s">
        <v>26</v>
      </c>
      <c r="C12" s="68">
        <v>1.5</v>
      </c>
      <c r="D12" s="68">
        <v>2</v>
      </c>
      <c r="E12" s="11">
        <f t="shared" si="0"/>
        <v>0.5</v>
      </c>
      <c r="G12" s="33">
        <f t="shared" si="1"/>
        <v>9</v>
      </c>
      <c r="H12" s="33">
        <f t="shared" si="2"/>
        <v>830902.7018026419</v>
      </c>
      <c r="I12" s="33">
        <f t="shared" si="2"/>
        <v>2385711.9708103407</v>
      </c>
    </row>
    <row r="13" spans="1:14" ht="12.75">
      <c r="A13" s="11" t="s">
        <v>68</v>
      </c>
      <c r="B13" s="11" t="s">
        <v>27</v>
      </c>
      <c r="C13" s="11">
        <f>+C12*C11*C10*C9*C8</f>
        <v>3346875</v>
      </c>
      <c r="D13" s="11">
        <f>+D12*D11*D10*D9*D8</f>
        <v>5737500</v>
      </c>
      <c r="E13" s="11">
        <f t="shared" si="0"/>
        <v>2390625</v>
      </c>
      <c r="G13" s="33">
        <f t="shared" si="1"/>
        <v>10</v>
      </c>
      <c r="H13" s="33">
        <f t="shared" si="2"/>
        <v>830902.7018026419</v>
      </c>
      <c r="I13" s="33">
        <f t="shared" si="2"/>
        <v>2385711.9708103407</v>
      </c>
      <c r="L13" s="66" t="s">
        <v>232</v>
      </c>
      <c r="M13" s="53"/>
      <c r="N13" s="76"/>
    </row>
    <row r="14" spans="1:9" ht="12.75">
      <c r="A14" s="11" t="s">
        <v>69</v>
      </c>
      <c r="B14" s="11" t="s">
        <v>27</v>
      </c>
      <c r="C14" s="11">
        <f>+C13*0.56</f>
        <v>1874250.0000000002</v>
      </c>
      <c r="D14" s="11">
        <f>+D13*0.56</f>
        <v>3213000.0000000005</v>
      </c>
      <c r="E14" s="11">
        <f t="shared" si="0"/>
        <v>1338750.0000000002</v>
      </c>
      <c r="G14" s="33">
        <f t="shared" si="1"/>
        <v>11</v>
      </c>
      <c r="H14" s="33">
        <f t="shared" si="2"/>
        <v>830902.7018026419</v>
      </c>
      <c r="I14" s="33">
        <f t="shared" si="2"/>
        <v>2385711.9708103407</v>
      </c>
    </row>
    <row r="15" spans="1:9" ht="12.75">
      <c r="A15" s="11" t="s">
        <v>70</v>
      </c>
      <c r="B15" s="11" t="s">
        <v>28</v>
      </c>
      <c r="C15" s="11">
        <f>+C13-C14</f>
        <v>1472624.9999999998</v>
      </c>
      <c r="D15" s="11">
        <f>+D13-D14</f>
        <v>2524499.9999999995</v>
      </c>
      <c r="E15" s="11">
        <f>+D15-C15</f>
        <v>1051874.9999999998</v>
      </c>
      <c r="G15" s="33">
        <f t="shared" si="1"/>
        <v>12</v>
      </c>
      <c r="H15" s="33">
        <f t="shared" si="2"/>
        <v>830902.7018026419</v>
      </c>
      <c r="I15" s="33">
        <f t="shared" si="2"/>
        <v>2385711.9708103407</v>
      </c>
    </row>
    <row r="16" spans="1:9" ht="12.75">
      <c r="A16" s="11" t="s">
        <v>115</v>
      </c>
      <c r="B16" s="11" t="s">
        <v>28</v>
      </c>
      <c r="C16" s="11">
        <v>0</v>
      </c>
      <c r="D16" s="68">
        <f>+D7*0.035</f>
        <v>220972.2981973579</v>
      </c>
      <c r="E16" s="11">
        <f>+D16-C16</f>
        <v>220972.2981973579</v>
      </c>
      <c r="G16" s="33">
        <f t="shared" si="1"/>
        <v>13</v>
      </c>
      <c r="H16" s="33">
        <f t="shared" si="2"/>
        <v>830902.7018026419</v>
      </c>
      <c r="I16" s="33">
        <f t="shared" si="2"/>
        <v>2385711.9708103407</v>
      </c>
    </row>
    <row r="17" spans="1:9" ht="12.75">
      <c r="A17" s="11" t="s">
        <v>17</v>
      </c>
      <c r="B17" s="11" t="s">
        <v>28</v>
      </c>
      <c r="E17" s="11">
        <f>+E15-E16</f>
        <v>830902.7018026419</v>
      </c>
      <c r="G17" s="33">
        <f t="shared" si="1"/>
        <v>14</v>
      </c>
      <c r="H17" s="33">
        <f t="shared" si="2"/>
        <v>830902.7018026419</v>
      </c>
      <c r="I17" s="33">
        <f t="shared" si="2"/>
        <v>2385711.9708103407</v>
      </c>
    </row>
    <row r="18" spans="1:9" ht="12.75">
      <c r="A18" s="30" t="s">
        <v>29</v>
      </c>
      <c r="B18" s="11" t="s">
        <v>32</v>
      </c>
      <c r="D18" s="33">
        <v>30</v>
      </c>
      <c r="E18" s="33">
        <v>30</v>
      </c>
      <c r="G18" s="33">
        <f t="shared" si="1"/>
        <v>15</v>
      </c>
      <c r="H18" s="33">
        <f t="shared" si="2"/>
        <v>830902.7018026419</v>
      </c>
      <c r="I18" s="33">
        <f t="shared" si="2"/>
        <v>2385711.9708103407</v>
      </c>
    </row>
    <row r="19" spans="1:9" ht="12.75">
      <c r="A19" s="11" t="s">
        <v>18</v>
      </c>
      <c r="E19" s="11">
        <f>+E7/E17</f>
        <v>7.598355644425166</v>
      </c>
      <c r="G19" s="33">
        <f t="shared" si="1"/>
        <v>16</v>
      </c>
      <c r="H19" s="33">
        <f t="shared" si="2"/>
        <v>830902.7018026419</v>
      </c>
      <c r="I19" s="33">
        <f t="shared" si="2"/>
        <v>2385711.9708103407</v>
      </c>
    </row>
    <row r="20" spans="1:9" ht="12.75">
      <c r="A20" s="30" t="s">
        <v>14</v>
      </c>
      <c r="E20" s="15">
        <f>H24</f>
        <v>0.12753768116308617</v>
      </c>
      <c r="G20" s="33">
        <f t="shared" si="1"/>
        <v>17</v>
      </c>
      <c r="H20" s="33">
        <f t="shared" si="2"/>
        <v>830902.7018026419</v>
      </c>
      <c r="I20" s="33">
        <f t="shared" si="2"/>
        <v>2385711.9708103407</v>
      </c>
    </row>
    <row r="21" spans="1:11" ht="12.75">
      <c r="A21" s="30" t="s">
        <v>33</v>
      </c>
      <c r="E21" s="11">
        <v>6.565979636707436</v>
      </c>
      <c r="G21" s="33">
        <f t="shared" si="1"/>
        <v>18</v>
      </c>
      <c r="H21" s="33">
        <f t="shared" si="2"/>
        <v>830902.7018026419</v>
      </c>
      <c r="I21" s="33">
        <f t="shared" si="2"/>
        <v>2385711.9708103407</v>
      </c>
      <c r="K21" s="65" t="s">
        <v>242</v>
      </c>
    </row>
    <row r="22" spans="1:16" ht="12.75">
      <c r="A22" s="52" t="s">
        <v>116</v>
      </c>
      <c r="B22" s="53" t="s">
        <v>27</v>
      </c>
      <c r="C22" s="53"/>
      <c r="D22" s="53"/>
      <c r="E22" s="53">
        <f>+E17*E21-E7</f>
        <v>-857804.0140888877</v>
      </c>
      <c r="G22" s="33">
        <f t="shared" si="1"/>
        <v>19</v>
      </c>
      <c r="H22" s="33">
        <f t="shared" si="2"/>
        <v>830902.7018026419</v>
      </c>
      <c r="I22" s="33">
        <f t="shared" si="2"/>
        <v>2385711.9708103407</v>
      </c>
      <c r="K22" s="65" t="s">
        <v>247</v>
      </c>
      <c r="L22" s="29">
        <v>0.1280547825439101</v>
      </c>
      <c r="M22" s="29">
        <f>L22-H24</f>
        <v>0.00051710138082392</v>
      </c>
      <c r="O22" s="29">
        <v>0.12550169328044739</v>
      </c>
      <c r="P22" s="29">
        <f>O22-I24</f>
        <v>-0.05589558921310475</v>
      </c>
    </row>
    <row r="23" spans="3:15" ht="12.75">
      <c r="C23" s="33"/>
      <c r="D23" s="37"/>
      <c r="G23" s="33">
        <f t="shared" si="1"/>
        <v>20</v>
      </c>
      <c r="H23" s="33">
        <f>+H22+N35</f>
        <v>5374853.695113849</v>
      </c>
      <c r="I23" s="33">
        <f>+I22+Q35</f>
        <v>15567282.32818812</v>
      </c>
      <c r="K23" s="73" t="s">
        <v>243</v>
      </c>
      <c r="L23" s="34" t="s">
        <v>56</v>
      </c>
      <c r="O23" s="34" t="s">
        <v>58</v>
      </c>
    </row>
    <row r="24" spans="1:17" ht="12.75">
      <c r="A24" s="1083" t="s">
        <v>74</v>
      </c>
      <c r="B24" s="1084"/>
      <c r="C24" s="1084"/>
      <c r="D24" s="1084"/>
      <c r="E24" s="1085"/>
      <c r="H24" s="29">
        <f>IRR(H4:H23)</f>
        <v>0.12753768116308617</v>
      </c>
      <c r="I24" s="29">
        <f>IRR(I4:I23)</f>
        <v>0.18139728249355214</v>
      </c>
      <c r="K24" s="73" t="s">
        <v>244</v>
      </c>
      <c r="L24" s="65" t="s">
        <v>245</v>
      </c>
      <c r="M24" s="65" t="s">
        <v>246</v>
      </c>
      <c r="N24" s="65" t="s">
        <v>248</v>
      </c>
      <c r="O24" s="65" t="s">
        <v>245</v>
      </c>
      <c r="P24" s="65" t="s">
        <v>246</v>
      </c>
      <c r="Q24" s="65" t="s">
        <v>248</v>
      </c>
    </row>
    <row r="25" spans="2:17" s="27" customFormat="1" ht="12.75">
      <c r="B25" s="10" t="s">
        <v>72</v>
      </c>
      <c r="C25" s="10" t="s">
        <v>75</v>
      </c>
      <c r="D25" s="10" t="s">
        <v>76</v>
      </c>
      <c r="E25" s="10" t="s">
        <v>67</v>
      </c>
      <c r="G25" s="14">
        <v>0.15</v>
      </c>
      <c r="H25" s="33">
        <f>NPV($G$25,H4:H23)*(1+$G$25)</f>
        <v>-844085.0139015026</v>
      </c>
      <c r="I25" s="33">
        <f>NPV($G$25,I4:I23)*(1+$G$25)</f>
        <v>2560288.6408873135</v>
      </c>
      <c r="K25" s="34">
        <v>1</v>
      </c>
      <c r="L25" s="34">
        <f>$E$17</f>
        <v>830902.7018026419</v>
      </c>
      <c r="M25" s="27">
        <f>(1+$L$22)^-K25</f>
        <v>0.8864817697460314</v>
      </c>
      <c r="N25" s="34">
        <f>L25*M25</f>
        <v>736580.097580765</v>
      </c>
      <c r="O25" s="34">
        <f>$E$38</f>
        <v>2385711.9708103407</v>
      </c>
      <c r="P25" s="27">
        <f>(1+$O$22)^-K25</f>
        <v>0.8884926659553453</v>
      </c>
      <c r="Q25" s="34">
        <f>O25*P25</f>
        <v>2119687.5891468604</v>
      </c>
    </row>
    <row r="26" spans="1:17" ht="12.75">
      <c r="A26" s="43" t="s">
        <v>63</v>
      </c>
      <c r="B26" s="42" t="s">
        <v>22</v>
      </c>
      <c r="C26" s="11">
        <f>+C29*C30</f>
        <v>75</v>
      </c>
      <c r="D26" s="11">
        <f>+C26</f>
        <v>75</v>
      </c>
      <c r="E26" s="11">
        <f aca="true" t="shared" si="3" ref="E26:E35">+D26-C26</f>
        <v>0</v>
      </c>
      <c r="H26" s="33">
        <f>+H25-H4</f>
        <v>5469409.220308722</v>
      </c>
      <c r="I26" s="33">
        <f>+I25-I4</f>
        <v>15713401.62882528</v>
      </c>
      <c r="K26" s="34">
        <v>2</v>
      </c>
      <c r="L26" s="34">
        <f aca="true" t="shared" si="4" ref="L26:L34">$E$17</f>
        <v>830902.7018026419</v>
      </c>
      <c r="M26" s="27">
        <f aca="true" t="shared" si="5" ref="M26:M34">(1+$L$22)^-K26</f>
        <v>0.7858499280920559</v>
      </c>
      <c r="N26" s="34">
        <f aca="true" t="shared" si="6" ref="N26:N34">L26*M26</f>
        <v>652964.8284631011</v>
      </c>
      <c r="O26" s="34">
        <f aca="true" t="shared" si="7" ref="O26:O34">$E$38</f>
        <v>2385711.9708103407</v>
      </c>
      <c r="P26" s="27">
        <f aca="true" t="shared" si="8" ref="P26:P34">(1+$O$22)^-K26</f>
        <v>0.7894192174564367</v>
      </c>
      <c r="Q26" s="34">
        <f aca="true" t="shared" si="9" ref="Q26:Q34">O26*P26</f>
        <v>1883326.8770735527</v>
      </c>
    </row>
    <row r="27" spans="1:17" ht="12.75">
      <c r="A27" s="42" t="s">
        <v>84</v>
      </c>
      <c r="B27" s="44" t="s">
        <v>23</v>
      </c>
      <c r="C27" s="11">
        <v>0</v>
      </c>
      <c r="D27" s="69">
        <f>'Subproject Data'!C21</f>
        <v>175374.8398391729</v>
      </c>
      <c r="E27" s="11">
        <f t="shared" si="3"/>
        <v>175374.8398391729</v>
      </c>
      <c r="H27" s="15">
        <f>+H25/H26</f>
        <v>-0.1543283707438256</v>
      </c>
      <c r="I27" s="15">
        <f>+I25/I26</f>
        <v>0.16293662577749043</v>
      </c>
      <c r="K27" s="34">
        <v>3</v>
      </c>
      <c r="L27" s="34">
        <f t="shared" si="4"/>
        <v>830902.7018026419</v>
      </c>
      <c r="M27" s="27">
        <f t="shared" si="5"/>
        <v>0.6966416350098373</v>
      </c>
      <c r="N27" s="34">
        <f t="shared" si="6"/>
        <v>578841.4167178838</v>
      </c>
      <c r="O27" s="34">
        <f t="shared" si="7"/>
        <v>2385711.9708103407</v>
      </c>
      <c r="P27" s="27">
        <f t="shared" si="8"/>
        <v>0.701393185074252</v>
      </c>
      <c r="Q27" s="34">
        <f t="shared" si="9"/>
        <v>1673322.1178764356</v>
      </c>
    </row>
    <row r="28" spans="1:17" ht="12.75">
      <c r="A28" s="43" t="s">
        <v>64</v>
      </c>
      <c r="B28" s="43" t="s">
        <v>23</v>
      </c>
      <c r="C28" s="11">
        <v>0</v>
      </c>
      <c r="D28" s="41">
        <f>+D27*D26</f>
        <v>13153112.987937968</v>
      </c>
      <c r="E28" s="11">
        <f t="shared" si="3"/>
        <v>13153112.987937968</v>
      </c>
      <c r="H28" s="15">
        <f>+H25/(-H4)</f>
        <v>-0.13369538049591517</v>
      </c>
      <c r="I28" s="15">
        <f>+I25/(-I4)</f>
        <v>0.19465267600416877</v>
      </c>
      <c r="K28" s="34">
        <v>4</v>
      </c>
      <c r="L28" s="34">
        <f t="shared" si="4"/>
        <v>830902.7018026419</v>
      </c>
      <c r="M28" s="27">
        <f t="shared" si="5"/>
        <v>0.6175601094822895</v>
      </c>
      <c r="N28" s="34">
        <f t="shared" si="6"/>
        <v>513132.3634943696</v>
      </c>
      <c r="O28" s="34">
        <f t="shared" si="7"/>
        <v>2385711.9708103407</v>
      </c>
      <c r="P28" s="27">
        <f t="shared" si="8"/>
        <v>0.623182700889533</v>
      </c>
      <c r="Q28" s="34">
        <f t="shared" si="9"/>
        <v>1486734.429514079</v>
      </c>
    </row>
    <row r="29" spans="1:17" ht="12.75">
      <c r="A29" s="43" t="s">
        <v>65</v>
      </c>
      <c r="B29" s="43" t="s">
        <v>134</v>
      </c>
      <c r="C29" s="68">
        <v>50</v>
      </c>
      <c r="D29" s="69">
        <f>+C29</f>
        <v>50</v>
      </c>
      <c r="E29" s="11">
        <f t="shared" si="3"/>
        <v>0</v>
      </c>
      <c r="K29" s="34">
        <v>5</v>
      </c>
      <c r="L29" s="34">
        <f t="shared" si="4"/>
        <v>830902.7018026419</v>
      </c>
      <c r="M29" s="27">
        <f t="shared" si="5"/>
        <v>0.547455778778413</v>
      </c>
      <c r="N29" s="34">
        <f t="shared" si="6"/>
        <v>454882.4857044528</v>
      </c>
      <c r="O29" s="34">
        <f t="shared" si="7"/>
        <v>2385711.9708103407</v>
      </c>
      <c r="P29" s="27">
        <f t="shared" si="8"/>
        <v>0.5536932592905938</v>
      </c>
      <c r="Q29" s="34">
        <f t="shared" si="9"/>
        <v>1320952.6368465635</v>
      </c>
    </row>
    <row r="30" spans="1:17" ht="12.75">
      <c r="A30" s="42" t="s">
        <v>49</v>
      </c>
      <c r="B30" s="43" t="s">
        <v>50</v>
      </c>
      <c r="C30" s="68">
        <v>1.5</v>
      </c>
      <c r="D30" s="68">
        <v>1.5</v>
      </c>
      <c r="E30" s="11">
        <f t="shared" si="3"/>
        <v>0</v>
      </c>
      <c r="I30" s="33"/>
      <c r="K30" s="34">
        <v>6</v>
      </c>
      <c r="L30" s="34">
        <f t="shared" si="4"/>
        <v>830902.7018026419</v>
      </c>
      <c r="M30" s="27">
        <f t="shared" si="5"/>
        <v>0.48530956762917943</v>
      </c>
      <c r="N30" s="34">
        <f t="shared" si="6"/>
        <v>403245.0309537571</v>
      </c>
      <c r="O30" s="34">
        <f t="shared" si="7"/>
        <v>2385711.9708103407</v>
      </c>
      <c r="P30" s="27">
        <f t="shared" si="8"/>
        <v>0.4919524000686039</v>
      </c>
      <c r="Q30" s="34">
        <f t="shared" si="9"/>
        <v>1173656.7299125462</v>
      </c>
    </row>
    <row r="31" spans="1:17" ht="12.75">
      <c r="A31" s="42" t="s">
        <v>30</v>
      </c>
      <c r="B31" s="43" t="s">
        <v>24</v>
      </c>
      <c r="C31" s="68">
        <v>3</v>
      </c>
      <c r="D31" s="68">
        <v>5</v>
      </c>
      <c r="E31" s="11">
        <f t="shared" si="3"/>
        <v>2</v>
      </c>
      <c r="I31" s="33"/>
      <c r="K31" s="34">
        <v>7</v>
      </c>
      <c r="L31" s="34">
        <f t="shared" si="4"/>
        <v>830902.7018026419</v>
      </c>
      <c r="M31" s="27">
        <f t="shared" si="5"/>
        <v>0.4302180843865963</v>
      </c>
      <c r="N31" s="34">
        <f t="shared" si="6"/>
        <v>357469.3686811798</v>
      </c>
      <c r="O31" s="34">
        <f t="shared" si="7"/>
        <v>2385711.9708103407</v>
      </c>
      <c r="P31" s="27">
        <f t="shared" si="8"/>
        <v>0.43709609946008443</v>
      </c>
      <c r="Q31" s="34">
        <f t="shared" si="9"/>
        <v>1042785.3968764307</v>
      </c>
    </row>
    <row r="32" spans="1:17" ht="12.75">
      <c r="A32" s="43" t="s">
        <v>66</v>
      </c>
      <c r="B32" s="43" t="s">
        <v>25</v>
      </c>
      <c r="C32" s="68">
        <f>+C11*C47</f>
        <v>11925.489109063757</v>
      </c>
      <c r="D32" s="69">
        <f>+C32</f>
        <v>11925.489109063757</v>
      </c>
      <c r="E32" s="11">
        <f t="shared" si="3"/>
        <v>0</v>
      </c>
      <c r="I32" s="33"/>
      <c r="K32" s="34">
        <v>8</v>
      </c>
      <c r="L32" s="34">
        <f t="shared" si="4"/>
        <v>830902.7018026419</v>
      </c>
      <c r="M32" s="27">
        <f t="shared" si="5"/>
        <v>0.3813804888237774</v>
      </c>
      <c r="N32" s="34">
        <f t="shared" si="6"/>
        <v>316890.0785784889</v>
      </c>
      <c r="O32" s="34">
        <f t="shared" si="7"/>
        <v>2385711.9708103407</v>
      </c>
      <c r="P32" s="27">
        <f t="shared" si="8"/>
        <v>0.38835667868797313</v>
      </c>
      <c r="Q32" s="34">
        <f t="shared" si="9"/>
        <v>926507.1772900426</v>
      </c>
    </row>
    <row r="33" spans="1:17" ht="12.75">
      <c r="A33" s="42" t="s">
        <v>71</v>
      </c>
      <c r="B33" s="43" t="s">
        <v>26</v>
      </c>
      <c r="C33" s="68">
        <v>1</v>
      </c>
      <c r="D33" s="68">
        <v>2</v>
      </c>
      <c r="E33" s="11">
        <f t="shared" si="3"/>
        <v>1</v>
      </c>
      <c r="I33" s="33"/>
      <c r="K33" s="34">
        <v>9</v>
      </c>
      <c r="L33" s="34">
        <f t="shared" si="4"/>
        <v>830902.7018026419</v>
      </c>
      <c r="M33" s="27">
        <f t="shared" si="5"/>
        <v>0.3380868506791087</v>
      </c>
      <c r="N33" s="34">
        <f t="shared" si="6"/>
        <v>280917.27767321776</v>
      </c>
      <c r="O33" s="34">
        <f t="shared" si="7"/>
        <v>2385711.9708103407</v>
      </c>
      <c r="P33" s="27">
        <f t="shared" si="8"/>
        <v>0.34505206078904066</v>
      </c>
      <c r="Q33" s="34">
        <f t="shared" si="9"/>
        <v>823194.8319771917</v>
      </c>
    </row>
    <row r="34" spans="1:17" ht="12.75">
      <c r="A34" s="43" t="s">
        <v>68</v>
      </c>
      <c r="B34" s="43" t="s">
        <v>27</v>
      </c>
      <c r="C34" s="11">
        <f>+C33*C32*C31*C30*C29</f>
        <v>2683235.049539346</v>
      </c>
      <c r="D34" s="11">
        <f>+D33*D32*D31*D30*D29</f>
        <v>8944116.831797818</v>
      </c>
      <c r="E34" s="11">
        <f t="shared" si="3"/>
        <v>6260881.7822584715</v>
      </c>
      <c r="I34" s="33"/>
      <c r="K34" s="34">
        <v>10</v>
      </c>
      <c r="L34" s="34">
        <f t="shared" si="4"/>
        <v>830902.7018026419</v>
      </c>
      <c r="M34" s="27">
        <f t="shared" si="5"/>
        <v>0.29970782971787857</v>
      </c>
      <c r="N34" s="79">
        <f t="shared" si="6"/>
        <v>249028.0454639914</v>
      </c>
      <c r="O34" s="34">
        <f t="shared" si="7"/>
        <v>2385711.9708103407</v>
      </c>
      <c r="P34" s="27">
        <f t="shared" si="8"/>
        <v>0.3065762253838406</v>
      </c>
      <c r="Q34" s="79">
        <f t="shared" si="9"/>
        <v>731402.5708640775</v>
      </c>
    </row>
    <row r="35" spans="1:17" ht="12.75">
      <c r="A35" s="43" t="s">
        <v>69</v>
      </c>
      <c r="B35" s="43" t="s">
        <v>27</v>
      </c>
      <c r="C35" s="11">
        <f>+C34*0.56</f>
        <v>1502611.6277420337</v>
      </c>
      <c r="D35" s="11">
        <f>+D34*0.56</f>
        <v>5008705.4258067785</v>
      </c>
      <c r="E35" s="11">
        <f t="shared" si="3"/>
        <v>3506093.798064745</v>
      </c>
      <c r="N35" s="33">
        <f>SUM(N25:N34)</f>
        <v>4543950.993311207</v>
      </c>
      <c r="Q35" s="33">
        <f>SUM(Q25:Q34)</f>
        <v>13181570.357377779</v>
      </c>
    </row>
    <row r="36" spans="1:5" ht="12.75">
      <c r="A36" s="43" t="s">
        <v>70</v>
      </c>
      <c r="B36" s="43" t="s">
        <v>28</v>
      </c>
      <c r="C36" s="11">
        <f>+C34-C35</f>
        <v>1180623.421797312</v>
      </c>
      <c r="D36" s="11">
        <f>+D34-D35</f>
        <v>3935411.4059910392</v>
      </c>
      <c r="E36" s="11">
        <f>+D36-C36</f>
        <v>2754787.9841937274</v>
      </c>
    </row>
    <row r="37" spans="1:5" ht="12.75">
      <c r="A37" s="43" t="s">
        <v>115</v>
      </c>
      <c r="B37" s="43" t="s">
        <v>28</v>
      </c>
      <c r="C37" s="11">
        <v>0</v>
      </c>
      <c r="D37" s="68">
        <f>+D28*C47*0.02</f>
        <v>369076.0133833866</v>
      </c>
      <c r="E37" s="11">
        <f>+D37-C37</f>
        <v>369076.0133833866</v>
      </c>
    </row>
    <row r="38" spans="1:5" ht="12.75">
      <c r="A38" s="43" t="s">
        <v>17</v>
      </c>
      <c r="B38" s="43" t="s">
        <v>28</v>
      </c>
      <c r="E38" s="11">
        <f>+E36-E37</f>
        <v>2385711.9708103407</v>
      </c>
    </row>
    <row r="39" spans="1:5" ht="12.75">
      <c r="A39" s="42" t="s">
        <v>29</v>
      </c>
      <c r="B39" s="43" t="s">
        <v>32</v>
      </c>
      <c r="D39" s="33">
        <v>30</v>
      </c>
      <c r="E39" s="33">
        <v>30</v>
      </c>
    </row>
    <row r="40" spans="1:5" ht="12.75">
      <c r="A40" s="43" t="s">
        <v>18</v>
      </c>
      <c r="B40" s="43"/>
      <c r="E40" s="11">
        <f>+E28/E38</f>
        <v>5.513286242794149</v>
      </c>
    </row>
    <row r="41" spans="1:5" ht="12.75">
      <c r="A41" s="42" t="s">
        <v>14</v>
      </c>
      <c r="B41" s="43"/>
      <c r="E41" s="15">
        <f>I24</f>
        <v>0.18139728249355214</v>
      </c>
    </row>
    <row r="42" spans="1:5" ht="12.75">
      <c r="A42" s="42" t="s">
        <v>33</v>
      </c>
      <c r="B42" s="43"/>
      <c r="E42" s="11">
        <v>6.565979636707436</v>
      </c>
    </row>
    <row r="43" spans="1:5" ht="12.75">
      <c r="A43" s="56" t="s">
        <v>116</v>
      </c>
      <c r="B43" s="57" t="s">
        <v>27</v>
      </c>
      <c r="C43" s="53"/>
      <c r="D43" s="53"/>
      <c r="E43" s="53">
        <f>+E38*E42-E28</f>
        <v>2511423.231451893</v>
      </c>
    </row>
    <row r="44" spans="1:4" ht="12.75">
      <c r="A44" s="30"/>
      <c r="C44" s="33"/>
      <c r="D44" s="37"/>
    </row>
    <row r="45" ht="12.75"/>
    <row r="46" spans="1:2" ht="12.75">
      <c r="A46" s="65" t="s">
        <v>241</v>
      </c>
      <c r="B46" s="63" t="s">
        <v>40</v>
      </c>
    </row>
    <row r="47" spans="1:5" s="70" customFormat="1" ht="12.75">
      <c r="A47" s="70" t="str">
        <f>'Assumptions &amp; Data'!$A$9</f>
        <v>Inflation factors</v>
      </c>
      <c r="B47" s="63" t="s">
        <v>211</v>
      </c>
      <c r="C47" s="74">
        <f>'Assumptions &amp; Data'!$J$10</f>
        <v>1.4029987187133832</v>
      </c>
      <c r="E47" s="63"/>
    </row>
    <row r="48" ht="12.75">
      <c r="A48" s="42" t="s">
        <v>150</v>
      </c>
    </row>
    <row r="49" ht="12.75">
      <c r="A49" s="42" t="s">
        <v>21</v>
      </c>
    </row>
    <row r="50" ht="12.75">
      <c r="A50" s="42" t="s">
        <v>20</v>
      </c>
    </row>
    <row r="51" ht="12.75">
      <c r="A51" s="42" t="s">
        <v>160</v>
      </c>
    </row>
    <row r="52" ht="12.75">
      <c r="A52" s="42" t="s">
        <v>154</v>
      </c>
    </row>
    <row r="53" ht="12.75">
      <c r="A53" s="43" t="s">
        <v>34</v>
      </c>
    </row>
    <row r="55" spans="1:4" ht="12.75">
      <c r="A55" s="30" t="s">
        <v>143</v>
      </c>
      <c r="B55" s="11" t="s">
        <v>153</v>
      </c>
      <c r="C55" s="11" t="s">
        <v>152</v>
      </c>
      <c r="D55" s="35" t="s">
        <v>151</v>
      </c>
    </row>
    <row r="56" spans="1:4" ht="12.75">
      <c r="A56" s="11" t="s">
        <v>125</v>
      </c>
      <c r="B56" s="11">
        <f>19.8+222.9+467.2+570.3+353.8</f>
        <v>1633.9999999999998</v>
      </c>
      <c r="C56" s="11">
        <f>4+264.9+475.7+735.4+643.6+285.6</f>
        <v>2409.2</v>
      </c>
      <c r="D56" s="11">
        <f>39.89+103.32+172.96+220.63+323.29+719.54</f>
        <v>1579.6299999999999</v>
      </c>
    </row>
    <row r="57" spans="1:4" ht="12.75">
      <c r="A57" s="11" t="s">
        <v>115</v>
      </c>
      <c r="B57" s="11">
        <v>28.1</v>
      </c>
      <c r="C57" s="11">
        <v>32.7</v>
      </c>
      <c r="D57" s="11">
        <v>54.01</v>
      </c>
    </row>
    <row r="58" spans="1:4" ht="12.75">
      <c r="A58" s="11" t="s">
        <v>57</v>
      </c>
      <c r="B58" s="32">
        <f>+B57/B56</f>
        <v>0.017197062423500616</v>
      </c>
      <c r="C58" s="32">
        <f>+C57/C56</f>
        <v>0.01357297028059107</v>
      </c>
      <c r="D58" s="32">
        <f>+D57/D56</f>
        <v>0.034191551186037235</v>
      </c>
    </row>
    <row r="59" spans="10:14" ht="12.75">
      <c r="J59" s="30" t="s">
        <v>156</v>
      </c>
      <c r="K59" s="30" t="s">
        <v>157</v>
      </c>
      <c r="L59" s="30" t="s">
        <v>158</v>
      </c>
      <c r="M59" s="30" t="s">
        <v>159</v>
      </c>
      <c r="N59" s="30"/>
    </row>
    <row r="60" spans="9:14" ht="12.75">
      <c r="I60" s="54" t="s">
        <v>155</v>
      </c>
      <c r="J60" s="55">
        <v>3.29</v>
      </c>
      <c r="K60" s="55">
        <v>7.82</v>
      </c>
      <c r="L60" s="55">
        <v>8.48</v>
      </c>
      <c r="M60" s="55">
        <v>8.13</v>
      </c>
      <c r="N60" s="77"/>
    </row>
  </sheetData>
  <sheetProtection/>
  <mergeCells count="3">
    <mergeCell ref="A3:E3"/>
    <mergeCell ref="A24:E24"/>
    <mergeCell ref="A2:E2"/>
  </mergeCells>
  <printOptions horizontalCentered="1"/>
  <pageMargins left="0.75" right="0.75" top="1" bottom="1" header="0.5" footer="0.5"/>
  <pageSetup fitToHeight="1" fitToWidth="1"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sheetPr codeName="Sheet12">
    <pageSetUpPr fitToPage="1"/>
  </sheetPr>
  <dimension ref="A1:N34"/>
  <sheetViews>
    <sheetView zoomScalePageLayoutView="0" workbookViewId="0" topLeftCell="A1">
      <selection activeCell="E26" sqref="E26"/>
    </sheetView>
  </sheetViews>
  <sheetFormatPr defaultColWidth="5.7109375" defaultRowHeight="18" customHeight="1"/>
  <cols>
    <col min="1" max="1" width="27.8515625" style="18" customWidth="1"/>
    <col min="2" max="2" width="13.8515625" style="19" customWidth="1"/>
    <col min="3" max="3" width="11.7109375" style="19" hidden="1" customWidth="1"/>
    <col min="4" max="4" width="11.421875" style="18" customWidth="1"/>
    <col min="5" max="5" width="12.57421875" style="18" customWidth="1"/>
    <col min="6" max="6" width="8.28125" style="21" customWidth="1"/>
    <col min="7" max="7" width="8.28125" style="18" customWidth="1"/>
    <col min="8" max="8" width="19.57421875" style="18" customWidth="1"/>
    <col min="9" max="9" width="5.421875" style="18" hidden="1" customWidth="1"/>
    <col min="10" max="10" width="18.28125" style="19" customWidth="1"/>
    <col min="11" max="11" width="8.00390625" style="19" customWidth="1"/>
    <col min="12" max="12" width="36.28125" style="19" customWidth="1"/>
    <col min="13" max="14" width="20.7109375" style="18" customWidth="1"/>
    <col min="15" max="16384" width="5.7109375" style="18" customWidth="1"/>
  </cols>
  <sheetData>
    <row r="1" spans="1:12" ht="18" customHeight="1">
      <c r="A1" s="1091" t="s">
        <v>190</v>
      </c>
      <c r="B1" s="1092"/>
      <c r="C1" s="1092"/>
      <c r="D1" s="1092"/>
      <c r="E1" s="1092"/>
      <c r="F1" s="1092"/>
      <c r="G1" s="1092"/>
      <c r="H1" s="1092"/>
      <c r="I1" s="1092"/>
      <c r="J1" s="1092"/>
      <c r="K1" s="62"/>
      <c r="L1" s="24" t="s">
        <v>194</v>
      </c>
    </row>
    <row r="2" spans="1:12" ht="18" customHeight="1">
      <c r="A2" s="1091" t="s">
        <v>53</v>
      </c>
      <c r="B2" s="1091"/>
      <c r="C2" s="1091"/>
      <c r="D2" s="1091"/>
      <c r="E2" s="1091"/>
      <c r="F2" s="1091"/>
      <c r="G2" s="1091"/>
      <c r="H2" s="1091"/>
      <c r="I2" s="1091"/>
      <c r="J2" s="1091"/>
      <c r="K2" s="61"/>
      <c r="L2" s="61"/>
    </row>
    <row r="3" spans="1:14" ht="18" customHeight="1">
      <c r="A3" s="58"/>
      <c r="B3" s="59"/>
      <c r="C3" s="59"/>
      <c r="D3" s="59"/>
      <c r="E3" s="59"/>
      <c r="F3" s="59"/>
      <c r="G3" s="59"/>
      <c r="H3" s="59"/>
      <c r="I3" s="59"/>
      <c r="J3" s="59"/>
      <c r="K3" s="59"/>
      <c r="L3" s="1089" t="s">
        <v>191</v>
      </c>
      <c r="M3" s="1090"/>
      <c r="N3" s="1090"/>
    </row>
    <row r="4" spans="1:14" ht="18" customHeight="1">
      <c r="A4" s="1089" t="s">
        <v>54</v>
      </c>
      <c r="B4" s="1088"/>
      <c r="C4" s="1088"/>
      <c r="D4" s="1088"/>
      <c r="E4" s="1088"/>
      <c r="F4" s="1088"/>
      <c r="G4" s="1088"/>
      <c r="H4" s="1088"/>
      <c r="I4" s="1088"/>
      <c r="J4" s="1088"/>
      <c r="K4" s="59"/>
      <c r="L4" s="1087" t="s">
        <v>149</v>
      </c>
      <c r="M4" s="1093"/>
      <c r="N4" s="1093"/>
    </row>
    <row r="5" spans="1:11" s="60" customFormat="1" ht="18" customHeight="1">
      <c r="A5" s="60" t="s">
        <v>52</v>
      </c>
      <c r="B5" s="16" t="s">
        <v>125</v>
      </c>
      <c r="C5" s="16" t="s">
        <v>115</v>
      </c>
      <c r="D5" s="60" t="s">
        <v>126</v>
      </c>
      <c r="E5" s="60" t="s">
        <v>116</v>
      </c>
      <c r="F5" s="17" t="s">
        <v>14</v>
      </c>
      <c r="G5" s="60" t="s">
        <v>15</v>
      </c>
      <c r="H5" s="60" t="s">
        <v>12</v>
      </c>
      <c r="J5" s="58" t="s">
        <v>13</v>
      </c>
      <c r="K5" s="58"/>
    </row>
    <row r="6" spans="1:14" ht="18" customHeight="1">
      <c r="A6" s="18" t="s">
        <v>117</v>
      </c>
      <c r="B6" s="19">
        <v>800000</v>
      </c>
      <c r="C6" s="19">
        <v>89700</v>
      </c>
      <c r="D6" s="20">
        <v>20</v>
      </c>
      <c r="E6" s="19">
        <v>83942.7907201011</v>
      </c>
      <c r="F6" s="21">
        <v>0.16871535650435154</v>
      </c>
      <c r="G6" s="22">
        <v>0.25</v>
      </c>
      <c r="H6" s="19">
        <f>+G6*$H$15</f>
        <v>1770750000</v>
      </c>
      <c r="I6" s="23">
        <f aca="true" t="shared" si="0" ref="I6:I14">+H6/B6</f>
        <v>2213.4375</v>
      </c>
      <c r="J6" s="19">
        <f aca="true" t="shared" si="1" ref="J6:J14">+I6*E6</f>
        <v>185802120.83452377</v>
      </c>
      <c r="L6" s="60" t="s">
        <v>52</v>
      </c>
      <c r="M6" s="60" t="s">
        <v>147</v>
      </c>
      <c r="N6" s="60" t="s">
        <v>148</v>
      </c>
    </row>
    <row r="7" spans="1:14" ht="18" customHeight="1">
      <c r="A7" s="18" t="s">
        <v>120</v>
      </c>
      <c r="B7" s="19">
        <v>500000</v>
      </c>
      <c r="C7" s="19">
        <v>472500</v>
      </c>
      <c r="D7" s="20">
        <v>20</v>
      </c>
      <c r="E7" s="19">
        <v>1236964.4839599777</v>
      </c>
      <c r="F7" s="21">
        <v>0.5549186908721435</v>
      </c>
      <c r="G7" s="22">
        <v>0.1</v>
      </c>
      <c r="H7" s="19">
        <f aca="true" t="shared" si="2" ref="H7:H14">+G7*$H$15</f>
        <v>708300000</v>
      </c>
      <c r="I7" s="23">
        <f t="shared" si="0"/>
        <v>1416.6</v>
      </c>
      <c r="J7" s="19">
        <f t="shared" si="1"/>
        <v>1752283887.9777043</v>
      </c>
      <c r="L7" s="18" t="s">
        <v>117</v>
      </c>
      <c r="M7" s="21">
        <v>0.09496405378420165</v>
      </c>
      <c r="N7" s="21">
        <v>0.10492848840012622</v>
      </c>
    </row>
    <row r="8" spans="1:14" ht="18" customHeight="1">
      <c r="A8" s="18" t="s">
        <v>121</v>
      </c>
      <c r="B8" s="19">
        <v>2600000</v>
      </c>
      <c r="C8" s="19">
        <v>52000</v>
      </c>
      <c r="D8" s="20">
        <v>10</v>
      </c>
      <c r="E8" s="19">
        <v>2531063.573857719</v>
      </c>
      <c r="F8" s="21">
        <v>0.37720112952879575</v>
      </c>
      <c r="G8" s="22">
        <v>0.125</v>
      </c>
      <c r="H8" s="19">
        <f t="shared" si="2"/>
        <v>885375000</v>
      </c>
      <c r="I8" s="23">
        <f t="shared" si="0"/>
        <v>340.52884615384613</v>
      </c>
      <c r="J8" s="19">
        <f t="shared" si="1"/>
        <v>861900158.3477992</v>
      </c>
      <c r="L8" s="18" t="s">
        <v>120</v>
      </c>
      <c r="M8" s="21">
        <v>0.7121414947644257</v>
      </c>
      <c r="N8" s="21">
        <v>2.4739289679199556</v>
      </c>
    </row>
    <row r="9" spans="1:14" ht="18" customHeight="1">
      <c r="A9" s="18" t="s">
        <v>122</v>
      </c>
      <c r="B9" s="19">
        <v>125000</v>
      </c>
      <c r="C9" s="19">
        <v>2500</v>
      </c>
      <c r="D9" s="20">
        <v>10</v>
      </c>
      <c r="E9" s="19">
        <v>24214.264707428578</v>
      </c>
      <c r="F9" s="21">
        <v>0.19916879841488225</v>
      </c>
      <c r="G9" s="22">
        <v>0.025</v>
      </c>
      <c r="H9" s="19">
        <f t="shared" si="2"/>
        <v>177075000</v>
      </c>
      <c r="I9" s="23">
        <f t="shared" si="0"/>
        <v>1416.6</v>
      </c>
      <c r="J9" s="19">
        <f t="shared" si="1"/>
        <v>34301927.38454332</v>
      </c>
      <c r="L9" s="18" t="s">
        <v>121</v>
      </c>
      <c r="M9" s="21">
        <v>0.49328244279670347</v>
      </c>
      <c r="N9" s="21">
        <v>0.9734859899452766</v>
      </c>
    </row>
    <row r="10" spans="1:14" ht="18" customHeight="1">
      <c r="A10" s="18" t="s">
        <v>77</v>
      </c>
      <c r="B10" s="19">
        <v>2500000</v>
      </c>
      <c r="C10" s="19">
        <v>62500</v>
      </c>
      <c r="D10" s="20">
        <v>10</v>
      </c>
      <c r="E10" s="19">
        <v>2079626.3710919851</v>
      </c>
      <c r="F10" s="21">
        <v>0.34634829103235387</v>
      </c>
      <c r="G10" s="22">
        <v>0.05</v>
      </c>
      <c r="H10" s="19">
        <f t="shared" si="2"/>
        <v>354150000</v>
      </c>
      <c r="I10" s="23">
        <f t="shared" si="0"/>
        <v>141.66</v>
      </c>
      <c r="J10" s="19">
        <f t="shared" si="1"/>
        <v>294599871.7288906</v>
      </c>
      <c r="L10" s="18" t="s">
        <v>122</v>
      </c>
      <c r="M10" s="21">
        <v>0.1622784842649369</v>
      </c>
      <c r="N10" s="21">
        <v>0.19371411765942861</v>
      </c>
    </row>
    <row r="11" spans="1:14" ht="18" customHeight="1">
      <c r="A11" s="18" t="s">
        <v>78</v>
      </c>
      <c r="B11" s="19">
        <v>1125000</v>
      </c>
      <c r="C11" s="19">
        <v>56250</v>
      </c>
      <c r="D11" s="20">
        <v>10</v>
      </c>
      <c r="E11" s="19">
        <v>1039343.9698996367</v>
      </c>
      <c r="F11" s="21">
        <v>0.3664419720535475</v>
      </c>
      <c r="G11" s="22">
        <v>0.05</v>
      </c>
      <c r="H11" s="19">
        <f t="shared" si="2"/>
        <v>354150000</v>
      </c>
      <c r="I11" s="23">
        <f t="shared" si="0"/>
        <v>314.8</v>
      </c>
      <c r="J11" s="19">
        <f t="shared" si="1"/>
        <v>327185481.72440565</v>
      </c>
      <c r="L11" s="18" t="s">
        <v>77</v>
      </c>
      <c r="M11" s="21">
        <v>0.45410393830798707</v>
      </c>
      <c r="N11" s="21">
        <v>0.8318505484367942</v>
      </c>
    </row>
    <row r="12" spans="1:14" ht="18" customHeight="1">
      <c r="A12" s="18" t="s">
        <v>123</v>
      </c>
      <c r="B12" s="19">
        <v>1200000</v>
      </c>
      <c r="C12" s="19">
        <v>12000</v>
      </c>
      <c r="D12" s="20">
        <v>30</v>
      </c>
      <c r="E12" s="19">
        <v>1602031.809964898</v>
      </c>
      <c r="F12" s="21">
        <v>0.35558634757959606</v>
      </c>
      <c r="G12" s="22">
        <v>0.25</v>
      </c>
      <c r="H12" s="19">
        <f t="shared" si="2"/>
        <v>1770750000</v>
      </c>
      <c r="I12" s="23">
        <f t="shared" si="0"/>
        <v>1475.625</v>
      </c>
      <c r="J12" s="19">
        <f t="shared" si="1"/>
        <v>2363998189.5794525</v>
      </c>
      <c r="L12" s="18" t="s">
        <v>78</v>
      </c>
      <c r="M12" s="21">
        <v>0.480212010823692</v>
      </c>
      <c r="N12" s="21">
        <v>0.923861306577455</v>
      </c>
    </row>
    <row r="13" spans="1:14" ht="18" customHeight="1">
      <c r="A13" s="18" t="s">
        <v>124</v>
      </c>
      <c r="B13" s="19">
        <v>4500000</v>
      </c>
      <c r="C13" s="19">
        <v>157500.00000000003</v>
      </c>
      <c r="D13" s="20">
        <v>30</v>
      </c>
      <c r="E13" s="19">
        <v>1372448.0375802116</v>
      </c>
      <c r="F13" s="21">
        <v>0.1978668161568775</v>
      </c>
      <c r="G13" s="22">
        <v>0.075</v>
      </c>
      <c r="H13" s="19">
        <f t="shared" si="2"/>
        <v>531225000</v>
      </c>
      <c r="I13" s="23">
        <f t="shared" si="0"/>
        <v>118.05</v>
      </c>
      <c r="J13" s="19">
        <f t="shared" si="1"/>
        <v>162017490.83634397</v>
      </c>
      <c r="L13" s="18" t="s">
        <v>123</v>
      </c>
      <c r="M13" s="21">
        <v>0.5717393372436297</v>
      </c>
      <c r="N13" s="21">
        <v>1.3350265083040835</v>
      </c>
    </row>
    <row r="14" spans="1:14" ht="18" customHeight="1">
      <c r="A14" s="24" t="s">
        <v>11</v>
      </c>
      <c r="B14" s="19">
        <v>9375000</v>
      </c>
      <c r="C14" s="19">
        <v>187500</v>
      </c>
      <c r="D14" s="20">
        <v>30</v>
      </c>
      <c r="E14" s="19">
        <v>2286179.8347924035</v>
      </c>
      <c r="F14" s="21">
        <v>0.18837117042255566</v>
      </c>
      <c r="G14" s="22">
        <v>0.075</v>
      </c>
      <c r="H14" s="19">
        <f t="shared" si="2"/>
        <v>531225000</v>
      </c>
      <c r="I14" s="23">
        <f t="shared" si="0"/>
        <v>56.664</v>
      </c>
      <c r="J14" s="19">
        <f t="shared" si="1"/>
        <v>129544094.15867676</v>
      </c>
      <c r="L14" s="24" t="s">
        <v>192</v>
      </c>
      <c r="M14" s="21">
        <v>0.23370969462775212</v>
      </c>
      <c r="N14" s="21">
        <v>0.30498845279560316</v>
      </c>
    </row>
    <row r="15" spans="1:14" ht="18" customHeight="1">
      <c r="A15" s="39" t="s">
        <v>61</v>
      </c>
      <c r="E15" s="19">
        <f>AVERAGE(E6:E14)</f>
        <v>1361757.237397151</v>
      </c>
      <c r="F15" s="21">
        <f>AVERAGE(F6:F14)</f>
        <v>0.3060687302850115</v>
      </c>
      <c r="G15" s="22">
        <f>SUM(G6:G14)</f>
        <v>1</v>
      </c>
      <c r="H15" s="19">
        <v>7083000000</v>
      </c>
      <c r="I15" s="23">
        <v>5378</v>
      </c>
      <c r="J15" s="19">
        <f>SUM(J6:J14)</f>
        <v>6111633222.57234</v>
      </c>
      <c r="L15" s="24" t="s">
        <v>193</v>
      </c>
      <c r="M15" s="21">
        <v>0.19605047406707002</v>
      </c>
      <c r="N15" s="21">
        <v>0.24385918237785698</v>
      </c>
    </row>
    <row r="16" spans="1:14" ht="18" customHeight="1">
      <c r="A16" s="24" t="s">
        <v>62</v>
      </c>
      <c r="F16" s="21">
        <f>(F6*H6+F7*H7+F8*H8+F9*H9+F10*H10+F11*H11+F12*H12+F13*H13+F14*H4)/H15</f>
        <v>0.28917618062573364</v>
      </c>
      <c r="G16" s="25"/>
      <c r="H16" s="19">
        <f>SUM(H6:H14)</f>
        <v>7083000000</v>
      </c>
      <c r="M16" s="21"/>
      <c r="N16" s="21"/>
    </row>
    <row r="17" spans="13:14" ht="18" customHeight="1">
      <c r="M17" s="21"/>
      <c r="N17" s="21"/>
    </row>
    <row r="18" spans="1:14" ht="18" customHeight="1">
      <c r="A18" s="1087" t="s">
        <v>55</v>
      </c>
      <c r="B18" s="1088"/>
      <c r="C18" s="1088"/>
      <c r="D18" s="1088"/>
      <c r="E18" s="1088"/>
      <c r="F18" s="1088"/>
      <c r="G18" s="1088"/>
      <c r="H18" s="1088"/>
      <c r="I18" s="1088"/>
      <c r="J18" s="1088"/>
      <c r="K18" s="59"/>
      <c r="L18" s="59"/>
      <c r="M18" s="21"/>
      <c r="N18" s="21"/>
    </row>
    <row r="19" spans="1:14" ht="18" customHeight="1">
      <c r="A19" s="60" t="s">
        <v>52</v>
      </c>
      <c r="B19" s="16" t="s">
        <v>125</v>
      </c>
      <c r="C19" s="16" t="s">
        <v>115</v>
      </c>
      <c r="D19" s="60" t="s">
        <v>126</v>
      </c>
      <c r="E19" s="60" t="s">
        <v>116</v>
      </c>
      <c r="F19" s="17" t="s">
        <v>14</v>
      </c>
      <c r="G19" s="60" t="s">
        <v>15</v>
      </c>
      <c r="H19" s="60" t="s">
        <v>12</v>
      </c>
      <c r="I19" s="60"/>
      <c r="J19" s="58" t="s">
        <v>13</v>
      </c>
      <c r="K19" s="58"/>
      <c r="L19" s="58"/>
      <c r="M19" s="21"/>
      <c r="N19" s="21"/>
    </row>
    <row r="20" spans="1:14" ht="18" customHeight="1">
      <c r="A20" s="18" t="s">
        <v>117</v>
      </c>
      <c r="B20" s="19">
        <v>800000</v>
      </c>
      <c r="C20" s="19">
        <v>0</v>
      </c>
      <c r="D20" s="20">
        <v>20</v>
      </c>
      <c r="E20" s="19">
        <v>83942.7907201011</v>
      </c>
      <c r="F20" s="21">
        <v>0.16871535650435154</v>
      </c>
      <c r="G20" s="26">
        <v>0.2</v>
      </c>
      <c r="H20" s="19">
        <f>+G20*$H$15</f>
        <v>1416600000</v>
      </c>
      <c r="I20" s="23">
        <f aca="true" t="shared" si="3" ref="I20:I28">+H20/B20</f>
        <v>1770.75</v>
      </c>
      <c r="J20" s="19">
        <f aca="true" t="shared" si="4" ref="J20:J28">+I20*E20</f>
        <v>148641696.66761902</v>
      </c>
      <c r="M20" s="21"/>
      <c r="N20" s="21"/>
    </row>
    <row r="21" spans="1:14" ht="18" customHeight="1">
      <c r="A21" s="18" t="s">
        <v>120</v>
      </c>
      <c r="B21" s="19">
        <v>500000</v>
      </c>
      <c r="C21" s="19">
        <v>0</v>
      </c>
      <c r="D21" s="20">
        <v>20</v>
      </c>
      <c r="E21" s="19">
        <v>1236964.4839599777</v>
      </c>
      <c r="F21" s="21">
        <v>0.5549186908721435</v>
      </c>
      <c r="G21" s="22">
        <v>0.1</v>
      </c>
      <c r="H21" s="19">
        <f aca="true" t="shared" si="5" ref="H21:H28">+G21*$H$15</f>
        <v>708300000</v>
      </c>
      <c r="I21" s="23">
        <f t="shared" si="3"/>
        <v>1416.6</v>
      </c>
      <c r="J21" s="19">
        <f t="shared" si="4"/>
        <v>1752283887.9777043</v>
      </c>
      <c r="M21" s="21"/>
      <c r="N21" s="21"/>
    </row>
    <row r="22" spans="1:14" ht="18" customHeight="1">
      <c r="A22" s="18" t="s">
        <v>121</v>
      </c>
      <c r="B22" s="19">
        <v>2600000</v>
      </c>
      <c r="C22" s="19">
        <v>10</v>
      </c>
      <c r="D22" s="20">
        <v>10</v>
      </c>
      <c r="E22" s="19">
        <v>2531063.573857719</v>
      </c>
      <c r="F22" s="21">
        <v>0.37720112952879575</v>
      </c>
      <c r="G22" s="22">
        <v>0.125</v>
      </c>
      <c r="H22" s="19">
        <f t="shared" si="5"/>
        <v>885375000</v>
      </c>
      <c r="I22" s="23">
        <f t="shared" si="3"/>
        <v>340.52884615384613</v>
      </c>
      <c r="J22" s="19">
        <f t="shared" si="4"/>
        <v>861900158.3477992</v>
      </c>
      <c r="M22" s="21"/>
      <c r="N22" s="21"/>
    </row>
    <row r="23" spans="1:14" ht="18" customHeight="1">
      <c r="A23" s="18" t="s">
        <v>122</v>
      </c>
      <c r="B23" s="19">
        <v>125000</v>
      </c>
      <c r="C23" s="19">
        <v>0</v>
      </c>
      <c r="D23" s="20">
        <v>10</v>
      </c>
      <c r="E23" s="19">
        <v>24214.264707428578</v>
      </c>
      <c r="F23" s="21">
        <v>0.19916879841488225</v>
      </c>
      <c r="G23" s="22">
        <v>0.025</v>
      </c>
      <c r="H23" s="19">
        <f t="shared" si="5"/>
        <v>177075000</v>
      </c>
      <c r="I23" s="23">
        <f t="shared" si="3"/>
        <v>1416.6</v>
      </c>
      <c r="J23" s="19">
        <f t="shared" si="4"/>
        <v>34301927.38454332</v>
      </c>
      <c r="M23" s="21"/>
      <c r="N23" s="21"/>
    </row>
    <row r="24" spans="1:14" ht="18" customHeight="1">
      <c r="A24" s="18" t="s">
        <v>77</v>
      </c>
      <c r="B24" s="19">
        <v>2500000</v>
      </c>
      <c r="C24" s="19">
        <v>0</v>
      </c>
      <c r="D24" s="20">
        <v>10</v>
      </c>
      <c r="E24" s="19">
        <v>2079626.3710919851</v>
      </c>
      <c r="F24" s="21">
        <v>0.34634829103235387</v>
      </c>
      <c r="G24" s="22">
        <v>0.05</v>
      </c>
      <c r="H24" s="19">
        <f t="shared" si="5"/>
        <v>354150000</v>
      </c>
      <c r="I24" s="23">
        <f t="shared" si="3"/>
        <v>141.66</v>
      </c>
      <c r="J24" s="19">
        <f t="shared" si="4"/>
        <v>294599871.7288906</v>
      </c>
      <c r="M24" s="21"/>
      <c r="N24" s="21"/>
    </row>
    <row r="25" spans="1:14" ht="18" customHeight="1">
      <c r="A25" s="18" t="s">
        <v>78</v>
      </c>
      <c r="B25" s="19">
        <v>1125000</v>
      </c>
      <c r="C25" s="19">
        <v>0</v>
      </c>
      <c r="D25" s="20">
        <v>10</v>
      </c>
      <c r="E25" s="19">
        <v>1039343.9698996367</v>
      </c>
      <c r="F25" s="21">
        <v>0.3664419720535475</v>
      </c>
      <c r="G25" s="22">
        <v>0.05</v>
      </c>
      <c r="H25" s="19">
        <f t="shared" si="5"/>
        <v>354150000</v>
      </c>
      <c r="I25" s="23">
        <f t="shared" si="3"/>
        <v>314.8</v>
      </c>
      <c r="J25" s="19">
        <f t="shared" si="4"/>
        <v>327185481.72440565</v>
      </c>
      <c r="M25" s="21"/>
      <c r="N25" s="21"/>
    </row>
    <row r="26" spans="1:14" ht="18" customHeight="1">
      <c r="A26" s="18" t="s">
        <v>123</v>
      </c>
      <c r="B26" s="19">
        <v>1200000</v>
      </c>
      <c r="C26" s="19">
        <v>0</v>
      </c>
      <c r="D26" s="20">
        <v>30</v>
      </c>
      <c r="E26" s="19">
        <v>1602031.809964898</v>
      </c>
      <c r="F26" s="21">
        <v>0.35558634757959606</v>
      </c>
      <c r="G26" s="26">
        <v>0.3</v>
      </c>
      <c r="H26" s="19">
        <f t="shared" si="5"/>
        <v>2124900000</v>
      </c>
      <c r="I26" s="23">
        <f t="shared" si="3"/>
        <v>1770.75</v>
      </c>
      <c r="J26" s="19">
        <f t="shared" si="4"/>
        <v>2836797827.495343</v>
      </c>
      <c r="M26" s="21"/>
      <c r="N26" s="21"/>
    </row>
    <row r="27" spans="1:14" ht="18" customHeight="1">
      <c r="A27" s="18" t="s">
        <v>124</v>
      </c>
      <c r="B27" s="19">
        <v>4500000</v>
      </c>
      <c r="C27" s="19">
        <v>5</v>
      </c>
      <c r="D27" s="20">
        <v>30</v>
      </c>
      <c r="E27" s="19">
        <v>1372448.0375802116</v>
      </c>
      <c r="F27" s="21">
        <v>0.1978668161568775</v>
      </c>
      <c r="G27" s="22">
        <v>0.075</v>
      </c>
      <c r="H27" s="19">
        <f t="shared" si="5"/>
        <v>531225000</v>
      </c>
      <c r="I27" s="23">
        <f t="shared" si="3"/>
        <v>118.05</v>
      </c>
      <c r="J27" s="19">
        <f t="shared" si="4"/>
        <v>162017490.83634397</v>
      </c>
      <c r="M27" s="21"/>
      <c r="N27" s="21"/>
    </row>
    <row r="28" spans="1:14" ht="18" customHeight="1">
      <c r="A28" s="24" t="s">
        <v>11</v>
      </c>
      <c r="B28" s="19">
        <v>9375000</v>
      </c>
      <c r="C28" s="19">
        <v>0</v>
      </c>
      <c r="D28" s="20">
        <v>30</v>
      </c>
      <c r="E28" s="19">
        <v>2286179.8347924035</v>
      </c>
      <c r="F28" s="21">
        <v>0.18837117042255566</v>
      </c>
      <c r="G28" s="22">
        <v>0.075</v>
      </c>
      <c r="H28" s="19">
        <f t="shared" si="5"/>
        <v>531225000</v>
      </c>
      <c r="I28" s="23">
        <f t="shared" si="3"/>
        <v>56.664</v>
      </c>
      <c r="J28" s="19">
        <f t="shared" si="4"/>
        <v>129544094.15867676</v>
      </c>
      <c r="M28" s="21"/>
      <c r="N28" s="21"/>
    </row>
    <row r="29" spans="1:14" ht="18" customHeight="1">
      <c r="A29" s="39" t="s">
        <v>61</v>
      </c>
      <c r="E29" s="19">
        <f>AVERAGE(E20:E28)</f>
        <v>1361757.237397151</v>
      </c>
      <c r="F29" s="21">
        <f>AVERAGE(F20:F28)</f>
        <v>0.3060687302850115</v>
      </c>
      <c r="G29" s="22">
        <f>SUM(G20:G28)</f>
        <v>1</v>
      </c>
      <c r="H29" s="19">
        <v>7083000000</v>
      </c>
      <c r="I29" s="23">
        <v>5378</v>
      </c>
      <c r="J29" s="19">
        <f>SUM(J20:J28)</f>
        <v>6547272436.321326</v>
      </c>
      <c r="M29" s="21"/>
      <c r="N29" s="21"/>
    </row>
    <row r="30" spans="1:14" ht="18" customHeight="1">
      <c r="A30" s="24" t="s">
        <v>62</v>
      </c>
      <c r="F30" s="21">
        <f>(F20*H20+F21*H21+F22*H22+F23*H23+F24*H24+F25*H25+F26*H26+F27*H27+F28*H18)/H29</f>
        <v>0.29851973017949585</v>
      </c>
      <c r="G30" s="25"/>
      <c r="H30" s="19">
        <f>SUM(H21:H28)</f>
        <v>5666400000</v>
      </c>
      <c r="M30" s="21"/>
      <c r="N30" s="21"/>
    </row>
    <row r="31" spans="1:14" ht="18" customHeight="1">
      <c r="A31" s="24"/>
      <c r="G31" s="25"/>
      <c r="H31" s="19"/>
      <c r="M31" s="21"/>
      <c r="N31" s="21"/>
    </row>
    <row r="32" ht="18" customHeight="1">
      <c r="A32" s="18" t="s">
        <v>140</v>
      </c>
    </row>
    <row r="33" ht="18" customHeight="1">
      <c r="A33" s="24" t="s">
        <v>141</v>
      </c>
    </row>
    <row r="34" ht="18" customHeight="1">
      <c r="A34" s="24" t="s">
        <v>142</v>
      </c>
    </row>
  </sheetData>
  <sheetProtection/>
  <mergeCells count="6">
    <mergeCell ref="A18:J18"/>
    <mergeCell ref="L3:N3"/>
    <mergeCell ref="A2:J2"/>
    <mergeCell ref="A1:J1"/>
    <mergeCell ref="L4:N4"/>
    <mergeCell ref="A4:J4"/>
  </mergeCells>
  <printOptions horizontalCentered="1"/>
  <pageMargins left="1" right="1" top="1" bottom="1"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3"/>
  <dimension ref="A2:G64"/>
  <sheetViews>
    <sheetView zoomScalePageLayoutView="0" workbookViewId="0" topLeftCell="A1">
      <selection activeCell="A1" sqref="A1"/>
    </sheetView>
  </sheetViews>
  <sheetFormatPr defaultColWidth="5.7109375" defaultRowHeight="12.75"/>
  <cols>
    <col min="1" max="1" width="24.140625" style="12" bestFit="1" customWidth="1"/>
    <col min="2" max="2" width="11.57421875" style="40" customWidth="1"/>
    <col min="3" max="3" width="7.28125" style="45" bestFit="1" customWidth="1"/>
    <col min="4" max="4" width="14.8515625" style="33" bestFit="1" customWidth="1"/>
    <col min="5" max="5" width="7.28125" style="45" customWidth="1"/>
    <col min="6" max="6" width="14.8515625" style="33" customWidth="1"/>
    <col min="7" max="7" width="12.00390625" style="12" bestFit="1" customWidth="1"/>
    <col min="8" max="16384" width="5.7109375" style="12" customWidth="1"/>
  </cols>
  <sheetData>
    <row r="2" ht="12.75">
      <c r="A2" s="12" t="s">
        <v>172</v>
      </c>
    </row>
    <row r="4" spans="1:6" s="62" customFormat="1" ht="28.5" customHeight="1">
      <c r="A4" s="47" t="s">
        <v>169</v>
      </c>
      <c r="B4" s="48" t="s">
        <v>167</v>
      </c>
      <c r="C4" s="49" t="s">
        <v>168</v>
      </c>
      <c r="D4" s="49" t="s">
        <v>166</v>
      </c>
      <c r="E4" s="49" t="s">
        <v>168</v>
      </c>
      <c r="F4" s="49" t="s">
        <v>165</v>
      </c>
    </row>
    <row r="5" spans="1:6" ht="12.75" customHeight="1">
      <c r="A5" s="12" t="s">
        <v>127</v>
      </c>
      <c r="B5" s="40">
        <v>73</v>
      </c>
      <c r="C5" s="46">
        <f aca="true" t="shared" si="0" ref="C5:C13">+B5/$B$13</f>
        <v>0.16441441441441443</v>
      </c>
      <c r="D5" s="33">
        <v>42617833.86999999</v>
      </c>
      <c r="E5" s="46">
        <f aca="true" t="shared" si="1" ref="E5:E13">+D5/$D$13</f>
        <v>0.15055753063347832</v>
      </c>
      <c r="F5" s="33">
        <f aca="true" t="shared" si="2" ref="F5:F13">+D5/B5</f>
        <v>583805.9434246575</v>
      </c>
    </row>
    <row r="6" spans="1:6" ht="12.75">
      <c r="A6" s="12" t="s">
        <v>128</v>
      </c>
      <c r="B6" s="40">
        <v>45</v>
      </c>
      <c r="C6" s="46">
        <f t="shared" si="0"/>
        <v>0.10135135135135136</v>
      </c>
      <c r="D6" s="33">
        <v>17961521.900000002</v>
      </c>
      <c r="E6" s="46">
        <f t="shared" si="1"/>
        <v>0.06345330435920493</v>
      </c>
      <c r="F6" s="33">
        <f>+D6/B6</f>
        <v>399144.9311111112</v>
      </c>
    </row>
    <row r="7" spans="1:6" ht="12.75">
      <c r="A7" s="12" t="s">
        <v>161</v>
      </c>
      <c r="B7" s="40">
        <v>33</v>
      </c>
      <c r="C7" s="46">
        <f t="shared" si="0"/>
        <v>0.07432432432432433</v>
      </c>
      <c r="D7" s="33">
        <v>10605156.409999998</v>
      </c>
      <c r="E7" s="46">
        <f t="shared" si="1"/>
        <v>0.03746521153425774</v>
      </c>
      <c r="F7" s="33">
        <f t="shared" si="2"/>
        <v>321368.376060606</v>
      </c>
    </row>
    <row r="8" spans="1:6" ht="12.75">
      <c r="A8" s="12" t="s">
        <v>129</v>
      </c>
      <c r="B8" s="40">
        <v>167</v>
      </c>
      <c r="C8" s="46">
        <f t="shared" si="0"/>
        <v>0.3761261261261261</v>
      </c>
      <c r="D8" s="33">
        <v>134356111.39</v>
      </c>
      <c r="E8" s="46">
        <f t="shared" si="1"/>
        <v>0.47464459170071266</v>
      </c>
      <c r="F8" s="33">
        <f t="shared" si="2"/>
        <v>804527.6131137724</v>
      </c>
    </row>
    <row r="9" spans="1:6" ht="12.75">
      <c r="A9" s="12" t="s">
        <v>130</v>
      </c>
      <c r="B9" s="40">
        <v>15</v>
      </c>
      <c r="C9" s="46">
        <f t="shared" si="0"/>
        <v>0.033783783783783786</v>
      </c>
      <c r="D9" s="33">
        <v>20230183.970000003</v>
      </c>
      <c r="E9" s="46">
        <f t="shared" si="1"/>
        <v>0.07146788717781864</v>
      </c>
      <c r="F9" s="33">
        <f t="shared" si="2"/>
        <v>1348678.9313333335</v>
      </c>
    </row>
    <row r="10" spans="1:6" ht="12.75">
      <c r="A10" s="12" t="s">
        <v>131</v>
      </c>
      <c r="B10" s="40">
        <v>2</v>
      </c>
      <c r="C10" s="46">
        <f t="shared" si="0"/>
        <v>0.0045045045045045045</v>
      </c>
      <c r="D10" s="33">
        <v>4115875.86</v>
      </c>
      <c r="E10" s="46">
        <f t="shared" si="1"/>
        <v>0.014540300376733907</v>
      </c>
      <c r="F10" s="33">
        <f t="shared" si="2"/>
        <v>2057937.93</v>
      </c>
    </row>
    <row r="11" spans="1:6" ht="12.75">
      <c r="A11" s="12" t="s">
        <v>132</v>
      </c>
      <c r="B11" s="40">
        <v>100</v>
      </c>
      <c r="C11" s="46">
        <f t="shared" si="0"/>
        <v>0.22522522522522523</v>
      </c>
      <c r="D11" s="33">
        <v>43701647.81000002</v>
      </c>
      <c r="E11" s="46">
        <f t="shared" si="1"/>
        <v>0.15438635851267773</v>
      </c>
      <c r="F11" s="33">
        <f t="shared" si="2"/>
        <v>437016.4781000002</v>
      </c>
    </row>
    <row r="12" spans="1:6" ht="12.75">
      <c r="A12" s="12" t="s">
        <v>133</v>
      </c>
      <c r="B12" s="40">
        <v>9</v>
      </c>
      <c r="C12" s="46">
        <f t="shared" si="0"/>
        <v>0.02027027027027027</v>
      </c>
      <c r="D12" s="33">
        <v>9478438.62</v>
      </c>
      <c r="E12" s="46">
        <f t="shared" si="1"/>
        <v>0.03348481570511585</v>
      </c>
      <c r="F12" s="33">
        <f t="shared" si="2"/>
        <v>1053159.8466666667</v>
      </c>
    </row>
    <row r="13" spans="1:6" ht="12.75">
      <c r="A13" s="38" t="s">
        <v>170</v>
      </c>
      <c r="B13" s="40">
        <f>SUM(B5:B12)</f>
        <v>444</v>
      </c>
      <c r="C13" s="46">
        <f t="shared" si="0"/>
        <v>1</v>
      </c>
      <c r="D13" s="33">
        <f>SUM(D5:D12)</f>
        <v>283066769.83000004</v>
      </c>
      <c r="E13" s="46">
        <f t="shared" si="1"/>
        <v>1</v>
      </c>
      <c r="F13" s="33">
        <f t="shared" si="2"/>
        <v>637537.7698873875</v>
      </c>
    </row>
    <row r="14" spans="3:5" ht="12.75">
      <c r="C14" s="46"/>
      <c r="E14" s="46"/>
    </row>
    <row r="15" spans="3:5" ht="12.75">
      <c r="C15" s="46"/>
      <c r="E15" s="46"/>
    </row>
    <row r="16" spans="1:5" ht="12.75">
      <c r="A16" s="12" t="s">
        <v>173</v>
      </c>
      <c r="C16" s="46"/>
      <c r="E16" s="46"/>
    </row>
    <row r="18" spans="1:6" s="62" customFormat="1" ht="28.5" customHeight="1">
      <c r="A18" s="47" t="s">
        <v>169</v>
      </c>
      <c r="B18" s="48" t="s">
        <v>167</v>
      </c>
      <c r="C18" s="49" t="s">
        <v>168</v>
      </c>
      <c r="D18" s="49" t="s">
        <v>166</v>
      </c>
      <c r="E18" s="49" t="s">
        <v>168</v>
      </c>
      <c r="F18" s="49" t="s">
        <v>165</v>
      </c>
    </row>
    <row r="19" spans="1:6" s="62" customFormat="1" ht="12.75">
      <c r="A19" s="12" t="s">
        <v>127</v>
      </c>
      <c r="B19" s="40">
        <v>118</v>
      </c>
      <c r="C19" s="46">
        <f aca="true" t="shared" si="3" ref="C19:C24">+B19/B$24</f>
        <v>0.1761194029850746</v>
      </c>
      <c r="D19" s="33">
        <v>34036980</v>
      </c>
      <c r="E19" s="46">
        <f aca="true" t="shared" si="4" ref="E19:E24">+D19/D$24</f>
        <v>0.17959779367856446</v>
      </c>
      <c r="F19" s="33">
        <f aca="true" t="shared" si="5" ref="F19:F24">+D19/B19</f>
        <v>288448.9830508475</v>
      </c>
    </row>
    <row r="20" spans="1:6" ht="12.75">
      <c r="A20" s="62" t="s">
        <v>164</v>
      </c>
      <c r="B20" s="40">
        <v>95</v>
      </c>
      <c r="C20" s="46">
        <f t="shared" si="3"/>
        <v>0.1417910447761194</v>
      </c>
      <c r="D20" s="33">
        <v>21073184</v>
      </c>
      <c r="E20" s="46">
        <f t="shared" si="4"/>
        <v>0.1111936885170901</v>
      </c>
      <c r="F20" s="33">
        <f t="shared" si="5"/>
        <v>221822.9894736842</v>
      </c>
    </row>
    <row r="21" spans="1:6" ht="12.75">
      <c r="A21" s="1" t="s">
        <v>163</v>
      </c>
      <c r="B21" s="40">
        <v>76</v>
      </c>
      <c r="C21" s="46">
        <f t="shared" si="3"/>
        <v>0.11343283582089553</v>
      </c>
      <c r="D21" s="33">
        <v>19722452</v>
      </c>
      <c r="E21" s="46">
        <f t="shared" si="4"/>
        <v>0.10406648489764342</v>
      </c>
      <c r="F21" s="33">
        <f t="shared" si="5"/>
        <v>259505.94736842104</v>
      </c>
    </row>
    <row r="22" spans="1:6" ht="12.75">
      <c r="A22" s="62" t="s">
        <v>129</v>
      </c>
      <c r="B22" s="40">
        <v>98</v>
      </c>
      <c r="C22" s="46">
        <f t="shared" si="3"/>
        <v>0.14626865671641792</v>
      </c>
      <c r="D22" s="33">
        <v>16126667</v>
      </c>
      <c r="E22" s="46">
        <f t="shared" si="4"/>
        <v>0.08509314905696434</v>
      </c>
      <c r="F22" s="33">
        <f t="shared" si="5"/>
        <v>164557.82653061225</v>
      </c>
    </row>
    <row r="23" spans="1:6" ht="12.75">
      <c r="A23" s="62" t="s">
        <v>162</v>
      </c>
      <c r="B23" s="40">
        <v>283</v>
      </c>
      <c r="C23" s="46">
        <f t="shared" si="3"/>
        <v>0.4223880597014925</v>
      </c>
      <c r="D23" s="33">
        <v>98558524</v>
      </c>
      <c r="E23" s="46">
        <f t="shared" si="4"/>
        <v>0.5200488838497377</v>
      </c>
      <c r="F23" s="33">
        <f t="shared" si="5"/>
        <v>348263.33568904595</v>
      </c>
    </row>
    <row r="24" spans="1:6" ht="12.75">
      <c r="A24" s="38" t="s">
        <v>170</v>
      </c>
      <c r="B24" s="40">
        <f>SUM(B19:B23)</f>
        <v>670</v>
      </c>
      <c r="C24" s="46">
        <f t="shared" si="3"/>
        <v>1</v>
      </c>
      <c r="D24" s="33">
        <f>SUM(D19:D23)</f>
        <v>189517807</v>
      </c>
      <c r="E24" s="46">
        <f t="shared" si="4"/>
        <v>1</v>
      </c>
      <c r="F24" s="33">
        <f t="shared" si="5"/>
        <v>282862.3985074627</v>
      </c>
    </row>
    <row r="26" ht="12.75">
      <c r="A26" s="13" t="s">
        <v>171</v>
      </c>
    </row>
    <row r="28" ht="12.75">
      <c r="E28" s="15"/>
    </row>
    <row r="29" spans="1:5" ht="12.75">
      <c r="A29" s="12" t="s">
        <v>181</v>
      </c>
      <c r="E29" s="15"/>
    </row>
    <row r="31" spans="1:6" s="62" customFormat="1" ht="28.5" customHeight="1">
      <c r="A31" s="47" t="s">
        <v>169</v>
      </c>
      <c r="B31" s="48" t="s">
        <v>167</v>
      </c>
      <c r="C31" s="49" t="s">
        <v>168</v>
      </c>
      <c r="D31" s="49" t="s">
        <v>166</v>
      </c>
      <c r="E31" s="49" t="s">
        <v>168</v>
      </c>
      <c r="F31" s="49" t="s">
        <v>165</v>
      </c>
    </row>
    <row r="32" spans="1:6" ht="12.75">
      <c r="A32" s="12" t="s">
        <v>77</v>
      </c>
      <c r="B32" s="40">
        <v>98</v>
      </c>
      <c r="C32" s="46">
        <f>+B32/B$39</f>
        <v>0.32666666666666666</v>
      </c>
      <c r="D32" s="33">
        <v>412400000</v>
      </c>
      <c r="E32" s="46">
        <f>+D32/D$39</f>
        <v>0.30199179847686</v>
      </c>
      <c r="F32" s="33">
        <f>+D32/B32</f>
        <v>4208163.265306123</v>
      </c>
    </row>
    <row r="33" spans="1:6" ht="12.75">
      <c r="A33" s="13" t="s">
        <v>176</v>
      </c>
      <c r="B33" s="40">
        <v>92</v>
      </c>
      <c r="C33" s="46">
        <f aca="true" t="shared" si="6" ref="C33:E39">+B33/B$39</f>
        <v>0.30666666666666664</v>
      </c>
      <c r="D33" s="33">
        <v>446000000</v>
      </c>
      <c r="E33" s="46">
        <f t="shared" si="6"/>
        <v>0.3265963678968951</v>
      </c>
      <c r="F33" s="33">
        <f aca="true" t="shared" si="7" ref="F33:F39">+D33/B33</f>
        <v>4847826.0869565215</v>
      </c>
    </row>
    <row r="34" spans="1:6" ht="12.75">
      <c r="A34" s="12" t="s">
        <v>177</v>
      </c>
      <c r="B34" s="40">
        <v>41</v>
      </c>
      <c r="C34" s="46">
        <f t="shared" si="6"/>
        <v>0.13666666666666666</v>
      </c>
      <c r="D34" s="33">
        <v>217700000</v>
      </c>
      <c r="E34" s="46">
        <f t="shared" si="6"/>
        <v>0.15941710603397774</v>
      </c>
      <c r="F34" s="33">
        <f t="shared" si="7"/>
        <v>5309756.097560976</v>
      </c>
    </row>
    <row r="35" spans="1:6" ht="12.75">
      <c r="A35" s="12" t="s">
        <v>178</v>
      </c>
      <c r="B35" s="40">
        <v>48</v>
      </c>
      <c r="C35" s="46">
        <f t="shared" si="6"/>
        <v>0.16</v>
      </c>
      <c r="D35" s="33">
        <v>92100000</v>
      </c>
      <c r="E35" s="46">
        <f t="shared" si="6"/>
        <v>0.06744288224956063</v>
      </c>
      <c r="F35" s="33">
        <f t="shared" si="7"/>
        <v>1918750</v>
      </c>
    </row>
    <row r="36" spans="1:6" ht="12.75">
      <c r="A36" s="12" t="s">
        <v>146</v>
      </c>
      <c r="B36" s="40">
        <v>16</v>
      </c>
      <c r="C36" s="46">
        <f t="shared" si="6"/>
        <v>0.05333333333333334</v>
      </c>
      <c r="D36" s="33">
        <v>182400000</v>
      </c>
      <c r="E36" s="46">
        <f t="shared" si="6"/>
        <v>0.1335676625659051</v>
      </c>
      <c r="F36" s="33">
        <f t="shared" si="7"/>
        <v>11400000</v>
      </c>
    </row>
    <row r="37" spans="1:6" ht="12.75">
      <c r="A37" s="12" t="s">
        <v>179</v>
      </c>
      <c r="B37" s="40">
        <v>2</v>
      </c>
      <c r="C37" s="46">
        <f t="shared" si="6"/>
        <v>0.006666666666666667</v>
      </c>
      <c r="D37" s="33">
        <v>11400000</v>
      </c>
      <c r="E37" s="46">
        <f t="shared" si="6"/>
        <v>0.008347978910369069</v>
      </c>
      <c r="F37" s="33">
        <f t="shared" si="7"/>
        <v>5700000</v>
      </c>
    </row>
    <row r="38" spans="1:6" ht="12.75">
      <c r="A38" s="12" t="s">
        <v>180</v>
      </c>
      <c r="B38" s="40">
        <v>3</v>
      </c>
      <c r="C38" s="46">
        <f t="shared" si="6"/>
        <v>0.01</v>
      </c>
      <c r="D38" s="33">
        <v>3600000</v>
      </c>
      <c r="E38" s="46">
        <f t="shared" si="6"/>
        <v>0.0026362038664323375</v>
      </c>
      <c r="F38" s="33">
        <f t="shared" si="7"/>
        <v>1200000</v>
      </c>
    </row>
    <row r="39" spans="2:6" ht="12.75">
      <c r="B39" s="40">
        <f>SUM(B32:B38)</f>
        <v>300</v>
      </c>
      <c r="C39" s="46">
        <f t="shared" si="6"/>
        <v>1</v>
      </c>
      <c r="D39" s="33">
        <f>SUM(D32:D38)</f>
        <v>1365600000</v>
      </c>
      <c r="E39" s="46">
        <f t="shared" si="6"/>
        <v>1</v>
      </c>
      <c r="F39" s="33">
        <f t="shared" si="7"/>
        <v>4552000</v>
      </c>
    </row>
    <row r="40" ht="12.75">
      <c r="A40" s="13"/>
    </row>
    <row r="41" ht="12.75">
      <c r="D41" s="33" t="s">
        <v>175</v>
      </c>
    </row>
    <row r="42" spans="1:3" ht="12.75">
      <c r="A42" s="12" t="s">
        <v>117</v>
      </c>
      <c r="C42" s="15">
        <v>0.25</v>
      </c>
    </row>
    <row r="43" spans="1:3" ht="12.75">
      <c r="A43" s="12" t="s">
        <v>120</v>
      </c>
      <c r="C43" s="15">
        <v>0.1</v>
      </c>
    </row>
    <row r="44" spans="1:3" ht="12.75">
      <c r="A44" s="12" t="s">
        <v>121</v>
      </c>
      <c r="C44" s="15">
        <v>0.125</v>
      </c>
    </row>
    <row r="45" spans="1:3" ht="12.75">
      <c r="A45" s="12" t="s">
        <v>122</v>
      </c>
      <c r="C45" s="15">
        <v>0.025</v>
      </c>
    </row>
    <row r="46" spans="1:3" ht="12.75">
      <c r="A46" s="12" t="s">
        <v>77</v>
      </c>
      <c r="C46" s="15">
        <v>0.05</v>
      </c>
    </row>
    <row r="47" spans="1:3" ht="12.75">
      <c r="A47" s="12" t="s">
        <v>78</v>
      </c>
      <c r="C47" s="15">
        <v>0.05</v>
      </c>
    </row>
    <row r="48" spans="1:3" ht="12.75">
      <c r="A48" s="12" t="s">
        <v>123</v>
      </c>
      <c r="C48" s="15">
        <v>0.25</v>
      </c>
    </row>
    <row r="49" spans="1:3" ht="12.75">
      <c r="A49" s="12" t="s">
        <v>124</v>
      </c>
      <c r="C49" s="15">
        <v>0.075</v>
      </c>
    </row>
    <row r="50" spans="1:3" ht="12.75">
      <c r="A50" s="13" t="s">
        <v>11</v>
      </c>
      <c r="C50" s="15">
        <v>0.075</v>
      </c>
    </row>
    <row r="51" ht="12.75">
      <c r="C51" s="15">
        <f>SUM(C42:C50)</f>
        <v>1</v>
      </c>
    </row>
    <row r="52" ht="12.75">
      <c r="C52" s="15"/>
    </row>
    <row r="53" spans="1:3" ht="12.75">
      <c r="A53" s="12" t="s">
        <v>189</v>
      </c>
      <c r="C53" s="15"/>
    </row>
    <row r="55" spans="1:5" ht="25.5" customHeight="1">
      <c r="A55" s="51" t="s">
        <v>182</v>
      </c>
      <c r="D55" s="49" t="s">
        <v>166</v>
      </c>
      <c r="E55" s="49" t="s">
        <v>168</v>
      </c>
    </row>
    <row r="56" spans="1:7" ht="12.75">
      <c r="A56" s="13" t="s">
        <v>183</v>
      </c>
      <c r="D56" s="33">
        <v>112000000</v>
      </c>
      <c r="E56" s="15">
        <f aca="true" t="shared" si="8" ref="E56:E64">+D56/$D$64</f>
        <v>0.0510250569476082</v>
      </c>
      <c r="G56" s="50"/>
    </row>
    <row r="57" spans="1:7" ht="12.75">
      <c r="A57" s="12" t="s">
        <v>164</v>
      </c>
      <c r="D57" s="33">
        <v>286000000</v>
      </c>
      <c r="E57" s="15">
        <f t="shared" si="8"/>
        <v>0.13029612756264236</v>
      </c>
      <c r="G57" s="50"/>
    </row>
    <row r="58" spans="1:7" ht="12.75">
      <c r="A58" s="13" t="s">
        <v>184</v>
      </c>
      <c r="D58" s="33">
        <v>519000000</v>
      </c>
      <c r="E58" s="15">
        <f t="shared" si="8"/>
        <v>0.23644646924829157</v>
      </c>
      <c r="G58" s="50"/>
    </row>
    <row r="59" spans="1:7" ht="12.75">
      <c r="A59" s="13" t="s">
        <v>185</v>
      </c>
      <c r="D59" s="33">
        <v>816000000</v>
      </c>
      <c r="E59" s="15">
        <f t="shared" si="8"/>
        <v>0.371753986332574</v>
      </c>
      <c r="G59" s="50"/>
    </row>
    <row r="60" spans="1:7" ht="12.75">
      <c r="A60" s="13" t="s">
        <v>186</v>
      </c>
      <c r="D60" s="33">
        <v>51000000</v>
      </c>
      <c r="E60" s="15">
        <f t="shared" si="8"/>
        <v>0.023234624145785875</v>
      </c>
      <c r="G60" s="50"/>
    </row>
    <row r="61" spans="1:7" ht="12.75">
      <c r="A61" s="13" t="s">
        <v>187</v>
      </c>
      <c r="D61" s="33">
        <v>206000000</v>
      </c>
      <c r="E61" s="15">
        <f t="shared" si="8"/>
        <v>0.0938496583143508</v>
      </c>
      <c r="G61" s="50"/>
    </row>
    <row r="62" spans="1:7" ht="12.75">
      <c r="A62" s="13" t="s">
        <v>188</v>
      </c>
      <c r="D62" s="33">
        <v>189000000</v>
      </c>
      <c r="E62" s="15">
        <f t="shared" si="8"/>
        <v>0.08610478359908884</v>
      </c>
      <c r="G62" s="50"/>
    </row>
    <row r="63" spans="1:7" ht="12.75">
      <c r="A63" s="12" t="s">
        <v>174</v>
      </c>
      <c r="D63" s="33">
        <v>16000000</v>
      </c>
      <c r="E63" s="15">
        <f t="shared" si="8"/>
        <v>0.007289293849658315</v>
      </c>
      <c r="G63" s="50"/>
    </row>
    <row r="64" spans="1:5" ht="12.75">
      <c r="A64" s="38" t="s">
        <v>170</v>
      </c>
      <c r="D64" s="33">
        <f>SUM(D56:D63)</f>
        <v>2195000000</v>
      </c>
      <c r="E64" s="15">
        <f t="shared" si="8"/>
        <v>1</v>
      </c>
    </row>
  </sheetData>
  <sheetProtection/>
  <printOptions/>
  <pageMargins left="0.75" right="0.75" top="1" bottom="1"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codeName="Sheet14"/>
  <dimension ref="A1:H55"/>
  <sheetViews>
    <sheetView zoomScalePageLayoutView="0" workbookViewId="0" topLeftCell="A1">
      <selection activeCell="B10" sqref="B10"/>
    </sheetView>
  </sheetViews>
  <sheetFormatPr defaultColWidth="5.8515625" defaultRowHeight="12.75"/>
  <cols>
    <col min="1" max="1" width="23.421875" style="12" customWidth="1"/>
    <col min="2" max="2" width="13.57421875" style="12" customWidth="1"/>
    <col min="3" max="6" width="13.57421875" style="12" bestFit="1" customWidth="1"/>
    <col min="7" max="7" width="11.00390625" style="12" customWidth="1"/>
    <col min="8" max="8" width="13.57421875" style="12" bestFit="1" customWidth="1"/>
    <col min="9" max="9" width="8.8515625" style="12" customWidth="1"/>
    <col min="10" max="10" width="5.57421875" style="12" customWidth="1"/>
    <col min="11" max="11" width="13.57421875" style="12" customWidth="1"/>
    <col min="12" max="12" width="11.00390625" style="12" customWidth="1"/>
    <col min="13" max="13" width="8.421875" style="12" customWidth="1"/>
    <col min="14" max="14" width="9.57421875" style="12" customWidth="1"/>
    <col min="15" max="15" width="10.00390625" style="12" customWidth="1"/>
    <col min="16" max="16" width="9.57421875" style="12" customWidth="1"/>
    <col min="17" max="17" width="10.140625" style="12" customWidth="1"/>
    <col min="18" max="19" width="9.57421875" style="12" customWidth="1"/>
    <col min="20" max="20" width="10.7109375" style="12" customWidth="1"/>
    <col min="21" max="16384" width="5.8515625" style="12" customWidth="1"/>
  </cols>
  <sheetData>
    <row r="1" ht="12.75">
      <c r="A1" s="12" t="s">
        <v>5</v>
      </c>
    </row>
    <row r="2" ht="12.75">
      <c r="A2" s="12" t="s">
        <v>6</v>
      </c>
    </row>
    <row r="4" spans="1:8" ht="12.75">
      <c r="A4" s="12" t="s">
        <v>7</v>
      </c>
      <c r="B4" s="12">
        <v>2002</v>
      </c>
      <c r="C4" s="12">
        <v>2003</v>
      </c>
      <c r="D4" s="12">
        <v>2004</v>
      </c>
      <c r="E4" s="12">
        <v>2005</v>
      </c>
      <c r="F4" s="12">
        <v>2006</v>
      </c>
      <c r="G4" s="12">
        <v>2007</v>
      </c>
      <c r="H4" s="12" t="s">
        <v>136</v>
      </c>
    </row>
    <row r="5" spans="1:8" ht="12.75" customHeight="1">
      <c r="A5" s="12" t="s">
        <v>8</v>
      </c>
      <c r="B5" s="28">
        <v>98734223</v>
      </c>
      <c r="C5" s="28">
        <v>396153105</v>
      </c>
      <c r="D5" s="28">
        <v>653878510</v>
      </c>
      <c r="E5" s="28">
        <v>653878510</v>
      </c>
      <c r="F5" s="28">
        <v>463247447</v>
      </c>
      <c r="G5" s="28">
        <v>67449888</v>
      </c>
      <c r="H5" s="28">
        <v>2333341684</v>
      </c>
    </row>
    <row r="6" spans="1:8" ht="12.75">
      <c r="A6" s="12" t="s">
        <v>9</v>
      </c>
      <c r="B6" s="28">
        <v>1952323</v>
      </c>
      <c r="C6" s="28">
        <v>548914023</v>
      </c>
      <c r="D6" s="28">
        <v>1687009772</v>
      </c>
      <c r="E6" s="28">
        <v>1687009772</v>
      </c>
      <c r="F6" s="28">
        <v>1172273649</v>
      </c>
      <c r="G6" s="28">
        <v>2839980</v>
      </c>
      <c r="H6" s="28">
        <v>5099999518</v>
      </c>
    </row>
    <row r="7" spans="1:8" ht="12.75">
      <c r="A7" s="12" t="s">
        <v>10</v>
      </c>
      <c r="B7" s="28">
        <v>3609373</v>
      </c>
      <c r="C7" s="28">
        <v>213339916</v>
      </c>
      <c r="D7" s="28">
        <v>619895361</v>
      </c>
      <c r="E7" s="28">
        <v>619895361</v>
      </c>
      <c r="F7" s="28">
        <v>430498206</v>
      </c>
      <c r="G7" s="28">
        <v>4476807</v>
      </c>
      <c r="H7" s="28">
        <v>1891715023</v>
      </c>
    </row>
    <row r="8" spans="1:8" ht="12.75">
      <c r="A8" s="12" t="s">
        <v>136</v>
      </c>
      <c r="B8" s="28">
        <f aca="true" t="shared" si="0" ref="B8:H8">SUM(B5:B7)</f>
        <v>104295919</v>
      </c>
      <c r="C8" s="28">
        <f t="shared" si="0"/>
        <v>1158407044</v>
      </c>
      <c r="D8" s="28">
        <f t="shared" si="0"/>
        <v>2960783643</v>
      </c>
      <c r="E8" s="28">
        <f t="shared" si="0"/>
        <v>2960783643</v>
      </c>
      <c r="F8" s="28">
        <f t="shared" si="0"/>
        <v>2066019302</v>
      </c>
      <c r="G8" s="28">
        <f t="shared" si="0"/>
        <v>74766675</v>
      </c>
      <c r="H8" s="28">
        <f t="shared" si="0"/>
        <v>9325056225</v>
      </c>
    </row>
    <row r="9" spans="2:8" ht="12.75">
      <c r="B9" s="28"/>
      <c r="C9" s="28"/>
      <c r="D9" s="28"/>
      <c r="E9" s="28"/>
      <c r="F9" s="28"/>
      <c r="G9" s="28"/>
      <c r="H9" s="28"/>
    </row>
    <row r="10" spans="2:8" ht="12.75">
      <c r="B10" s="28"/>
      <c r="C10" s="28"/>
      <c r="D10" s="28"/>
      <c r="E10" s="28"/>
      <c r="F10" s="28"/>
      <c r="G10" s="28"/>
      <c r="H10" s="28"/>
    </row>
    <row r="11" spans="1:5" ht="12.75">
      <c r="A11" s="12" t="s">
        <v>5</v>
      </c>
      <c r="E11" s="28"/>
    </row>
    <row r="12" spans="1:8" ht="12.75">
      <c r="A12" s="28" t="s">
        <v>0</v>
      </c>
      <c r="B12" s="28">
        <v>17748011</v>
      </c>
      <c r="C12" s="28">
        <v>144468357</v>
      </c>
      <c r="D12" s="28">
        <v>228406616</v>
      </c>
      <c r="E12" s="28">
        <v>228406616</v>
      </c>
      <c r="F12" s="28">
        <v>158101248</v>
      </c>
      <c r="G12" s="28">
        <v>22292308</v>
      </c>
      <c r="H12" s="28">
        <v>799423156</v>
      </c>
    </row>
    <row r="13" spans="1:8" ht="12.75">
      <c r="A13" s="28" t="s">
        <v>1</v>
      </c>
      <c r="B13" s="28">
        <v>9823211</v>
      </c>
      <c r="C13" s="28">
        <v>68590423</v>
      </c>
      <c r="D13" s="28">
        <v>104618638</v>
      </c>
      <c r="E13" s="28">
        <v>104618638</v>
      </c>
      <c r="F13" s="28">
        <v>74519298</v>
      </c>
      <c r="G13" s="28">
        <v>14555413</v>
      </c>
      <c r="H13" s="28">
        <v>376725622</v>
      </c>
    </row>
    <row r="14" spans="1:8" ht="12.75">
      <c r="A14" s="28" t="s">
        <v>2</v>
      </c>
      <c r="B14" s="12">
        <v>0</v>
      </c>
      <c r="C14" s="28">
        <v>754899920</v>
      </c>
      <c r="D14" s="28">
        <v>2348500027</v>
      </c>
      <c r="E14" s="28">
        <v>2348500027</v>
      </c>
      <c r="F14" s="28">
        <v>1631100027</v>
      </c>
      <c r="G14" s="28">
        <v>0</v>
      </c>
      <c r="H14" s="28">
        <v>7083000000</v>
      </c>
    </row>
    <row r="15" spans="1:8" ht="12.75">
      <c r="A15" s="12" t="s">
        <v>3</v>
      </c>
      <c r="B15" s="28">
        <v>65289274</v>
      </c>
      <c r="C15" s="28">
        <v>118407908</v>
      </c>
      <c r="D15" s="28">
        <v>175460600</v>
      </c>
      <c r="E15" s="28">
        <v>175460460</v>
      </c>
      <c r="F15" s="28">
        <v>125822310</v>
      </c>
      <c r="G15" s="28">
        <v>22248962</v>
      </c>
      <c r="H15" s="28">
        <v>682689654</v>
      </c>
    </row>
    <row r="16" spans="1:8" ht="12.75">
      <c r="A16" s="12" t="s">
        <v>4</v>
      </c>
      <c r="B16" s="28">
        <v>11435421</v>
      </c>
      <c r="C16" s="28">
        <v>72040436</v>
      </c>
      <c r="D16" s="28">
        <v>103797762</v>
      </c>
      <c r="E16" s="28">
        <v>103797762</v>
      </c>
      <c r="F16" s="28">
        <v>76476420</v>
      </c>
      <c r="G16" s="28">
        <v>15669991</v>
      </c>
      <c r="H16" s="28">
        <v>383217793</v>
      </c>
    </row>
    <row r="17" spans="1:8" ht="12.75">
      <c r="A17" s="12" t="s">
        <v>136</v>
      </c>
      <c r="B17" s="28">
        <v>104295918</v>
      </c>
      <c r="C17" s="28">
        <v>1158407043</v>
      </c>
      <c r="D17" s="28">
        <v>2960783643</v>
      </c>
      <c r="E17" s="28">
        <v>2960783643</v>
      </c>
      <c r="F17" s="28">
        <v>2066019302</v>
      </c>
      <c r="G17" s="28">
        <v>74766674</v>
      </c>
      <c r="H17" s="28">
        <v>9325056224</v>
      </c>
    </row>
    <row r="18" spans="2:8" ht="12.75">
      <c r="B18" s="28"/>
      <c r="C18" s="28"/>
      <c r="D18" s="28"/>
      <c r="E18" s="28"/>
      <c r="F18" s="28"/>
      <c r="G18" s="28"/>
      <c r="H18" s="28"/>
    </row>
    <row r="19" spans="2:8" ht="12.75">
      <c r="B19" s="28"/>
      <c r="C19" s="28"/>
      <c r="D19" s="28"/>
      <c r="E19" s="28"/>
      <c r="F19" s="28"/>
      <c r="G19" s="28"/>
      <c r="H19" s="28"/>
    </row>
    <row r="20" spans="3:8" ht="12.75">
      <c r="C20" s="28"/>
      <c r="D20" s="28"/>
      <c r="E20" s="28"/>
      <c r="F20" s="28"/>
      <c r="G20" s="28"/>
      <c r="H20" s="28"/>
    </row>
    <row r="24" spans="3:4" ht="12.75">
      <c r="C24" s="28"/>
      <c r="D24" s="28"/>
    </row>
    <row r="25" spans="3:4" ht="12.75">
      <c r="C25" s="28"/>
      <c r="D25" s="28"/>
    </row>
    <row r="26" spans="2:4" ht="12.75">
      <c r="B26" s="28"/>
      <c r="C26" s="28"/>
      <c r="D26" s="28"/>
    </row>
    <row r="27" spans="2:4" ht="12.75">
      <c r="B27" s="28"/>
      <c r="C27" s="28"/>
      <c r="D27" s="28"/>
    </row>
    <row r="28" spans="2:4" ht="12.75">
      <c r="B28" s="28"/>
      <c r="C28" s="28"/>
      <c r="D28" s="28"/>
    </row>
    <row r="29" spans="2:4" ht="12.75">
      <c r="B29" s="28"/>
      <c r="C29" s="28"/>
      <c r="D29" s="28"/>
    </row>
    <row r="30" spans="2:4" ht="12.75">
      <c r="B30" s="28"/>
      <c r="C30" s="28"/>
      <c r="D30" s="28"/>
    </row>
    <row r="31" spans="2:4" ht="12.75">
      <c r="B31" s="28"/>
      <c r="C31" s="28"/>
      <c r="D31" s="28"/>
    </row>
    <row r="32" spans="2:4" ht="12.75">
      <c r="B32" s="28"/>
      <c r="C32" s="28"/>
      <c r="D32" s="28"/>
    </row>
    <row r="33" spans="2:4" ht="12.75">
      <c r="B33" s="28"/>
      <c r="C33" s="28"/>
      <c r="D33" s="28"/>
    </row>
    <row r="34" spans="2:4" ht="12.75">
      <c r="B34" s="28"/>
      <c r="C34" s="28"/>
      <c r="D34" s="28"/>
    </row>
    <row r="35" spans="2:4" ht="12.75">
      <c r="B35" s="28"/>
      <c r="C35" s="28"/>
      <c r="D35" s="28"/>
    </row>
    <row r="36" spans="2:4" ht="12.75">
      <c r="B36" s="28"/>
      <c r="C36" s="28"/>
      <c r="D36" s="28"/>
    </row>
    <row r="37" spans="2:4" ht="12.75">
      <c r="B37" s="28"/>
      <c r="C37" s="28"/>
      <c r="D37" s="28"/>
    </row>
    <row r="38" ht="12.75">
      <c r="B38" s="28"/>
    </row>
    <row r="39" ht="12.75">
      <c r="B39" s="28"/>
    </row>
    <row r="40" ht="12.75">
      <c r="B40" s="28"/>
    </row>
    <row r="41" ht="12.75">
      <c r="B41" s="28"/>
    </row>
    <row r="42" ht="12.75">
      <c r="B42" s="28"/>
    </row>
    <row r="43" ht="12.75">
      <c r="B43" s="28"/>
    </row>
    <row r="44" ht="12.75">
      <c r="B44" s="28"/>
    </row>
    <row r="45" ht="12.75">
      <c r="B45" s="28"/>
    </row>
    <row r="46" ht="12.75">
      <c r="B46" s="28"/>
    </row>
    <row r="47" ht="12.75">
      <c r="B47" s="28"/>
    </row>
    <row r="48" ht="12.75">
      <c r="B48" s="28"/>
    </row>
    <row r="49" ht="12.75">
      <c r="B49" s="28"/>
    </row>
    <row r="50" ht="12.75">
      <c r="B50" s="28"/>
    </row>
    <row r="51" ht="12.75">
      <c r="B51" s="28"/>
    </row>
    <row r="52" ht="12.75">
      <c r="B52" s="28"/>
    </row>
    <row r="53" ht="12.75">
      <c r="B53" s="28"/>
    </row>
    <row r="54" ht="12.75">
      <c r="B54" s="28"/>
    </row>
    <row r="55" ht="12.75">
      <c r="B55" s="28"/>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1"/>
  <dimension ref="A1:K45"/>
  <sheetViews>
    <sheetView zoomScale="85" zoomScaleNormal="85" zoomScalePageLayoutView="0" workbookViewId="0" topLeftCell="A1">
      <selection activeCell="A1" sqref="A1"/>
    </sheetView>
  </sheetViews>
  <sheetFormatPr defaultColWidth="9.140625" defaultRowHeight="12.75"/>
  <cols>
    <col min="2" max="2" width="64.140625" style="0" customWidth="1"/>
    <col min="3" max="3" width="8.57421875" style="0" customWidth="1"/>
  </cols>
  <sheetData>
    <row r="1" s="832" customFormat="1" ht="12.75">
      <c r="K1" s="102" t="s">
        <v>606</v>
      </c>
    </row>
    <row r="2" spans="1:7" s="100" customFormat="1" ht="18">
      <c r="A2" s="123" t="s">
        <v>607</v>
      </c>
      <c r="G2" s="101"/>
    </row>
    <row r="3" s="172" customFormat="1" ht="12.75"/>
    <row r="4" s="172" customFormat="1" ht="18">
      <c r="B4" s="175" t="s">
        <v>581</v>
      </c>
    </row>
    <row r="5" s="125" customFormat="1" ht="12.75"/>
    <row r="6" spans="1:3" ht="15">
      <c r="A6" s="1094" t="s">
        <v>250</v>
      </c>
      <c r="B6" s="1095"/>
      <c r="C6" s="127"/>
    </row>
    <row r="7" spans="1:2" s="81" customFormat="1" ht="12.75">
      <c r="A7" s="128" t="s">
        <v>301</v>
      </c>
      <c r="B7" s="129" t="s">
        <v>302</v>
      </c>
    </row>
    <row r="8" spans="1:2" s="78" customFormat="1" ht="12.75">
      <c r="A8" s="128" t="s">
        <v>255</v>
      </c>
      <c r="B8" s="129" t="s">
        <v>306</v>
      </c>
    </row>
    <row r="9" spans="1:2" s="86" customFormat="1" ht="12.75">
      <c r="A9" s="130" t="s">
        <v>531</v>
      </c>
      <c r="B9" s="126" t="s">
        <v>532</v>
      </c>
    </row>
    <row r="10" spans="1:2" ht="12.75">
      <c r="A10" s="128" t="s">
        <v>138</v>
      </c>
      <c r="B10" s="129" t="s">
        <v>259</v>
      </c>
    </row>
    <row r="11" spans="1:2" s="81" customFormat="1" ht="12.75">
      <c r="A11" s="128" t="s">
        <v>293</v>
      </c>
      <c r="B11" s="129" t="s">
        <v>401</v>
      </c>
    </row>
    <row r="12" spans="1:2" s="81" customFormat="1" ht="12.75">
      <c r="A12" s="128" t="s">
        <v>322</v>
      </c>
      <c r="B12" s="129" t="s">
        <v>249</v>
      </c>
    </row>
    <row r="13" spans="1:2" s="125" customFormat="1" ht="12.75">
      <c r="A13" s="128" t="s">
        <v>203</v>
      </c>
      <c r="B13" s="129" t="s">
        <v>652</v>
      </c>
    </row>
    <row r="14" spans="1:2" s="81" customFormat="1" ht="12.75">
      <c r="A14" s="128" t="s">
        <v>287</v>
      </c>
      <c r="B14" s="129" t="s">
        <v>288</v>
      </c>
    </row>
    <row r="15" spans="1:2" s="83" customFormat="1" ht="12.75">
      <c r="A15" s="128" t="s">
        <v>600</v>
      </c>
      <c r="B15" s="129" t="s">
        <v>610</v>
      </c>
    </row>
    <row r="16" spans="1:2" s="84" customFormat="1" ht="12.75">
      <c r="A16" s="128" t="s">
        <v>405</v>
      </c>
      <c r="B16" s="129" t="s">
        <v>406</v>
      </c>
    </row>
    <row r="17" spans="1:2" s="81" customFormat="1" ht="12.75">
      <c r="A17" s="128" t="s">
        <v>420</v>
      </c>
      <c r="B17" s="129" t="s">
        <v>421</v>
      </c>
    </row>
    <row r="18" spans="1:2" s="125" customFormat="1" ht="12.75">
      <c r="A18" s="128" t="s">
        <v>654</v>
      </c>
      <c r="B18" s="129" t="s">
        <v>653</v>
      </c>
    </row>
    <row r="19" spans="1:2" s="125" customFormat="1" ht="12.75">
      <c r="A19" s="128" t="s">
        <v>204</v>
      </c>
      <c r="B19" s="129" t="s">
        <v>651</v>
      </c>
    </row>
    <row r="20" spans="1:2" s="83" customFormat="1" ht="12.75">
      <c r="A20" s="128" t="s">
        <v>276</v>
      </c>
      <c r="B20" s="129" t="s">
        <v>286</v>
      </c>
    </row>
    <row r="21" spans="1:2" s="82" customFormat="1" ht="12.75">
      <c r="A21" s="128" t="s">
        <v>387</v>
      </c>
      <c r="B21" s="129" t="s">
        <v>388</v>
      </c>
    </row>
    <row r="22" spans="1:2" s="78" customFormat="1" ht="12.75">
      <c r="A22" s="128" t="s">
        <v>379</v>
      </c>
      <c r="B22" s="129" t="s">
        <v>380</v>
      </c>
    </row>
    <row r="23" spans="1:2" s="81" customFormat="1" ht="12.75">
      <c r="A23" s="128" t="s">
        <v>59</v>
      </c>
      <c r="B23" s="129" t="s">
        <v>260</v>
      </c>
    </row>
    <row r="24" spans="1:2" s="81" customFormat="1" ht="12.75">
      <c r="A24" s="128" t="s">
        <v>270</v>
      </c>
      <c r="B24" s="129" t="s">
        <v>298</v>
      </c>
    </row>
    <row r="25" spans="1:2" ht="12.75">
      <c r="A25" s="128" t="s">
        <v>314</v>
      </c>
      <c r="B25" s="129" t="s">
        <v>315</v>
      </c>
    </row>
    <row r="26" spans="1:2" s="125" customFormat="1" ht="12.75">
      <c r="A26" s="128" t="s">
        <v>246</v>
      </c>
      <c r="B26" s="129" t="s">
        <v>630</v>
      </c>
    </row>
    <row r="27" spans="1:2" ht="12.75">
      <c r="A27" s="128" t="s">
        <v>251</v>
      </c>
      <c r="B27" s="129" t="s">
        <v>52</v>
      </c>
    </row>
    <row r="28" spans="1:2" s="82" customFormat="1" ht="12.75">
      <c r="A28" s="128" t="s">
        <v>299</v>
      </c>
      <c r="B28" s="129" t="s">
        <v>300</v>
      </c>
    </row>
    <row r="29" spans="1:2" s="81" customFormat="1" ht="12.75">
      <c r="A29" s="128" t="s">
        <v>377</v>
      </c>
      <c r="B29" s="129" t="s">
        <v>378</v>
      </c>
    </row>
    <row r="30" spans="1:2" s="81" customFormat="1" ht="12.75">
      <c r="A30" s="128" t="s">
        <v>332</v>
      </c>
      <c r="B30" s="129" t="s">
        <v>334</v>
      </c>
    </row>
    <row r="31" spans="1:2" s="87" customFormat="1" ht="12.75">
      <c r="A31" s="131" t="s">
        <v>333</v>
      </c>
      <c r="B31" s="132" t="s">
        <v>335</v>
      </c>
    </row>
    <row r="32" spans="1:2" s="81" customFormat="1" ht="12.75">
      <c r="A32" s="64"/>
      <c r="B32" s="64"/>
    </row>
    <row r="33" spans="1:2" s="81" customFormat="1" ht="14.25" customHeight="1">
      <c r="A33" s="1096" t="s">
        <v>615</v>
      </c>
      <c r="B33" s="1097"/>
    </row>
    <row r="34" spans="1:2" s="82" customFormat="1" ht="30" customHeight="1">
      <c r="A34" s="1105" t="s">
        <v>623</v>
      </c>
      <c r="B34" s="1106"/>
    </row>
    <row r="35" spans="1:2" ht="37.5" customHeight="1">
      <c r="A35" s="1102" t="s">
        <v>622</v>
      </c>
      <c r="B35" s="1101"/>
    </row>
    <row r="36" spans="1:2" s="125" customFormat="1" ht="16.5" customHeight="1">
      <c r="A36" s="133" t="s">
        <v>616</v>
      </c>
      <c r="B36" s="134"/>
    </row>
    <row r="37" spans="1:2" s="81" customFormat="1" ht="39.75" customHeight="1">
      <c r="A37" s="1103" t="s">
        <v>621</v>
      </c>
      <c r="B37" s="1104"/>
    </row>
    <row r="38" spans="1:2" ht="12.75">
      <c r="A38" s="1098" t="s">
        <v>614</v>
      </c>
      <c r="B38" s="1099"/>
    </row>
    <row r="39" spans="1:2" ht="42" customHeight="1">
      <c r="A39" s="1102" t="s">
        <v>620</v>
      </c>
      <c r="B39" s="1101"/>
    </row>
    <row r="40" spans="1:2" s="84" customFormat="1" ht="40.5" customHeight="1">
      <c r="A40" s="1102" t="s">
        <v>619</v>
      </c>
      <c r="B40" s="1101"/>
    </row>
    <row r="41" spans="1:2" ht="42.75" customHeight="1">
      <c r="A41" s="1102" t="s">
        <v>618</v>
      </c>
      <c r="B41" s="1101"/>
    </row>
    <row r="42" spans="1:2" s="125" customFormat="1" ht="32.25" customHeight="1">
      <c r="A42" s="1102" t="s">
        <v>617</v>
      </c>
      <c r="B42" s="1101"/>
    </row>
    <row r="43" spans="1:2" s="125" customFormat="1" ht="12.75">
      <c r="A43" s="1100" t="s">
        <v>612</v>
      </c>
      <c r="B43" s="1101"/>
    </row>
    <row r="44" spans="1:2" s="125" customFormat="1" ht="12.75">
      <c r="A44" s="1100" t="s">
        <v>613</v>
      </c>
      <c r="B44" s="1101"/>
    </row>
    <row r="45" spans="1:2" s="125" customFormat="1" ht="12.75">
      <c r="A45" s="135" t="s">
        <v>611</v>
      </c>
      <c r="B45" s="136"/>
    </row>
    <row r="46" s="125" customFormat="1" ht="12.75"/>
    <row r="47" s="125" customFormat="1" ht="12.75"/>
  </sheetData>
  <sheetProtection/>
  <mergeCells count="12">
    <mergeCell ref="A6:B6"/>
    <mergeCell ref="A33:B33"/>
    <mergeCell ref="A38:B38"/>
    <mergeCell ref="A44:B44"/>
    <mergeCell ref="A43:B43"/>
    <mergeCell ref="A42:B42"/>
    <mergeCell ref="A37:B37"/>
    <mergeCell ref="A34:B34"/>
    <mergeCell ref="A35:B35"/>
    <mergeCell ref="A39:B39"/>
    <mergeCell ref="A40:B40"/>
    <mergeCell ref="A41:B41"/>
  </mergeCells>
  <hyperlinks>
    <hyperlink ref="A45" r:id="rId1" display="XE Currency Crossrates."/>
    <hyperlink ref="A43" r:id="rId2" display="The World Bank. &quot;Why Invest in Early Child Development (ECD).&quot;"/>
    <hyperlink ref="A44" r:id="rId3" display="Towers Watson - Philippines. "/>
    <hyperlink ref="A38" r:id="rId4" display="Food and Agriculture Organization of the United Nations. (2008)"/>
    <hyperlink ref="A42:B42" r:id="rId5" display="Son, Hyun Hwa and Ifzal Ali. (2007) &quot;Measuring Inclusive Growth.&quot; Asian Development Bank."/>
    <hyperlink ref="A34" r:id="rId6" display="Araral, Eduardo (2009). Impact of CDD on Infrastructure Project Corruption, Cost, and Quality. Asian Development Bank."/>
    <hyperlink ref="A35" r:id="rId7" display="Eduardo, Araral and Camilla Holmemo (2007). Measuring the Costs and Benefits of Community-Driven Development: The KALAHI-CIDSS Project, Philippines (World Bank Social Development Papers, No. 102 (January))"/>
    <hyperlink ref="A37:B37" r:id="rId8" display="Canlas, Dante B. (2003). &quot;Economic Growth in the Philippines: Theory and Evidence.&quot; University of the Philippines School of Economics Discussion Paper No. 0304, June."/>
    <hyperlink ref="A39" r:id="rId9" display="Gerochi, Hope (2001). Returns to education in the Philippines. Graduate Research Seminar paper, School of Economics, University of the Philippines, Quezon City."/>
    <hyperlink ref="A40" r:id="rId10" display="Hutton, Guy and Laurence Haller (2004). Evaluation of the Costs and Benefits of Water and Sanitation Improvements at the Global Level.  WHO, Geneva."/>
    <hyperlink ref="A41" r:id="rId11" display="Jalan, Jyotsna and Martin Ravallion (2001). Does Piped Water Reduce Diarrhea for Children in Rural India?"/>
    <hyperlink ref="A36" r:id="rId12" display="Business World. (2009) &quot;Deficit warning raised by IMF.&quot;"/>
    <hyperlink ref="A41:B41" r:id="rId13" display="http://ideas.repec.org/p/wbk/wbrwps/2664.html"/>
  </hyperlinks>
  <printOptions/>
  <pageMargins left="0.7" right="0.7" top="0.75" bottom="0.75" header="0.3" footer="0.3"/>
  <pageSetup horizontalDpi="600" verticalDpi="600" orientation="portrait" r:id="rId15"/>
  <drawing r:id="rId14"/>
</worksheet>
</file>

<file path=xl/worksheets/sheet2.xml><?xml version="1.0" encoding="utf-8"?>
<worksheet xmlns="http://schemas.openxmlformats.org/spreadsheetml/2006/main" xmlns:r="http://schemas.openxmlformats.org/officeDocument/2006/relationships">
  <sheetPr codeName="Sheet18"/>
  <dimension ref="A1:D62"/>
  <sheetViews>
    <sheetView showGridLines="0" zoomScale="85" zoomScaleNormal="85" zoomScalePageLayoutView="0" workbookViewId="0" topLeftCell="A1">
      <selection activeCell="A1" sqref="A1"/>
    </sheetView>
  </sheetViews>
  <sheetFormatPr defaultColWidth="9.140625" defaultRowHeight="12.75"/>
  <cols>
    <col min="1" max="1" width="39.7109375" style="85" customWidth="1"/>
    <col min="2" max="2" width="120.57421875" style="85" customWidth="1"/>
    <col min="3" max="16384" width="9.140625" style="85" customWidth="1"/>
  </cols>
  <sheetData>
    <row r="1" spans="1:3" ht="12.75">
      <c r="A1" s="88"/>
      <c r="B1" s="200" t="s">
        <v>691</v>
      </c>
      <c r="C1" s="89"/>
    </row>
    <row r="2" spans="1:2" ht="20.25" customHeight="1">
      <c r="A2" s="90"/>
      <c r="B2" s="845" t="s">
        <v>668</v>
      </c>
    </row>
    <row r="3" spans="1:2" ht="12.75">
      <c r="A3" s="90"/>
      <c r="B3" s="845"/>
    </row>
    <row r="4" spans="1:2" ht="12.75">
      <c r="A4" s="90"/>
      <c r="B4" s="845"/>
    </row>
    <row r="5" spans="1:4" ht="12.75">
      <c r="A5" s="90"/>
      <c r="B5" s="845"/>
      <c r="D5" s="100"/>
    </row>
    <row r="6" spans="1:4" ht="12.75">
      <c r="A6" s="90"/>
      <c r="B6" s="845"/>
      <c r="D6" s="100"/>
    </row>
    <row r="7" spans="1:4" ht="13.5" thickBot="1">
      <c r="A7" s="91"/>
      <c r="B7" s="201"/>
      <c r="D7" s="100"/>
    </row>
    <row r="8" spans="1:4" s="93" customFormat="1" ht="18" customHeight="1" thickBot="1">
      <c r="A8" s="92" t="s">
        <v>566</v>
      </c>
      <c r="B8" s="122" t="s">
        <v>673</v>
      </c>
      <c r="D8" s="173"/>
    </row>
    <row r="9" spans="1:4" s="93" customFormat="1" ht="18" customHeight="1" thickBot="1">
      <c r="A9" s="94" t="s">
        <v>567</v>
      </c>
      <c r="B9" s="95" t="s">
        <v>568</v>
      </c>
      <c r="D9" s="174"/>
    </row>
    <row r="10" spans="1:4" s="93" customFormat="1" ht="18" customHeight="1" thickBot="1">
      <c r="A10" s="94" t="s">
        <v>569</v>
      </c>
      <c r="B10" s="96">
        <v>40205</v>
      </c>
      <c r="D10" s="173"/>
    </row>
    <row r="11" spans="1:4" s="93" customFormat="1" ht="18" customHeight="1" thickBot="1">
      <c r="A11" s="94" t="s">
        <v>570</v>
      </c>
      <c r="B11" s="95" t="s">
        <v>678</v>
      </c>
      <c r="D11" s="173"/>
    </row>
    <row r="12" spans="1:4" ht="33.75" customHeight="1">
      <c r="A12" s="843" t="s">
        <v>571</v>
      </c>
      <c r="B12" s="841" t="s">
        <v>698</v>
      </c>
      <c r="D12" s="100"/>
    </row>
    <row r="13" spans="1:2" ht="6.75" customHeight="1" thickBot="1">
      <c r="A13" s="844"/>
      <c r="B13" s="842"/>
    </row>
    <row r="14" spans="1:2" ht="126" customHeight="1" thickBot="1">
      <c r="A14" s="846" t="s">
        <v>572</v>
      </c>
      <c r="B14" s="124" t="s">
        <v>655</v>
      </c>
    </row>
    <row r="15" spans="1:2" ht="18" customHeight="1" thickBot="1">
      <c r="A15" s="846"/>
      <c r="B15" s="144" t="s">
        <v>656</v>
      </c>
    </row>
    <row r="16" spans="1:2" ht="32.25" customHeight="1" thickBot="1">
      <c r="A16" s="94" t="s">
        <v>573</v>
      </c>
      <c r="B16" s="144" t="s">
        <v>669</v>
      </c>
    </row>
    <row r="17" spans="1:2" ht="18" customHeight="1" thickBot="1">
      <c r="A17" s="202" t="s">
        <v>574</v>
      </c>
      <c r="B17" s="160" t="s">
        <v>608</v>
      </c>
    </row>
    <row r="18" spans="1:2" ht="12.75" customHeight="1">
      <c r="A18" s="838" t="s">
        <v>575</v>
      </c>
      <c r="B18" s="145"/>
    </row>
    <row r="19" spans="1:2" ht="12.75">
      <c r="A19" s="839"/>
      <c r="B19" s="146" t="s">
        <v>571</v>
      </c>
    </row>
    <row r="20" spans="1:2" ht="12.75">
      <c r="A20" s="839"/>
      <c r="B20" s="147" t="s">
        <v>576</v>
      </c>
    </row>
    <row r="21" spans="1:2" ht="12.75">
      <c r="A21" s="839"/>
      <c r="B21" s="148"/>
    </row>
    <row r="22" spans="1:2" s="97" customFormat="1" ht="12.75">
      <c r="A22" s="839"/>
      <c r="B22" s="149" t="s">
        <v>577</v>
      </c>
    </row>
    <row r="23" spans="1:2" s="97" customFormat="1" ht="25.5">
      <c r="A23" s="839"/>
      <c r="B23" s="150" t="s">
        <v>578</v>
      </c>
    </row>
    <row r="24" spans="1:2" s="97" customFormat="1" ht="12.75">
      <c r="A24" s="839"/>
      <c r="B24" s="150"/>
    </row>
    <row r="25" spans="1:2" s="97" customFormat="1" ht="12.75">
      <c r="A25" s="839"/>
      <c r="B25" s="151" t="s">
        <v>689</v>
      </c>
    </row>
    <row r="26" spans="1:2" s="97" customFormat="1" ht="25.5">
      <c r="A26" s="839"/>
      <c r="B26" s="152" t="s">
        <v>641</v>
      </c>
    </row>
    <row r="27" spans="1:2" s="97" customFormat="1" ht="12.75">
      <c r="A27" s="839"/>
      <c r="B27" s="150"/>
    </row>
    <row r="28" spans="1:2" s="97" customFormat="1" ht="12.75">
      <c r="A28" s="839"/>
      <c r="B28" s="151" t="s">
        <v>640</v>
      </c>
    </row>
    <row r="29" spans="1:2" s="97" customFormat="1" ht="12.75">
      <c r="A29" s="839"/>
      <c r="B29" s="847" t="s">
        <v>657</v>
      </c>
    </row>
    <row r="30" spans="1:2" s="97" customFormat="1" ht="12.75">
      <c r="A30" s="839"/>
      <c r="B30" s="847"/>
    </row>
    <row r="31" spans="1:2" s="97" customFormat="1" ht="12.75">
      <c r="A31" s="839"/>
      <c r="B31" s="152"/>
    </row>
    <row r="32" spans="1:2" s="97" customFormat="1" ht="12.75">
      <c r="A32" s="839"/>
      <c r="B32" s="153" t="s">
        <v>59</v>
      </c>
    </row>
    <row r="33" spans="1:2" s="97" customFormat="1" ht="25.5">
      <c r="A33" s="839"/>
      <c r="B33" s="152" t="s">
        <v>658</v>
      </c>
    </row>
    <row r="34" spans="1:2" ht="12.75">
      <c r="A34" s="839"/>
      <c r="B34" s="152"/>
    </row>
    <row r="35" spans="1:2" ht="12.75">
      <c r="A35" s="839"/>
      <c r="B35" s="153" t="s">
        <v>642</v>
      </c>
    </row>
    <row r="36" spans="1:2" ht="25.5">
      <c r="A36" s="839"/>
      <c r="B36" s="152" t="s">
        <v>659</v>
      </c>
    </row>
    <row r="37" spans="1:2" ht="12.75">
      <c r="A37" s="839"/>
      <c r="B37" s="152"/>
    </row>
    <row r="38" spans="1:2" ht="12.75">
      <c r="A38" s="839"/>
      <c r="B38" s="153" t="s">
        <v>144</v>
      </c>
    </row>
    <row r="39" spans="1:2" ht="12.75">
      <c r="A39" s="839"/>
      <c r="B39" s="847" t="s">
        <v>660</v>
      </c>
    </row>
    <row r="40" spans="1:2" ht="12.75">
      <c r="A40" s="839"/>
      <c r="B40" s="847"/>
    </row>
    <row r="41" spans="1:2" ht="12.75">
      <c r="A41" s="839"/>
      <c r="B41" s="154"/>
    </row>
    <row r="42" spans="1:2" ht="12.75">
      <c r="A42" s="839"/>
      <c r="B42" s="155" t="s">
        <v>138</v>
      </c>
    </row>
    <row r="43" spans="1:2" ht="25.5">
      <c r="A43" s="839"/>
      <c r="B43" s="154" t="s">
        <v>661</v>
      </c>
    </row>
    <row r="44" spans="1:2" ht="12.75">
      <c r="A44" s="839"/>
      <c r="B44" s="154"/>
    </row>
    <row r="45" spans="1:2" ht="12.75">
      <c r="A45" s="839"/>
      <c r="B45" s="153" t="s">
        <v>643</v>
      </c>
    </row>
    <row r="46" spans="1:2" ht="25.5">
      <c r="A46" s="839"/>
      <c r="B46" s="152" t="s">
        <v>644</v>
      </c>
    </row>
    <row r="47" spans="1:2" ht="12.75">
      <c r="A47" s="839"/>
      <c r="B47" s="152"/>
    </row>
    <row r="48" spans="1:2" ht="12.75">
      <c r="A48" s="839"/>
      <c r="B48" s="153" t="s">
        <v>645</v>
      </c>
    </row>
    <row r="49" spans="1:2" ht="25.5">
      <c r="A49" s="839"/>
      <c r="B49" s="152" t="s">
        <v>646</v>
      </c>
    </row>
    <row r="50" spans="1:2" ht="12.75">
      <c r="A50" s="839"/>
      <c r="B50" s="152"/>
    </row>
    <row r="51" spans="1:2" ht="12.75">
      <c r="A51" s="839"/>
      <c r="B51" s="153" t="s">
        <v>579</v>
      </c>
    </row>
    <row r="52" spans="1:2" ht="6" customHeight="1">
      <c r="A52" s="839"/>
      <c r="B52" s="837" t="s">
        <v>580</v>
      </c>
    </row>
    <row r="53" spans="1:2" ht="12.75">
      <c r="A53" s="839"/>
      <c r="B53" s="837"/>
    </row>
    <row r="54" spans="1:2" ht="12.75">
      <c r="A54" s="839"/>
      <c r="B54" s="156"/>
    </row>
    <row r="55" spans="1:2" ht="12.75">
      <c r="A55" s="839"/>
      <c r="B55" s="157" t="s">
        <v>647</v>
      </c>
    </row>
    <row r="56" spans="1:2" ht="12.75">
      <c r="A56" s="839"/>
      <c r="B56" s="156" t="s">
        <v>648</v>
      </c>
    </row>
    <row r="57" spans="1:2" ht="12.75">
      <c r="A57" s="839"/>
      <c r="B57" s="156"/>
    </row>
    <row r="58" spans="1:2" ht="12.75">
      <c r="A58" s="839"/>
      <c r="B58" s="153" t="s">
        <v>581</v>
      </c>
    </row>
    <row r="59" spans="1:2" ht="12.75">
      <c r="A59" s="839"/>
      <c r="B59" s="158" t="s">
        <v>582</v>
      </c>
    </row>
    <row r="60" spans="1:2" ht="13.5" thickBot="1">
      <c r="A60" s="840"/>
      <c r="B60" s="159"/>
    </row>
    <row r="62" ht="12.75">
      <c r="B62" s="98" t="s">
        <v>583</v>
      </c>
    </row>
  </sheetData>
  <sheetProtection/>
  <mergeCells count="8">
    <mergeCell ref="B52:B53"/>
    <mergeCell ref="A18:A60"/>
    <mergeCell ref="B12:B13"/>
    <mergeCell ref="A12:A13"/>
    <mergeCell ref="B2:B6"/>
    <mergeCell ref="A14:A15"/>
    <mergeCell ref="B29:B30"/>
    <mergeCell ref="B39:B40"/>
  </mergeCells>
  <hyperlinks>
    <hyperlink ref="B19" location="'Project Description'!A1" display="Project Description"/>
    <hyperlink ref="B28" location="'Project Benefits and Unit Costs'!A1" display="Project Benefits and Unit Costs"/>
    <hyperlink ref="B22" location="'ERR &amp; Sensitivity analysis'!A1" display="ERR &amp; Sensitivity Analysis"/>
    <hyperlink ref="B25" location="'Combined Cost-Benefit'!A1" display="Combined Cost-Benefit"/>
    <hyperlink ref="B32" location="PHF!A1" display="PHF"/>
    <hyperlink ref="B35" location="Roads!A1" display="Roads"/>
    <hyperlink ref="B38" location="Water!A1" display="Water"/>
    <hyperlink ref="B42" location="BHS!A1" display="BHS"/>
    <hyperlink ref="B45" location="School!A1" display="School"/>
    <hyperlink ref="B58" location="Notes!A1" display="Notes"/>
    <hyperlink ref="B48" location="'Day Care'!A1" display="Day Care"/>
    <hyperlink ref="B51" location="'Assumptions &amp; Data'!A1" display="Assumptions &amp; Data"/>
    <hyperlink ref="B55" location="'Subproject Data'!A1" display="Subproject Data"/>
    <hyperlink ref="A17" location="'ERR &amp; Sensitivity Analysis'!A1" display="Estimated ERR and time horizon"/>
    <hyperlink ref="A12:A13" location="'Project Description'!A1" display="Project Description"/>
  </hyperlink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codeName="Sheet19"/>
  <dimension ref="A2:B33"/>
  <sheetViews>
    <sheetView zoomScale="85" zoomScaleNormal="85" zoomScalePageLayoutView="0" workbookViewId="0" topLeftCell="A1">
      <selection activeCell="A1" sqref="A1"/>
    </sheetView>
  </sheetViews>
  <sheetFormatPr defaultColWidth="9.140625" defaultRowHeight="12.75"/>
  <cols>
    <col min="1" max="1" width="5.7109375" style="99" customWidth="1"/>
    <col min="2" max="2" width="117.57421875" style="99" customWidth="1"/>
    <col min="3" max="16384" width="9.140625" style="99" customWidth="1"/>
  </cols>
  <sheetData>
    <row r="2" ht="20.25">
      <c r="B2" s="176" t="s">
        <v>607</v>
      </c>
    </row>
    <row r="4" ht="18">
      <c r="B4" s="177" t="s">
        <v>571</v>
      </c>
    </row>
    <row r="5" ht="8.25" customHeight="1">
      <c r="A5" s="178"/>
    </row>
    <row r="6" spans="1:2" ht="12.75" customHeight="1">
      <c r="A6" s="179"/>
      <c r="B6" s="829" t="s">
        <v>584</v>
      </c>
    </row>
    <row r="7" spans="1:2" ht="60.75" customHeight="1">
      <c r="A7" s="180"/>
      <c r="B7" s="181" t="s">
        <v>650</v>
      </c>
    </row>
    <row r="8" spans="1:2" ht="21.75" customHeight="1">
      <c r="A8" s="180"/>
      <c r="B8" s="830" t="s">
        <v>585</v>
      </c>
    </row>
    <row r="9" spans="1:2" ht="21.75" customHeight="1">
      <c r="A9" s="180"/>
      <c r="B9" s="181" t="s">
        <v>699</v>
      </c>
    </row>
    <row r="10" spans="1:2" ht="6.75" customHeight="1">
      <c r="A10" s="180"/>
      <c r="B10" s="181"/>
    </row>
    <row r="11" spans="1:2" ht="12.75">
      <c r="A11" s="180"/>
      <c r="B11" s="828" t="s">
        <v>692</v>
      </c>
    </row>
    <row r="12" spans="1:2" ht="12.75">
      <c r="A12" s="180"/>
      <c r="B12" s="828" t="s">
        <v>693</v>
      </c>
    </row>
    <row r="13" spans="1:2" ht="12.75">
      <c r="A13" s="180"/>
      <c r="B13" s="828" t="s">
        <v>694</v>
      </c>
    </row>
    <row r="14" spans="1:2" ht="12.75">
      <c r="A14" s="180"/>
      <c r="B14" s="828" t="s">
        <v>695</v>
      </c>
    </row>
    <row r="15" spans="1:2" ht="12.75">
      <c r="A15" s="180"/>
      <c r="B15" s="828" t="s">
        <v>696</v>
      </c>
    </row>
    <row r="16" spans="1:2" ht="12.75">
      <c r="A16" s="180"/>
      <c r="B16" s="828" t="s">
        <v>697</v>
      </c>
    </row>
    <row r="17" spans="1:2" ht="12.75">
      <c r="A17" s="180"/>
      <c r="B17" s="828" t="s">
        <v>700</v>
      </c>
    </row>
    <row r="18" spans="1:2" ht="12.75">
      <c r="A18" s="180"/>
      <c r="B18" s="828" t="s">
        <v>701</v>
      </c>
    </row>
    <row r="19" spans="1:2" ht="6.75" customHeight="1">
      <c r="A19" s="180"/>
      <c r="B19" s="181"/>
    </row>
    <row r="20" spans="1:2" ht="12.75">
      <c r="A20" s="180"/>
      <c r="B20" s="181" t="s">
        <v>674</v>
      </c>
    </row>
    <row r="21" spans="1:2" ht="21.75" customHeight="1">
      <c r="A21" s="180"/>
      <c r="B21" s="182" t="s">
        <v>609</v>
      </c>
    </row>
    <row r="22" ht="8.25" customHeight="1">
      <c r="B22" s="848" t="s">
        <v>601</v>
      </c>
    </row>
    <row r="23" spans="1:2" ht="33.75" customHeight="1">
      <c r="A23" s="180"/>
      <c r="B23" s="848"/>
    </row>
    <row r="24" spans="1:2" ht="19.5" customHeight="1">
      <c r="A24" s="180"/>
      <c r="B24" s="183" t="s">
        <v>602</v>
      </c>
    </row>
    <row r="25" spans="1:2" ht="30" customHeight="1">
      <c r="A25" s="180"/>
      <c r="B25" s="184" t="s">
        <v>603</v>
      </c>
    </row>
    <row r="26" spans="1:2" ht="19.5" customHeight="1">
      <c r="A26" s="180"/>
      <c r="B26" s="185" t="s">
        <v>604</v>
      </c>
    </row>
    <row r="27" spans="1:2" ht="12.75">
      <c r="A27" s="180"/>
      <c r="B27" s="163" t="s">
        <v>605</v>
      </c>
    </row>
    <row r="28" spans="1:2" ht="12.75">
      <c r="A28" s="180"/>
      <c r="B28" s="163"/>
    </row>
    <row r="29" spans="1:2" ht="16.5" customHeight="1">
      <c r="A29" s="180"/>
      <c r="B29" s="831" t="s">
        <v>586</v>
      </c>
    </row>
    <row r="30" spans="1:2" ht="2.25" customHeight="1">
      <c r="A30" s="180"/>
      <c r="B30" s="849" t="s">
        <v>677</v>
      </c>
    </row>
    <row r="31" ht="237" customHeight="1">
      <c r="B31" s="849"/>
    </row>
    <row r="32" ht="18" customHeight="1">
      <c r="B32" s="186"/>
    </row>
    <row r="33" ht="12.75" customHeight="1">
      <c r="B33" s="200" t="s">
        <v>691</v>
      </c>
    </row>
  </sheetData>
  <sheetProtection/>
  <mergeCells count="2">
    <mergeCell ref="B22:B23"/>
    <mergeCell ref="B30:B31"/>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sheetPr codeName="Sheet20"/>
  <dimension ref="B2:J35"/>
  <sheetViews>
    <sheetView showGridLines="0" tabSelected="1" zoomScale="85" zoomScaleNormal="85" zoomScalePageLayoutView="0" workbookViewId="0" topLeftCell="A1">
      <selection activeCell="I16" sqref="I16"/>
    </sheetView>
  </sheetViews>
  <sheetFormatPr defaultColWidth="9.140625" defaultRowHeight="12.75"/>
  <cols>
    <col min="1" max="1" width="7.00390625" style="100" customWidth="1"/>
    <col min="2" max="2" width="17.00390625" style="100" customWidth="1"/>
    <col min="3" max="3" width="44.8515625" style="100" customWidth="1"/>
    <col min="4" max="4" width="17.28125" style="100" customWidth="1"/>
    <col min="5" max="5" width="11.57421875" style="100" customWidth="1"/>
    <col min="6" max="6" width="12.421875" style="100" customWidth="1"/>
    <col min="7" max="7" width="12.00390625" style="100" customWidth="1"/>
    <col min="8" max="8" width="9.140625" style="100" customWidth="1"/>
    <col min="9" max="9" width="19.28125" style="100" bestFit="1" customWidth="1"/>
    <col min="10" max="16384" width="9.140625" style="100" customWidth="1"/>
  </cols>
  <sheetData>
    <row r="2" spans="2:9" ht="18">
      <c r="B2" s="123" t="s">
        <v>607</v>
      </c>
      <c r="G2" s="101"/>
      <c r="I2" s="200" t="s">
        <v>691</v>
      </c>
    </row>
    <row r="3" ht="12.75"/>
    <row r="4" ht="18">
      <c r="B4" s="103" t="s">
        <v>587</v>
      </c>
    </row>
    <row r="5" ht="2.25" customHeight="1">
      <c r="C5" s="104"/>
    </row>
    <row r="6" spans="2:7" ht="15.75" customHeight="1">
      <c r="B6" s="855" t="s">
        <v>588</v>
      </c>
      <c r="C6" s="855"/>
      <c r="D6" s="855"/>
      <c r="E6" s="855"/>
      <c r="F6" s="855"/>
      <c r="G6" s="855"/>
    </row>
    <row r="7" spans="2:7" ht="15.75" customHeight="1">
      <c r="B7" s="855"/>
      <c r="C7" s="855"/>
      <c r="D7" s="855"/>
      <c r="E7" s="855"/>
      <c r="F7" s="855"/>
      <c r="G7" s="855"/>
    </row>
    <row r="8" spans="2:7" ht="28.5" customHeight="1">
      <c r="B8" s="855"/>
      <c r="C8" s="855"/>
      <c r="D8" s="855"/>
      <c r="E8" s="855"/>
      <c r="F8" s="855"/>
      <c r="G8" s="855"/>
    </row>
    <row r="10" spans="2:9" ht="15.75" customHeight="1">
      <c r="B10" s="856" t="s">
        <v>671</v>
      </c>
      <c r="C10" s="858" t="s">
        <v>672</v>
      </c>
      <c r="D10" s="860" t="s">
        <v>649</v>
      </c>
      <c r="E10" s="861"/>
      <c r="F10" s="861"/>
      <c r="G10" s="862"/>
      <c r="H10" s="104"/>
      <c r="I10" s="104"/>
    </row>
    <row r="11" spans="2:9" ht="43.5" customHeight="1" thickBot="1">
      <c r="B11" s="857"/>
      <c r="C11" s="859"/>
      <c r="D11" s="142" t="s">
        <v>589</v>
      </c>
      <c r="E11" s="137" t="s">
        <v>590</v>
      </c>
      <c r="F11" s="139" t="s">
        <v>591</v>
      </c>
      <c r="G11" s="137" t="s">
        <v>592</v>
      </c>
      <c r="H11" s="104"/>
      <c r="I11" s="105" t="s">
        <v>593</v>
      </c>
    </row>
    <row r="12" spans="2:9" ht="25.5" customHeight="1">
      <c r="B12" s="106" t="s">
        <v>584</v>
      </c>
      <c r="C12" s="107" t="s">
        <v>594</v>
      </c>
      <c r="D12" s="191">
        <v>1</v>
      </c>
      <c r="E12" s="138">
        <v>1</v>
      </c>
      <c r="F12" s="140" t="s">
        <v>662</v>
      </c>
      <c r="G12" s="187">
        <f>D12</f>
        <v>1</v>
      </c>
      <c r="I12" s="109" t="str">
        <f>IF(D12=E12,IF(D13=E13,"Y","N"),"N")</f>
        <v>Y</v>
      </c>
    </row>
    <row r="13" spans="2:7" ht="25.5" customHeight="1">
      <c r="B13" s="110" t="s">
        <v>584</v>
      </c>
      <c r="C13" s="111" t="s">
        <v>595</v>
      </c>
      <c r="D13" s="191">
        <v>1</v>
      </c>
      <c r="E13" s="138">
        <v>1</v>
      </c>
      <c r="F13" s="140" t="s">
        <v>662</v>
      </c>
      <c r="G13" s="187">
        <f>D13</f>
        <v>1</v>
      </c>
    </row>
    <row r="14" spans="2:7" ht="12.75">
      <c r="B14" s="113"/>
      <c r="C14" s="113"/>
      <c r="D14" s="143"/>
      <c r="E14" s="113"/>
      <c r="F14" s="113"/>
      <c r="G14" s="113"/>
    </row>
    <row r="15" spans="2:9" ht="43.5" customHeight="1">
      <c r="B15" s="866" t="s">
        <v>596</v>
      </c>
      <c r="C15" s="114" t="s">
        <v>670</v>
      </c>
      <c r="D15" s="192">
        <v>0.1</v>
      </c>
      <c r="E15" s="141">
        <v>0.1</v>
      </c>
      <c r="F15" s="170" t="s">
        <v>663</v>
      </c>
      <c r="G15" s="188">
        <f>IF($I$12="Y",IF(D15&gt;1,100%,IF(D15&lt;0,0%,D15)),E15)</f>
        <v>0.1</v>
      </c>
      <c r="H15" s="851"/>
      <c r="I15" s="105" t="s">
        <v>681</v>
      </c>
    </row>
    <row r="16" spans="2:9" ht="22.5" customHeight="1">
      <c r="B16" s="867"/>
      <c r="C16" s="852" t="s">
        <v>665</v>
      </c>
      <c r="D16" s="853"/>
      <c r="E16" s="853"/>
      <c r="F16" s="853"/>
      <c r="G16" s="854"/>
      <c r="H16" s="851"/>
      <c r="I16" s="109" t="str">
        <f>#VALUE!</f>
        <v>Y</v>
      </c>
    </row>
    <row r="17" spans="2:8" ht="12.75">
      <c r="B17" s="867"/>
      <c r="C17" s="163" t="s">
        <v>77</v>
      </c>
      <c r="D17" s="193">
        <v>0.232660228270413</v>
      </c>
      <c r="E17" s="165">
        <v>0.232660228270413</v>
      </c>
      <c r="F17" s="863" t="s">
        <v>688</v>
      </c>
      <c r="G17" s="188">
        <f>IF($I$12="Y",IF(D17&gt;1,100%,IF(D17&lt;0,0%,D17)),E17)</f>
        <v>0.232660228270413</v>
      </c>
      <c r="H17" s="851"/>
    </row>
    <row r="18" spans="2:9" ht="12.75">
      <c r="B18" s="867"/>
      <c r="C18" s="163" t="s">
        <v>399</v>
      </c>
      <c r="D18" s="194">
        <v>0.062774363476734</v>
      </c>
      <c r="E18" s="166">
        <v>0.06277436347673399</v>
      </c>
      <c r="F18" s="864"/>
      <c r="G18" s="189">
        <f aca="true" t="shared" si="0" ref="G18:G24">IF($I$12="Y",IF(D18&gt;1,100%,IF(D18&lt;0,0%,D18)),E18)</f>
        <v>0.062774363476734</v>
      </c>
      <c r="H18" s="851"/>
      <c r="I18" s="118"/>
    </row>
    <row r="19" spans="2:9" ht="12.75">
      <c r="B19" s="867"/>
      <c r="C19" s="163" t="s">
        <v>414</v>
      </c>
      <c r="D19" s="194">
        <v>0.120376975417032</v>
      </c>
      <c r="E19" s="108">
        <v>0.12037697541703249</v>
      </c>
      <c r="F19" s="864"/>
      <c r="G19" s="189">
        <f t="shared" si="0"/>
        <v>0.120376975417032</v>
      </c>
      <c r="H19" s="851"/>
      <c r="I19" s="115" t="s">
        <v>597</v>
      </c>
    </row>
    <row r="20" spans="2:9" ht="12.75">
      <c r="B20" s="867"/>
      <c r="C20" s="163" t="s">
        <v>415</v>
      </c>
      <c r="D20" s="194">
        <v>0.175935579455663</v>
      </c>
      <c r="E20" s="108">
        <v>0.17593557945566288</v>
      </c>
      <c r="F20" s="864"/>
      <c r="G20" s="189">
        <f t="shared" si="0"/>
        <v>0.175935579455663</v>
      </c>
      <c r="H20" s="851"/>
      <c r="I20" s="116" t="s">
        <v>598</v>
      </c>
    </row>
    <row r="21" spans="2:9" ht="12.75">
      <c r="B21" s="867"/>
      <c r="C21" s="163" t="s">
        <v>258</v>
      </c>
      <c r="D21" s="194">
        <v>0.0447761194029851</v>
      </c>
      <c r="E21" s="108">
        <v>0.04477611940298507</v>
      </c>
      <c r="F21" s="864"/>
      <c r="G21" s="189">
        <f t="shared" si="0"/>
        <v>0.0447761194029851</v>
      </c>
      <c r="I21" s="117" t="s">
        <v>599</v>
      </c>
    </row>
    <row r="22" spans="2:9" ht="12.75">
      <c r="B22" s="867"/>
      <c r="C22" s="163" t="s">
        <v>239</v>
      </c>
      <c r="D22" s="194">
        <v>0.138718173836699</v>
      </c>
      <c r="E22" s="108">
        <v>0.13871817383669885</v>
      </c>
      <c r="F22" s="864"/>
      <c r="G22" s="189">
        <f t="shared" si="0"/>
        <v>0.138718173836699</v>
      </c>
      <c r="I22" s="162"/>
    </row>
    <row r="23" spans="2:7" ht="12.75">
      <c r="B23" s="867"/>
      <c r="C23" s="163" t="s">
        <v>249</v>
      </c>
      <c r="D23" s="194">
        <v>0.111062335381914</v>
      </c>
      <c r="E23" s="108">
        <v>0.11106233538191397</v>
      </c>
      <c r="F23" s="864"/>
      <c r="G23" s="189">
        <f t="shared" si="0"/>
        <v>0.111062335381914</v>
      </c>
    </row>
    <row r="24" spans="2:7" ht="12.75">
      <c r="B24" s="867"/>
      <c r="C24" s="163" t="s">
        <v>259</v>
      </c>
      <c r="D24" s="195">
        <v>0.11369622475856</v>
      </c>
      <c r="E24" s="112">
        <v>0.11369622475856014</v>
      </c>
      <c r="F24" s="865"/>
      <c r="G24" s="190">
        <f t="shared" si="0"/>
        <v>0.11369622475856</v>
      </c>
    </row>
    <row r="25" spans="2:10" ht="12.75">
      <c r="B25" s="868"/>
      <c r="C25" s="164" t="s">
        <v>170</v>
      </c>
      <c r="D25" s="196">
        <f>ROUND(SUM(D17:D24),2)</f>
        <v>1</v>
      </c>
      <c r="E25" s="138">
        <v>1</v>
      </c>
      <c r="F25" s="168"/>
      <c r="G25" s="169"/>
      <c r="H25" s="167"/>
      <c r="J25" s="162"/>
    </row>
    <row r="26" spans="2:9" ht="45" customHeight="1">
      <c r="B26" s="850">
        <f>IF(I12="N",IF(I16="N","Reminder: Please reset all summary parameters to original values before changing specific parameters.  Specific parameters will only be used in ERR computation when all summary parameters are set to initial values",0),"")</f>
      </c>
      <c r="C26" s="850"/>
      <c r="D26" s="850"/>
      <c r="E26" s="850"/>
      <c r="F26" s="850"/>
      <c r="G26" s="850"/>
      <c r="I26" s="162"/>
    </row>
    <row r="27" spans="2:7" ht="12.75">
      <c r="B27" s="850">
        <f>IF(D25=1,"","Please adjust the CEAC Investment Portoflio to equal 100%")</f>
      </c>
      <c r="C27" s="850"/>
      <c r="D27" s="850"/>
      <c r="E27" s="850"/>
      <c r="F27" s="850"/>
      <c r="G27" s="850"/>
    </row>
    <row r="28" spans="2:7" ht="12.75">
      <c r="B28" s="161"/>
      <c r="C28" s="161"/>
      <c r="D28" s="161"/>
      <c r="E28" s="161"/>
      <c r="F28" s="161"/>
      <c r="G28" s="161"/>
    </row>
    <row r="29" spans="3:5" ht="12.75">
      <c r="C29" s="119" t="s">
        <v>679</v>
      </c>
      <c r="D29" s="171">
        <f>'Combined Cost-Benefit'!E6</f>
        <v>0.12602247827057966</v>
      </c>
      <c r="E29" s="120"/>
    </row>
    <row r="30" spans="3:5" ht="12.75">
      <c r="C30" s="119"/>
      <c r="D30" s="120"/>
      <c r="E30" s="120"/>
    </row>
    <row r="31" spans="3:5" ht="12.75">
      <c r="C31" s="119" t="s">
        <v>680</v>
      </c>
      <c r="D31" s="827">
        <v>0.12600878103321916</v>
      </c>
      <c r="E31" s="121"/>
    </row>
    <row r="33" spans="3:4" ht="12.75">
      <c r="C33" s="197" t="s">
        <v>682</v>
      </c>
      <c r="D33" s="198">
        <f>NPV(0.1,'Combined Cost-Benefit'!I18:I38)</f>
        <v>124861301.62953985</v>
      </c>
    </row>
    <row r="34" spans="3:4" ht="12.75">
      <c r="C34" s="197"/>
      <c r="D34" s="199"/>
    </row>
    <row r="35" spans="3:4" ht="12.75">
      <c r="C35" s="197" t="s">
        <v>685</v>
      </c>
      <c r="D35" s="198">
        <f>-NPV(0.1,'Combined Cost-Benefit'!C18:C23)/'Assumptions &amp; Data'!$P$56</f>
        <v>118806838.1762487</v>
      </c>
    </row>
  </sheetData>
  <sheetProtection/>
  <mergeCells count="10">
    <mergeCell ref="B27:G27"/>
    <mergeCell ref="H15:H20"/>
    <mergeCell ref="C16:G16"/>
    <mergeCell ref="B6:G8"/>
    <mergeCell ref="B10:B11"/>
    <mergeCell ref="C10:C11"/>
    <mergeCell ref="D10:G10"/>
    <mergeCell ref="B26:G26"/>
    <mergeCell ref="F17:F24"/>
    <mergeCell ref="B15:B25"/>
  </mergeCells>
  <conditionalFormatting sqref="B26:B28 B14">
    <cfRule type="cellIs" priority="1" dxfId="2" operator="equal" stopIfTrue="1">
      <formula>0</formula>
    </cfRule>
    <cfRule type="cellIs" priority="2" dxfId="1" operator="notEqual" stopIfTrue="1">
      <formula>0</formula>
    </cfRule>
  </conditionalFormatting>
  <hyperlinks>
    <hyperlink ref="I20" location="'Project Description'!A1" display="Project Description"/>
    <hyperlink ref="I21" location="'User''s Guide'!A1" display="User's Guide"/>
  </hyperlinks>
  <printOptions/>
  <pageMargins left="0.7" right="0.7" top="0.75" bottom="0.75" header="0.3" footer="0.3"/>
  <pageSetup horizontalDpi="200" verticalDpi="2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2:BG121"/>
  <sheetViews>
    <sheetView zoomScale="85" zoomScaleNormal="85" zoomScalePageLayoutView="0" workbookViewId="0" topLeftCell="A1">
      <selection activeCell="A1" sqref="A1"/>
    </sheetView>
  </sheetViews>
  <sheetFormatPr defaultColWidth="9.140625" defaultRowHeight="12.75"/>
  <cols>
    <col min="1" max="1" width="9.57421875" style="209" customWidth="1"/>
    <col min="2" max="2" width="12.00390625" style="208" customWidth="1"/>
    <col min="3" max="3" width="21.7109375" style="209" customWidth="1"/>
    <col min="4" max="4" width="33.57421875" style="209" customWidth="1"/>
    <col min="5" max="5" width="14.57421875" style="209" bestFit="1" customWidth="1"/>
    <col min="6" max="6" width="14.00390625" style="209" customWidth="1"/>
    <col min="7" max="7" width="14.00390625" style="209" bestFit="1" customWidth="1"/>
    <col min="8" max="8" width="14.00390625" style="209" customWidth="1"/>
    <col min="9" max="9" width="15.00390625" style="209" customWidth="1"/>
    <col min="10" max="10" width="17.28125" style="209" customWidth="1"/>
    <col min="11" max="11" width="14.140625" style="209" customWidth="1"/>
    <col min="12" max="12" width="13.57421875" style="209" customWidth="1"/>
    <col min="13" max="13" width="17.8515625" style="209" customWidth="1"/>
    <col min="14" max="14" width="16.00390625" style="209" customWidth="1"/>
    <col min="15" max="18" width="13.57421875" style="209" customWidth="1"/>
    <col min="19" max="19" width="13.57421875" style="210" customWidth="1"/>
    <col min="20" max="34" width="13.57421875" style="209" customWidth="1"/>
    <col min="35" max="35" width="2.57421875" style="211" customWidth="1"/>
    <col min="36" max="36" width="16.140625" style="209" customWidth="1"/>
    <col min="37" max="38" width="12.7109375" style="209" customWidth="1"/>
    <col min="39" max="39" width="14.00390625" style="209" customWidth="1"/>
    <col min="40" max="40" width="15.57421875" style="209" customWidth="1"/>
    <col min="41" max="41" width="21.57421875" style="209" customWidth="1"/>
    <col min="42" max="42" width="13.140625" style="209" customWidth="1"/>
    <col min="43" max="45" width="9.140625" style="209" customWidth="1"/>
    <col min="46" max="46" width="10.00390625" style="209" customWidth="1"/>
    <col min="47" max="47" width="13.421875" style="209" customWidth="1"/>
    <col min="48" max="49" width="12.7109375" style="209" customWidth="1"/>
    <col min="50" max="50" width="13.8515625" style="209" customWidth="1"/>
    <col min="51" max="51" width="15.57421875" style="209" bestFit="1" customWidth="1"/>
    <col min="52" max="52" width="9.140625" style="209" customWidth="1"/>
    <col min="53" max="56" width="13.7109375" style="209" customWidth="1"/>
    <col min="57" max="16384" width="9.140625" style="209" customWidth="1"/>
  </cols>
  <sheetData>
    <row r="1" ht="12.75"/>
    <row r="2" spans="1:9" s="204" customFormat="1" ht="18">
      <c r="A2" s="203" t="s">
        <v>607</v>
      </c>
      <c r="G2" s="205"/>
      <c r="I2" s="200" t="s">
        <v>691</v>
      </c>
    </row>
    <row r="3" ht="12.75">
      <c r="A3" s="207">
        <f>IF('ERR &amp; Sensitivity Analysis'!$I$12="y",IF('ERR &amp; Sensitivity Analysis'!$I$16="y","","Note: Current calculations are based on user input and are not the original MCC estimates"),"Note: Current calculations are based on user input and are not the original MCC estimates")</f>
      </c>
    </row>
    <row r="4" spans="1:43" ht="18">
      <c r="A4" s="212" t="s">
        <v>284</v>
      </c>
      <c r="B4" s="213"/>
      <c r="F4" s="214"/>
      <c r="G4" s="215"/>
      <c r="AH4" s="216"/>
      <c r="AI4" s="217"/>
      <c r="AJ4" s="211"/>
      <c r="AK4" s="211"/>
      <c r="AL4" s="218"/>
      <c r="AM4" s="218"/>
      <c r="AN4" s="211"/>
      <c r="AO4" s="211"/>
      <c r="AP4" s="211"/>
      <c r="AQ4" s="211"/>
    </row>
    <row r="5" spans="1:52" ht="13.5" thickBot="1">
      <c r="A5" s="219"/>
      <c r="F5" s="214"/>
      <c r="G5" s="215"/>
      <c r="J5" s="220"/>
      <c r="K5" s="216"/>
      <c r="N5" s="216"/>
      <c r="Q5" s="216"/>
      <c r="T5" s="216"/>
      <c r="W5" s="221"/>
      <c r="Z5" s="216"/>
      <c r="AC5" s="216"/>
      <c r="AF5" s="216"/>
      <c r="AH5" s="216"/>
      <c r="AI5" s="217"/>
      <c r="AJ5" s="211"/>
      <c r="AK5" s="211"/>
      <c r="AL5" s="218"/>
      <c r="AM5" s="218"/>
      <c r="AN5" s="211"/>
      <c r="AO5" s="211"/>
      <c r="AP5" s="211"/>
      <c r="AQ5" s="211"/>
      <c r="AZ5" s="222"/>
    </row>
    <row r="6" spans="3:52" ht="12.75">
      <c r="C6" s="210"/>
      <c r="D6" s="823" t="s">
        <v>552</v>
      </c>
      <c r="E6" s="819">
        <f>K41</f>
        <v>0.12602247827057966</v>
      </c>
      <c r="G6" s="215"/>
      <c r="J6" s="220"/>
      <c r="K6" s="216"/>
      <c r="N6" s="216"/>
      <c r="Q6" s="216"/>
      <c r="T6" s="216"/>
      <c r="W6" s="221"/>
      <c r="Z6" s="216"/>
      <c r="AC6" s="216"/>
      <c r="AF6" s="216"/>
      <c r="AH6" s="216"/>
      <c r="AI6" s="217"/>
      <c r="AJ6" s="211"/>
      <c r="AK6" s="211"/>
      <c r="AL6" s="218"/>
      <c r="AM6" s="218"/>
      <c r="AN6" s="211"/>
      <c r="AO6" s="211"/>
      <c r="AP6" s="211"/>
      <c r="AQ6" s="211"/>
      <c r="AZ6" s="222"/>
    </row>
    <row r="7" spans="1:52" ht="12.75">
      <c r="A7" s="210"/>
      <c r="C7" s="210"/>
      <c r="D7" s="824" t="s">
        <v>690</v>
      </c>
      <c r="E7" s="820"/>
      <c r="G7" s="215"/>
      <c r="J7" s="220"/>
      <c r="N7" s="216"/>
      <c r="Q7" s="216"/>
      <c r="T7" s="216"/>
      <c r="W7" s="221"/>
      <c r="Z7" s="216"/>
      <c r="AC7" s="216"/>
      <c r="AF7" s="216"/>
      <c r="AH7" s="216"/>
      <c r="AI7" s="217"/>
      <c r="AJ7" s="211"/>
      <c r="AK7" s="211"/>
      <c r="AL7" s="218"/>
      <c r="AM7" s="218"/>
      <c r="AN7" s="211"/>
      <c r="AO7" s="211"/>
      <c r="AP7" s="211"/>
      <c r="AQ7" s="211"/>
      <c r="AZ7" s="222"/>
    </row>
    <row r="8" spans="1:52" ht="12.75">
      <c r="A8" s="210"/>
      <c r="B8" s="210"/>
      <c r="C8" s="210"/>
      <c r="D8" s="824" t="s">
        <v>547</v>
      </c>
      <c r="E8" s="821">
        <f>'ERR &amp; Sensitivity Analysis'!G12</f>
        <v>1</v>
      </c>
      <c r="G8" s="215"/>
      <c r="J8" s="220"/>
      <c r="K8" s="216"/>
      <c r="N8" s="216"/>
      <c r="Q8" s="216"/>
      <c r="T8" s="216"/>
      <c r="W8" s="221"/>
      <c r="Z8" s="216"/>
      <c r="AC8" s="216"/>
      <c r="AF8" s="216"/>
      <c r="AH8" s="216"/>
      <c r="AI8" s="217"/>
      <c r="AJ8" s="211"/>
      <c r="AK8" s="211"/>
      <c r="AL8" s="218"/>
      <c r="AM8" s="218"/>
      <c r="AN8" s="211"/>
      <c r="AO8" s="211"/>
      <c r="AP8" s="211"/>
      <c r="AQ8" s="211"/>
      <c r="AZ8" s="222"/>
    </row>
    <row r="9" spans="1:52" ht="12.75">
      <c r="A9" s="210"/>
      <c r="B9" s="210"/>
      <c r="C9" s="210"/>
      <c r="D9" s="824" t="s">
        <v>548</v>
      </c>
      <c r="E9" s="821">
        <f>'ERR &amp; Sensitivity Analysis'!G13</f>
        <v>1</v>
      </c>
      <c r="G9" s="215"/>
      <c r="J9" s="220"/>
      <c r="K9" s="216"/>
      <c r="N9" s="216"/>
      <c r="Q9" s="216"/>
      <c r="T9" s="216"/>
      <c r="W9" s="221"/>
      <c r="Z9" s="216"/>
      <c r="AC9" s="216"/>
      <c r="AF9" s="216"/>
      <c r="AH9" s="216"/>
      <c r="AI9" s="217"/>
      <c r="AJ9" s="211"/>
      <c r="AK9" s="211"/>
      <c r="AL9" s="218"/>
      <c r="AM9" s="218"/>
      <c r="AN9" s="211"/>
      <c r="AO9" s="211"/>
      <c r="AP9" s="211"/>
      <c r="AQ9" s="211"/>
      <c r="AZ9" s="222"/>
    </row>
    <row r="10" spans="1:52" ht="12.75">
      <c r="A10" s="210"/>
      <c r="B10" s="210"/>
      <c r="C10" s="210"/>
      <c r="D10" s="824"/>
      <c r="E10" s="820"/>
      <c r="G10" s="215"/>
      <c r="J10" s="220"/>
      <c r="K10" s="216"/>
      <c r="N10" s="216"/>
      <c r="Q10" s="216"/>
      <c r="T10" s="216"/>
      <c r="W10" s="221"/>
      <c r="Z10" s="216"/>
      <c r="AC10" s="216"/>
      <c r="AF10" s="216"/>
      <c r="AH10" s="216"/>
      <c r="AI10" s="217"/>
      <c r="AJ10" s="211"/>
      <c r="AK10" s="211"/>
      <c r="AL10" s="218"/>
      <c r="AM10" s="218"/>
      <c r="AN10" s="211"/>
      <c r="AO10" s="211"/>
      <c r="AP10" s="211"/>
      <c r="AQ10" s="211"/>
      <c r="AZ10" s="222"/>
    </row>
    <row r="11" spans="2:52" ht="12.75">
      <c r="B11" s="224"/>
      <c r="C11" s="224"/>
      <c r="D11" s="825" t="s">
        <v>549</v>
      </c>
      <c r="E11" s="820">
        <v>1.01</v>
      </c>
      <c r="G11" s="215"/>
      <c r="J11" s="220"/>
      <c r="K11" s="216"/>
      <c r="N11" s="216"/>
      <c r="Q11" s="216"/>
      <c r="T11" s="216"/>
      <c r="W11" s="221"/>
      <c r="Z11" s="216"/>
      <c r="AC11" s="216"/>
      <c r="AF11" s="216"/>
      <c r="AH11" s="216"/>
      <c r="AI11" s="217"/>
      <c r="AJ11" s="211"/>
      <c r="AK11" s="211"/>
      <c r="AL11" s="218"/>
      <c r="AM11" s="218"/>
      <c r="AN11" s="211"/>
      <c r="AO11" s="211"/>
      <c r="AP11" s="211"/>
      <c r="AQ11" s="211"/>
      <c r="AZ11" s="222"/>
    </row>
    <row r="12" spans="2:52" ht="12.75">
      <c r="B12" s="224"/>
      <c r="C12" s="224"/>
      <c r="D12" s="825" t="s">
        <v>550</v>
      </c>
      <c r="E12" s="820">
        <v>0.99</v>
      </c>
      <c r="G12" s="215"/>
      <c r="J12" s="220"/>
      <c r="K12" s="216"/>
      <c r="N12" s="216"/>
      <c r="Q12" s="216"/>
      <c r="T12" s="216"/>
      <c r="W12" s="221"/>
      <c r="Z12" s="216"/>
      <c r="AC12" s="216"/>
      <c r="AF12" s="216"/>
      <c r="AH12" s="216"/>
      <c r="AI12" s="217"/>
      <c r="AJ12" s="211"/>
      <c r="AK12" s="211"/>
      <c r="AL12" s="218"/>
      <c r="AM12" s="218"/>
      <c r="AN12" s="211"/>
      <c r="AO12" s="211"/>
      <c r="AP12" s="211"/>
      <c r="AQ12" s="211"/>
      <c r="AZ12" s="222"/>
    </row>
    <row r="13" spans="1:43" ht="13.5" thickBot="1">
      <c r="A13" s="210"/>
      <c r="B13" s="210"/>
      <c r="C13" s="210"/>
      <c r="D13" s="826"/>
      <c r="E13" s="822"/>
      <c r="G13" s="215"/>
      <c r="J13" s="22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217"/>
      <c r="AJ13" s="211"/>
      <c r="AK13" s="211"/>
      <c r="AL13" s="218"/>
      <c r="AM13" s="218"/>
      <c r="AN13" s="211"/>
      <c r="AO13" s="211"/>
      <c r="AP13" s="211"/>
      <c r="AQ13" s="211"/>
    </row>
    <row r="14" spans="1:52" ht="13.5" thickBot="1">
      <c r="A14" s="225" t="s">
        <v>551</v>
      </c>
      <c r="B14" s="224"/>
      <c r="C14" s="224"/>
      <c r="D14" s="224"/>
      <c r="E14" s="226"/>
      <c r="F14" s="226"/>
      <c r="G14" s="226"/>
      <c r="J14" s="214" t="s">
        <v>485</v>
      </c>
      <c r="K14" s="814">
        <f>'Subproject Data'!H17</f>
        <v>0.111062335381914</v>
      </c>
      <c r="L14" s="815"/>
      <c r="M14" s="815"/>
      <c r="N14" s="814">
        <f>'Subproject Data'!H16</f>
        <v>0.138718173836699</v>
      </c>
      <c r="O14" s="815"/>
      <c r="P14" s="815"/>
      <c r="Q14" s="814">
        <f>'Subproject Data'!H19</f>
        <v>0.11369622475856</v>
      </c>
      <c r="R14" s="815"/>
      <c r="S14" s="816"/>
      <c r="T14" s="814">
        <f>'Subproject Data'!H14</f>
        <v>0.175935579455663</v>
      </c>
      <c r="U14" s="815"/>
      <c r="V14" s="815"/>
      <c r="W14" s="814">
        <f>'Subproject Data'!H13</f>
        <v>0.120376975417032</v>
      </c>
      <c r="X14" s="815"/>
      <c r="Y14" s="815"/>
      <c r="Z14" s="814">
        <f>'Subproject Data'!H11</f>
        <v>0.232660228270413</v>
      </c>
      <c r="AA14" s="815"/>
      <c r="AB14" s="815"/>
      <c r="AC14" s="814">
        <f>'Subproject Data'!H12</f>
        <v>0.062774363476734</v>
      </c>
      <c r="AD14" s="815"/>
      <c r="AE14" s="815"/>
      <c r="AF14" s="814">
        <f>'Subproject Data'!H15</f>
        <v>0.0447761194029851</v>
      </c>
      <c r="AG14" s="815"/>
      <c r="AH14" s="814"/>
      <c r="AI14" s="817"/>
      <c r="AJ14" s="818"/>
      <c r="AK14" s="211"/>
      <c r="AL14" s="218"/>
      <c r="AM14" s="218"/>
      <c r="AN14" s="211"/>
      <c r="AO14" s="211"/>
      <c r="AP14" s="211"/>
      <c r="AQ14" s="211"/>
      <c r="AZ14" s="222"/>
    </row>
    <row r="15" spans="1:58" s="228" customFormat="1" ht="12.75" customHeight="1" thickBot="1">
      <c r="A15" s="874" t="s">
        <v>666</v>
      </c>
      <c r="B15" s="921" t="s">
        <v>667</v>
      </c>
      <c r="C15" s="882" t="s">
        <v>484</v>
      </c>
      <c r="D15" s="874" t="s">
        <v>483</v>
      </c>
      <c r="E15" s="908" t="s">
        <v>482</v>
      </c>
      <c r="F15" s="909"/>
      <c r="G15" s="910"/>
      <c r="H15" s="874" t="s">
        <v>683</v>
      </c>
      <c r="I15" s="874" t="s">
        <v>684</v>
      </c>
      <c r="J15" s="882" t="s">
        <v>686</v>
      </c>
      <c r="K15" s="882" t="s">
        <v>687</v>
      </c>
      <c r="L15" s="928" t="s">
        <v>507</v>
      </c>
      <c r="M15" s="938" t="s">
        <v>249</v>
      </c>
      <c r="N15" s="939"/>
      <c r="O15" s="940"/>
      <c r="P15" s="938" t="s">
        <v>495</v>
      </c>
      <c r="Q15" s="939"/>
      <c r="R15" s="940"/>
      <c r="S15" s="938" t="s">
        <v>259</v>
      </c>
      <c r="T15" s="939"/>
      <c r="U15" s="940"/>
      <c r="V15" s="944" t="s">
        <v>144</v>
      </c>
      <c r="W15" s="944"/>
      <c r="X15" s="944"/>
      <c r="Y15" s="944"/>
      <c r="Z15" s="944"/>
      <c r="AA15" s="945"/>
      <c r="AB15" s="957" t="s">
        <v>145</v>
      </c>
      <c r="AC15" s="944"/>
      <c r="AD15" s="944"/>
      <c r="AE15" s="944"/>
      <c r="AF15" s="944"/>
      <c r="AG15" s="945"/>
      <c r="AH15" s="876" t="s">
        <v>258</v>
      </c>
      <c r="AI15" s="926"/>
      <c r="AJ15" s="927"/>
      <c r="AK15" s="227"/>
      <c r="AL15" s="962" t="s">
        <v>508</v>
      </c>
      <c r="AM15" s="870"/>
      <c r="AN15" s="870"/>
      <c r="AO15" s="870"/>
      <c r="AP15" s="870"/>
      <c r="AQ15" s="882" t="s">
        <v>510</v>
      </c>
      <c r="AR15" s="882" t="s">
        <v>511</v>
      </c>
      <c r="AS15" s="869" t="s">
        <v>509</v>
      </c>
      <c r="AT15" s="870"/>
      <c r="AU15" s="870"/>
      <c r="AV15" s="884"/>
      <c r="AW15" s="869" t="s">
        <v>506</v>
      </c>
      <c r="AX15" s="870"/>
      <c r="AY15" s="870"/>
      <c r="AZ15" s="870"/>
      <c r="BA15" s="870"/>
      <c r="BB15" s="871" t="s">
        <v>532</v>
      </c>
      <c r="BC15" s="872"/>
      <c r="BD15" s="872"/>
      <c r="BE15" s="872"/>
      <c r="BF15" s="873"/>
    </row>
    <row r="16" spans="1:58" s="232" customFormat="1" ht="48" customHeight="1" thickBot="1">
      <c r="A16" s="907"/>
      <c r="B16" s="922"/>
      <c r="C16" s="907"/>
      <c r="D16" s="907"/>
      <c r="E16" s="229" t="s">
        <v>202</v>
      </c>
      <c r="F16" s="230" t="s">
        <v>203</v>
      </c>
      <c r="G16" s="231" t="s">
        <v>204</v>
      </c>
      <c r="H16" s="907"/>
      <c r="I16" s="907"/>
      <c r="J16" s="907"/>
      <c r="K16" s="907"/>
      <c r="L16" s="929"/>
      <c r="M16" s="941"/>
      <c r="N16" s="942"/>
      <c r="O16" s="943"/>
      <c r="P16" s="941"/>
      <c r="Q16" s="942"/>
      <c r="R16" s="943"/>
      <c r="S16" s="941"/>
      <c r="T16" s="942"/>
      <c r="U16" s="943"/>
      <c r="V16" s="926" t="s">
        <v>498</v>
      </c>
      <c r="W16" s="926"/>
      <c r="X16" s="927"/>
      <c r="Y16" s="876" t="s">
        <v>499</v>
      </c>
      <c r="Z16" s="926"/>
      <c r="AA16" s="927"/>
      <c r="AB16" s="954" t="s">
        <v>383</v>
      </c>
      <c r="AC16" s="955"/>
      <c r="AD16" s="956"/>
      <c r="AE16" s="876" t="s">
        <v>410</v>
      </c>
      <c r="AF16" s="926"/>
      <c r="AG16" s="927"/>
      <c r="AH16" s="958"/>
      <c r="AI16" s="942"/>
      <c r="AJ16" s="959"/>
      <c r="AK16" s="227"/>
      <c r="AL16" s="960" t="s">
        <v>202</v>
      </c>
      <c r="AM16" s="878" t="s">
        <v>203</v>
      </c>
      <c r="AN16" s="878" t="s">
        <v>204</v>
      </c>
      <c r="AO16" s="878" t="s">
        <v>136</v>
      </c>
      <c r="AP16" s="878" t="s">
        <v>505</v>
      </c>
      <c r="AQ16" s="875"/>
      <c r="AR16" s="875"/>
      <c r="AS16" s="878" t="s">
        <v>202</v>
      </c>
      <c r="AT16" s="878" t="s">
        <v>203</v>
      </c>
      <c r="AU16" s="878" t="s">
        <v>204</v>
      </c>
      <c r="AV16" s="878" t="s">
        <v>136</v>
      </c>
      <c r="AW16" s="878" t="s">
        <v>202</v>
      </c>
      <c r="AX16" s="878" t="s">
        <v>203</v>
      </c>
      <c r="AY16" s="878" t="s">
        <v>204</v>
      </c>
      <c r="AZ16" s="878" t="s">
        <v>136</v>
      </c>
      <c r="BA16" s="876" t="s">
        <v>505</v>
      </c>
      <c r="BB16" s="874" t="str">
        <f>B15</f>
        <v>Calendar Year</v>
      </c>
      <c r="BC16" s="880" t="s">
        <v>537</v>
      </c>
      <c r="BD16" s="880" t="s">
        <v>538</v>
      </c>
      <c r="BE16" s="880" t="s">
        <v>539</v>
      </c>
      <c r="BF16" s="880" t="s">
        <v>540</v>
      </c>
    </row>
    <row r="17" spans="1:58" ht="25.5" customHeight="1" thickBot="1">
      <c r="A17" s="233"/>
      <c r="B17" s="234"/>
      <c r="C17" s="227"/>
      <c r="D17" s="235"/>
      <c r="E17" s="227"/>
      <c r="F17" s="236"/>
      <c r="G17" s="227"/>
      <c r="H17" s="236"/>
      <c r="I17" s="227"/>
      <c r="J17" s="227"/>
      <c r="K17" s="227"/>
      <c r="L17" s="233"/>
      <c r="M17" s="237" t="s">
        <v>503</v>
      </c>
      <c r="N17" s="237" t="s">
        <v>501</v>
      </c>
      <c r="O17" s="238" t="s">
        <v>502</v>
      </c>
      <c r="P17" s="237" t="s">
        <v>503</v>
      </c>
      <c r="Q17" s="237" t="s">
        <v>501</v>
      </c>
      <c r="R17" s="238" t="s">
        <v>502</v>
      </c>
      <c r="S17" s="237" t="s">
        <v>503</v>
      </c>
      <c r="T17" s="237" t="s">
        <v>501</v>
      </c>
      <c r="U17" s="238" t="s">
        <v>502</v>
      </c>
      <c r="V17" s="237" t="s">
        <v>503</v>
      </c>
      <c r="W17" s="237" t="s">
        <v>501</v>
      </c>
      <c r="X17" s="238" t="s">
        <v>502</v>
      </c>
      <c r="Y17" s="237" t="s">
        <v>503</v>
      </c>
      <c r="Z17" s="237" t="s">
        <v>501</v>
      </c>
      <c r="AA17" s="237" t="s">
        <v>502</v>
      </c>
      <c r="AB17" s="239" t="s">
        <v>503</v>
      </c>
      <c r="AC17" s="239" t="s">
        <v>501</v>
      </c>
      <c r="AD17" s="239" t="s">
        <v>502</v>
      </c>
      <c r="AE17" s="240" t="s">
        <v>503</v>
      </c>
      <c r="AF17" s="241" t="s">
        <v>501</v>
      </c>
      <c r="AG17" s="242" t="s">
        <v>502</v>
      </c>
      <c r="AH17" s="240" t="s">
        <v>503</v>
      </c>
      <c r="AI17" s="241" t="s">
        <v>501</v>
      </c>
      <c r="AJ17" s="242" t="s">
        <v>502</v>
      </c>
      <c r="AK17" s="211"/>
      <c r="AL17" s="961"/>
      <c r="AM17" s="879"/>
      <c r="AN17" s="879"/>
      <c r="AO17" s="879"/>
      <c r="AP17" s="879"/>
      <c r="AQ17" s="883"/>
      <c r="AR17" s="883"/>
      <c r="AS17" s="879"/>
      <c r="AT17" s="879"/>
      <c r="AU17" s="879"/>
      <c r="AV17" s="879"/>
      <c r="AW17" s="879"/>
      <c r="AX17" s="879"/>
      <c r="AY17" s="879"/>
      <c r="AZ17" s="879"/>
      <c r="BA17" s="877"/>
      <c r="BB17" s="875"/>
      <c r="BC17" s="881"/>
      <c r="BD17" s="881"/>
      <c r="BE17" s="881"/>
      <c r="BF17" s="881"/>
    </row>
    <row r="18" spans="1:58" ht="13.5" thickBot="1">
      <c r="A18" s="243">
        <v>0</v>
      </c>
      <c r="B18" s="234">
        <v>2010</v>
      </c>
      <c r="C18" s="244">
        <f aca="true" t="shared" si="0" ref="C18:C23">E18*(100%+$G$89)+SUM(F18:G18)</f>
        <v>-450512083.65000004</v>
      </c>
      <c r="D18" s="245">
        <f aca="true" t="shared" si="1" ref="D18:D23">$E$8*SUM(E18:G18)</f>
        <v>-419133160.9615385</v>
      </c>
      <c r="E18" s="246">
        <v>-313789226.8846154</v>
      </c>
      <c r="F18" s="245">
        <v>-58288164.84615385</v>
      </c>
      <c r="G18" s="246">
        <v>-47055769.23076923</v>
      </c>
      <c r="H18" s="245">
        <v>0</v>
      </c>
      <c r="I18" s="246">
        <f>H18/'Assumptions &amp; Data'!$P$56</f>
        <v>0</v>
      </c>
      <c r="J18" s="246">
        <f aca="true" t="shared" si="2" ref="J18:J38">(SUM(M18:AJ18)+BA18-H18+(H18))-(D18/$E$8)+D18-(H18/$E$9)+H18</f>
        <v>-343595160.57307696</v>
      </c>
      <c r="K18" s="246">
        <f>J18/'Assumptions &amp; Data'!$P$56</f>
        <v>-7389143.238130688</v>
      </c>
      <c r="L18" s="247"/>
      <c r="M18" s="235"/>
      <c r="N18" s="235"/>
      <c r="O18" s="247"/>
      <c r="P18" s="248"/>
      <c r="Q18" s="249"/>
      <c r="R18" s="250"/>
      <c r="S18" s="248"/>
      <c r="T18" s="248"/>
      <c r="U18" s="250"/>
      <c r="V18" s="248"/>
      <c r="W18" s="248"/>
      <c r="X18" s="250"/>
      <c r="Y18" s="248"/>
      <c r="Z18" s="248"/>
      <c r="AA18" s="250"/>
      <c r="AB18" s="251"/>
      <c r="AC18" s="251"/>
      <c r="AD18" s="251"/>
      <c r="AE18" s="251"/>
      <c r="AF18" s="251"/>
      <c r="AG18" s="252"/>
      <c r="AH18" s="251"/>
      <c r="AI18" s="251"/>
      <c r="AJ18" s="251"/>
      <c r="AK18" s="253"/>
      <c r="AL18" s="254">
        <v>-86476923.07692307</v>
      </c>
      <c r="AM18" s="254">
        <v>-11792307.692307694</v>
      </c>
      <c r="AN18" s="254">
        <v>0</v>
      </c>
      <c r="AO18" s="254">
        <f>SUM(AK18:AM18)</f>
        <v>-98269230.76923077</v>
      </c>
      <c r="AP18" s="254">
        <f>AL18*(1+$G$89)+SUM(AM18:AN18)</f>
        <v>-106916923.07692309</v>
      </c>
      <c r="AQ18" s="254"/>
      <c r="AR18" s="254"/>
      <c r="AS18" s="255">
        <f aca="true" t="shared" si="3" ref="AS18:AU21">AL18/$AP18</f>
        <v>0.8088235294117646</v>
      </c>
      <c r="AT18" s="255">
        <f t="shared" si="3"/>
        <v>0.11029411764705883</v>
      </c>
      <c r="AU18" s="255">
        <f t="shared" si="3"/>
        <v>0</v>
      </c>
      <c r="AV18" s="256">
        <f>AP18/$AP18</f>
        <v>1</v>
      </c>
      <c r="AW18" s="257">
        <f aca="true" t="shared" si="4" ref="AW18:AY23">E18-AL18</f>
        <v>-227312303.80769235</v>
      </c>
      <c r="AX18" s="257">
        <f t="shared" si="4"/>
        <v>-46495857.15384615</v>
      </c>
      <c r="AY18" s="257">
        <f t="shared" si="4"/>
        <v>-47055769.23076923</v>
      </c>
      <c r="AZ18" s="257">
        <f>SUM(AW18:AY18)</f>
        <v>-320863930.1923077</v>
      </c>
      <c r="BA18" s="258">
        <f>AW18*(1+$G$89)+SUM(AX18:AY18)</f>
        <v>-343595160.57307696</v>
      </c>
      <c r="BB18" s="259">
        <f aca="true" t="shared" si="5" ref="BB18:BB38">B18</f>
        <v>2010</v>
      </c>
      <c r="BC18" s="260">
        <f>H18/'Assumptions &amp; Data'!$I$87/10^6</f>
        <v>0</v>
      </c>
      <c r="BD18" s="260">
        <f aca="true" t="shared" si="6" ref="BD18:BD38">BC18/(1+$BB$45)^(BB18-$BB$18)</f>
        <v>0</v>
      </c>
      <c r="BE18" s="260">
        <f>-C18/'Assumptions &amp; Data'!$I$87/10^6</f>
        <v>16.36750990123789</v>
      </c>
      <c r="BF18" s="260">
        <f aca="true" t="shared" si="7" ref="BF18:BF38">BE18/(1+$BB$45)^(BB18-$BB$18)</f>
        <v>16.36750990123789</v>
      </c>
    </row>
    <row r="19" spans="1:58" ht="13.5" thickBot="1">
      <c r="A19" s="250">
        <v>1</v>
      </c>
      <c r="B19" s="234">
        <v>2011</v>
      </c>
      <c r="C19" s="244">
        <f t="shared" si="0"/>
        <v>-2356826467.9536395</v>
      </c>
      <c r="D19" s="245">
        <f t="shared" si="1"/>
        <v>-2184977645.430385</v>
      </c>
      <c r="E19" s="244">
        <v>-1718488225.2325408</v>
      </c>
      <c r="F19" s="261">
        <v>-153251194.8914809</v>
      </c>
      <c r="G19" s="244">
        <v>-313238225.3063635</v>
      </c>
      <c r="H19" s="245">
        <f>$E$8*$L$19*T48</f>
        <v>0</v>
      </c>
      <c r="I19" s="246">
        <f>H19/'Assumptions &amp; Data'!$P$56</f>
        <v>0</v>
      </c>
      <c r="J19" s="246">
        <f t="shared" si="2"/>
        <v>-2356826467.953641</v>
      </c>
      <c r="K19" s="246">
        <f>J19/'Assumptions &amp; Data'!$P$56</f>
        <v>-50684440.17104604</v>
      </c>
      <c r="L19" s="262">
        <v>850.9406999420679</v>
      </c>
      <c r="M19" s="261">
        <f>$L$19*$K$14*I48*($AS$19*(1+$G$89)+(1-$AS$19))</f>
        <v>-201472744.08516565</v>
      </c>
      <c r="N19" s="261"/>
      <c r="O19" s="263"/>
      <c r="P19" s="261">
        <f>$L$19*$N$14*H48*($AS$19*(1+$G$89)+(1-$AS$19))</f>
        <v>-192914847.30325675</v>
      </c>
      <c r="Q19" s="261"/>
      <c r="R19" s="263"/>
      <c r="S19" s="261">
        <f>$L$19*$Q$14*G48*($AS$19*(1+$G$89)+(1-$AS$19))</f>
        <v>-114962541.93012777</v>
      </c>
      <c r="T19" s="261"/>
      <c r="U19" s="263"/>
      <c r="V19" s="261">
        <f>$L$19*$T$14*E48*($AS$19*(1+$G$89)+(1-$AS$19))</f>
        <v>-194141500.48507705</v>
      </c>
      <c r="W19" s="261"/>
      <c r="X19" s="263"/>
      <c r="Y19" s="261">
        <f>$L$19*$W$14*F48*($AS$19*(1+$G$89)+(1-$AS$19))</f>
        <v>-151247315.92619696</v>
      </c>
      <c r="Z19" s="261"/>
      <c r="AA19" s="263"/>
      <c r="AB19" s="261">
        <f>$L$19*$Z$14*C48*($AS$19*(1+$G$89)+(1-$AS$19))</f>
        <v>-557714465.2879068</v>
      </c>
      <c r="AC19" s="261"/>
      <c r="AD19" s="261"/>
      <c r="AE19" s="261">
        <f>$L$19*$AC$14*D48*($AS$19*(1+$G$89)+(1-$AS$19))</f>
        <v>-498652659.9112648</v>
      </c>
      <c r="AF19" s="261"/>
      <c r="AG19" s="263"/>
      <c r="AH19" s="261">
        <f>$L$19*$AF$14*B48*($AS$19*(1+$G$89)+(1-$AS$19))</f>
        <v>-15542935.849095795</v>
      </c>
      <c r="AI19" s="261"/>
      <c r="AJ19" s="261"/>
      <c r="AK19" s="253"/>
      <c r="AL19" s="261">
        <v>-1440895836.4092722</v>
      </c>
      <c r="AM19" s="261">
        <v>-53484423.446035735</v>
      </c>
      <c r="AN19" s="261">
        <v>-288179167.28185445</v>
      </c>
      <c r="AO19" s="261">
        <f>SUM(AK19:AM19)</f>
        <v>-1494380259.8553078</v>
      </c>
      <c r="AP19" s="261">
        <f>AL19*(1+$G$89)+SUM(AM19:AN19)</f>
        <v>-1926649010.7780898</v>
      </c>
      <c r="AQ19" s="261">
        <f>M19+P19+S19+V19+Y19+AB19+AE19+AH19</f>
        <v>-1926649010.7780914</v>
      </c>
      <c r="AR19" s="261">
        <f>AQ19-AP19</f>
        <v>0</v>
      </c>
      <c r="AS19" s="264">
        <f t="shared" si="3"/>
        <v>0.7478766647939455</v>
      </c>
      <c r="AT19" s="264">
        <f t="shared" si="3"/>
        <v>0.027760335767870715</v>
      </c>
      <c r="AU19" s="264">
        <f t="shared" si="3"/>
        <v>0.1495753329587891</v>
      </c>
      <c r="AV19" s="265">
        <f>AP19/$AP19</f>
        <v>1</v>
      </c>
      <c r="AW19" s="245">
        <f t="shared" si="4"/>
        <v>-277592388.82326865</v>
      </c>
      <c r="AX19" s="245">
        <f t="shared" si="4"/>
        <v>-99766771.44544515</v>
      </c>
      <c r="AY19" s="245">
        <f t="shared" si="4"/>
        <v>-25059058.024509072</v>
      </c>
      <c r="AZ19" s="245">
        <f>SUM(AW19:AY19)</f>
        <v>-402418218.2932229</v>
      </c>
      <c r="BA19" s="266">
        <f>AW19*(1+$G$89)+SUM(AX19:AY19)</f>
        <v>-430177457.17554975</v>
      </c>
      <c r="BB19" s="267">
        <f t="shared" si="5"/>
        <v>2011</v>
      </c>
      <c r="BC19" s="268">
        <f>H19/'Assumptions &amp; Data'!$I$87/10^6</f>
        <v>0</v>
      </c>
      <c r="BD19" s="268">
        <f t="shared" si="6"/>
        <v>0</v>
      </c>
      <c r="BE19" s="268">
        <f>-C19/'Assumptions &amp; Data'!$I$87/10^6</f>
        <v>85.62562903351485</v>
      </c>
      <c r="BF19" s="268">
        <f t="shared" si="7"/>
        <v>77.84148093955895</v>
      </c>
    </row>
    <row r="20" spans="1:58" ht="13.5" thickBot="1">
      <c r="A20" s="250">
        <v>2</v>
      </c>
      <c r="B20" s="234">
        <v>2012</v>
      </c>
      <c r="C20" s="244">
        <f t="shared" si="0"/>
        <v>-1453988130.4359183</v>
      </c>
      <c r="D20" s="245">
        <f t="shared" si="1"/>
        <v>-1364531776.5296447</v>
      </c>
      <c r="E20" s="244">
        <v>-894563539.0627357</v>
      </c>
      <c r="F20" s="261">
        <v>-85293207.98036422</v>
      </c>
      <c r="G20" s="244">
        <v>-384675029.4865449</v>
      </c>
      <c r="H20" s="245">
        <f>$E$8*($L$19*T49+$L$20*T48)</f>
        <v>451045879.699215</v>
      </c>
      <c r="I20" s="246">
        <f>H20/'Assumptions &amp; Data'!$P$56</f>
        <v>9699911.391380968</v>
      </c>
      <c r="J20" s="246">
        <f t="shared" si="2"/>
        <v>-1004102042.423569</v>
      </c>
      <c r="K20" s="246">
        <f>J20/'Assumptions &amp; Data'!$P$56</f>
        <v>-21593592.310184278</v>
      </c>
      <c r="L20" s="262">
        <v>473.6293461122204</v>
      </c>
      <c r="M20" s="261">
        <f aca="true" t="shared" si="8" ref="M20:M38">$L$19*$K$14*I49</f>
        <v>9827863.08970268</v>
      </c>
      <c r="N20" s="261">
        <f>$L$20*$K$14*I48*($AS$20*(1+$G$89)+(1-$AS$20))</f>
        <v>-112073515.24358617</v>
      </c>
      <c r="O20" s="263"/>
      <c r="P20" s="261">
        <f aca="true" t="shared" si="9" ref="P20:P38">$L$19*$N$14*H49</f>
        <v>-1159791.6868648292</v>
      </c>
      <c r="Q20" s="261">
        <f>$L$20*$N$14*H48*($AS$20*(1+$G$89)+(1-$AS$20))</f>
        <v>-107313002.4516679</v>
      </c>
      <c r="R20" s="263"/>
      <c r="S20" s="261">
        <f aca="true" t="shared" si="10" ref="S20:S38">$L$19*$Q$14*G49</f>
        <v>17183019.43508752</v>
      </c>
      <c r="T20" s="261">
        <f>$L$20*$Q$14*G48*($AS$20*(1+$G$89)+(1-$AS$20))</f>
        <v>-63950368.34362674</v>
      </c>
      <c r="U20" s="263"/>
      <c r="V20" s="261">
        <f aca="true" t="shared" si="11" ref="V20:V38">$L$19*$T$14*E49</f>
        <v>46874647.419991195</v>
      </c>
      <c r="W20" s="261">
        <f>$L$20*$T$14*E48*($AS$20*(1+$G$89)+(1-$AS$20))</f>
        <v>-107995354.47251108</v>
      </c>
      <c r="X20" s="263"/>
      <c r="Y20" s="261">
        <f aca="true" t="shared" si="12" ref="Y20:Y38">$L$19*$W$14*F49</f>
        <v>30323674.457661923</v>
      </c>
      <c r="Z20" s="261">
        <f>$L$20*$W$14*F48*($AS$20*(1+$G$89)+(1-$AS$20))</f>
        <v>-84134548.54141836</v>
      </c>
      <c r="AA20" s="263"/>
      <c r="AB20" s="261">
        <f aca="true" t="shared" si="13" ref="AB20:AB38">$L$19*$Z$14*C49</f>
        <v>258660404.38171157</v>
      </c>
      <c r="AC20" s="261">
        <f>$L$20*$Z$14*C48*($AS$20*(1+$G$89)+(1-$AS$20))</f>
        <v>-310240578.2520681</v>
      </c>
      <c r="AD20" s="261"/>
      <c r="AE20" s="261">
        <f aca="true" t="shared" si="14" ref="AE20:AE38">$L$19*$AC$14*D49</f>
        <v>78695870.72467078</v>
      </c>
      <c r="AF20" s="261">
        <f>$L$20*$AC$14*D48*($AS$20*(1+$G$89)+(1-$AS$20))</f>
        <v>-277386188.07016474</v>
      </c>
      <c r="AG20" s="263"/>
      <c r="AH20" s="261">
        <f aca="true" t="shared" si="15" ref="AH20:AH38">$L$19*$AF$14*B49</f>
        <v>9480400.190389402</v>
      </c>
      <c r="AI20" s="261">
        <f>$L$20*$AF$14*B48*($AS$20*(1+$G$89)+(1-$AS$20))</f>
        <v>-8646089.900266457</v>
      </c>
      <c r="AJ20" s="261"/>
      <c r="AK20" s="253"/>
      <c r="AL20" s="269">
        <v>-794830837.4051332</v>
      </c>
      <c r="AM20" s="269">
        <v>0</v>
      </c>
      <c r="AN20" s="269">
        <v>-197425724.12966213</v>
      </c>
      <c r="AO20" s="261">
        <f>SUM(AK20:AM20)</f>
        <v>-794830837.4051332</v>
      </c>
      <c r="AP20" s="261">
        <f>AL20*(1+$G$89)+SUM(AM20:AN20)</f>
        <v>-1071739645.2753088</v>
      </c>
      <c r="AQ20" s="261">
        <f>N20+Q20+T20+W20+Z20+AC20+AF20+AI20</f>
        <v>-1071739645.2753096</v>
      </c>
      <c r="AR20" s="261">
        <f>AQ20-AP20</f>
        <v>0</v>
      </c>
      <c r="AS20" s="264">
        <f t="shared" si="3"/>
        <v>0.7416267942583731</v>
      </c>
      <c r="AT20" s="264">
        <f t="shared" si="3"/>
        <v>0</v>
      </c>
      <c r="AU20" s="264">
        <f t="shared" si="3"/>
        <v>0.18421052631578944</v>
      </c>
      <c r="AV20" s="265">
        <f>AP20/$AP20</f>
        <v>1</v>
      </c>
      <c r="AW20" s="245">
        <f t="shared" si="4"/>
        <v>-99732701.65760243</v>
      </c>
      <c r="AX20" s="245">
        <f t="shared" si="4"/>
        <v>-85293207.98036422</v>
      </c>
      <c r="AY20" s="245">
        <f t="shared" si="4"/>
        <v>-187249305.35688278</v>
      </c>
      <c r="AZ20" s="245">
        <f>SUM(AW20:AY20)</f>
        <v>-372275214.99484944</v>
      </c>
      <c r="BA20" s="266">
        <f>AW20*(1+$G$89)+SUM(AX20:AY20)</f>
        <v>-382248485.1606097</v>
      </c>
      <c r="BB20" s="267">
        <f t="shared" si="5"/>
        <v>2012</v>
      </c>
      <c r="BC20" s="268">
        <f>H20/'Assumptions &amp; Data'!$I$87/10^6</f>
        <v>16.386903192645264</v>
      </c>
      <c r="BD20" s="268">
        <f t="shared" si="6"/>
        <v>13.542895200533273</v>
      </c>
      <c r="BE20" s="268">
        <f>-C20/'Assumptions &amp; Data'!$I$87/10^6</f>
        <v>52.824698792498765</v>
      </c>
      <c r="BF20" s="268">
        <f t="shared" si="7"/>
        <v>43.65677586156922</v>
      </c>
    </row>
    <row r="21" spans="1:58" ht="13.5" thickBot="1">
      <c r="A21" s="250">
        <v>3</v>
      </c>
      <c r="B21" s="234">
        <v>2013</v>
      </c>
      <c r="C21" s="244">
        <f t="shared" si="0"/>
        <v>-2184742597.5632515</v>
      </c>
      <c r="D21" s="245">
        <f t="shared" si="1"/>
        <v>-2046036744.1500573</v>
      </c>
      <c r="E21" s="244">
        <v>-1387058534.131943</v>
      </c>
      <c r="F21" s="261">
        <v>-98970293.50674587</v>
      </c>
      <c r="G21" s="244">
        <v>-560007916.5113684</v>
      </c>
      <c r="H21" s="245">
        <f aca="true" t="shared" si="16" ref="H21:H37">$E$8*($L$19*T50+$L$20*T49+$L$21*T48)</f>
        <v>702095764.941623</v>
      </c>
      <c r="I21" s="246">
        <f>H21/'Assumptions &amp; Data'!$P$56</f>
        <v>15098833.654658558</v>
      </c>
      <c r="J21" s="246">
        <f t="shared" si="2"/>
        <v>-1484452158.5722969</v>
      </c>
      <c r="K21" s="246">
        <f>J21/'Assumptions &amp; Data'!$P$56</f>
        <v>-31923702.334888104</v>
      </c>
      <c r="L21" s="262">
        <v>737.2531368299766</v>
      </c>
      <c r="M21" s="261">
        <f t="shared" si="8"/>
        <v>9827863.08970268</v>
      </c>
      <c r="N21" s="261">
        <f aca="true" t="shared" si="17" ref="N21:N37">$L$20*$K$14*I49</f>
        <v>5470139.539891797</v>
      </c>
      <c r="O21" s="263">
        <f>$L$21*$K$14*I48*($AS$21*(1+$G$89)+(1-$AS$21))</f>
        <v>-174870630.8333332</v>
      </c>
      <c r="P21" s="261">
        <f t="shared" si="9"/>
        <v>-1159791.6868648292</v>
      </c>
      <c r="Q21" s="261">
        <f aca="true" t="shared" si="18" ref="Q21:Q37">$L$20*$N$14*H49</f>
        <v>-645534.2638019021</v>
      </c>
      <c r="R21" s="263">
        <f>$L$21*$N$14*H48*($AS$21*(1+$G$89)+(1-$AS$21))</f>
        <v>-167442703.96583417</v>
      </c>
      <c r="S21" s="261">
        <f t="shared" si="10"/>
        <v>17183019.43508752</v>
      </c>
      <c r="T21" s="261">
        <f aca="true" t="shared" si="19" ref="T21:T37">$L$20*$Q$14*G49</f>
        <v>9563982.848426616</v>
      </c>
      <c r="U21" s="263">
        <f>$L$21*$Q$14*G48*($AS$21*(1+$G$89)+(1-$AS$21))</f>
        <v>-99783086.39617708</v>
      </c>
      <c r="V21" s="261">
        <f t="shared" si="11"/>
        <v>46874647.419991195</v>
      </c>
      <c r="W21" s="261">
        <f aca="true" t="shared" si="20" ref="W21:W38">$L$20*$T$14*E49</f>
        <v>26090194.778887376</v>
      </c>
      <c r="X21" s="263">
        <f>$L$21*$T$14*E48*($AS$21*(1+$G$89)+(1-$AS$21))</f>
        <v>-168507391.97955352</v>
      </c>
      <c r="Y21" s="261">
        <f t="shared" si="12"/>
        <v>30323674.457661923</v>
      </c>
      <c r="Z21" s="261">
        <f aca="true" t="shared" si="21" ref="Z21:Z38">$L$20*$W$14*F49</f>
        <v>16878005.842334293</v>
      </c>
      <c r="AA21" s="263">
        <f>$L$21*$W$14*F48*($AS$21*(1+$G$89)+(1-$AS$21))</f>
        <v>-131276881.4856774</v>
      </c>
      <c r="AB21" s="261">
        <f t="shared" si="13"/>
        <v>258660404.38171157</v>
      </c>
      <c r="AC21" s="261">
        <f aca="true" t="shared" si="22" ref="AC21:AC38">$L$20*$Z$14*C49</f>
        <v>143969089.97392297</v>
      </c>
      <c r="AD21" s="261">
        <f>$L$21*$Z$14*C48*($AS$21*(1+$G$89)+(1-$AS$21))</f>
        <v>-484074810.28076345</v>
      </c>
      <c r="AE21" s="261">
        <f t="shared" si="14"/>
        <v>78695870.72467078</v>
      </c>
      <c r="AF21" s="261">
        <f aca="true" t="shared" si="23" ref="AF21:AF38">$L$20*$AC$14*D49</f>
        <v>43801728.83444778</v>
      </c>
      <c r="AG21" s="263">
        <f>$L$21*$AC$14*D48*($AS$21*(1+$G$89)+(1-$AS$21))</f>
        <v>-432811423.7057384</v>
      </c>
      <c r="AH21" s="261">
        <f t="shared" si="15"/>
        <v>9480400.190389402</v>
      </c>
      <c r="AI21" s="261">
        <f aca="true" t="shared" si="24" ref="AI21:AI37">$L$20*$AF$14*B49</f>
        <v>5276743.424497141</v>
      </c>
      <c r="AJ21" s="261">
        <f>$L$21*$AF$14*B48*($AS$21*(1+$G$89)+(1-$AS$21))</f>
        <v>-13490673.437119955</v>
      </c>
      <c r="AK21" s="253"/>
      <c r="AL21" s="261">
        <v>-1283086059.2994902</v>
      </c>
      <c r="AM21" s="261">
        <v>-8898226.037128538</v>
      </c>
      <c r="AN21" s="261">
        <v>-251964710.81762797</v>
      </c>
      <c r="AO21" s="261">
        <f>SUM(AK21:AM21)</f>
        <v>-1291984285.3366187</v>
      </c>
      <c r="AP21" s="261">
        <f>AL21*(1+$G$89)+SUM(AM21:AN21)</f>
        <v>-1672257602.0841959</v>
      </c>
      <c r="AQ21" s="261">
        <f>O21+R21+U21+X21+AA21+AD21+AG21+AJ21</f>
        <v>-1672257602.084197</v>
      </c>
      <c r="AR21" s="261">
        <f>AQ21-AP21</f>
        <v>0</v>
      </c>
      <c r="AS21" s="264">
        <f t="shared" si="3"/>
        <v>0.7672777553532022</v>
      </c>
      <c r="AT21" s="264">
        <f t="shared" si="3"/>
        <v>0.005321085714329152</v>
      </c>
      <c r="AU21" s="264">
        <f t="shared" si="3"/>
        <v>0.15067338339714834</v>
      </c>
      <c r="AV21" s="265">
        <f>AP21/$AP21</f>
        <v>1</v>
      </c>
      <c r="AW21" s="245">
        <f t="shared" si="4"/>
        <v>-103972474.83245277</v>
      </c>
      <c r="AX21" s="245">
        <f t="shared" si="4"/>
        <v>-90072067.46961734</v>
      </c>
      <c r="AY21" s="245">
        <f t="shared" si="4"/>
        <v>-308043205.6937404</v>
      </c>
      <c r="AZ21" s="245">
        <f>SUM(AW21:AY21)</f>
        <v>-502087747.9958105</v>
      </c>
      <c r="BA21" s="266">
        <f>AW21*(1+$G$89)+SUM(AX21:AY21)</f>
        <v>-512484995.47905576</v>
      </c>
      <c r="BB21" s="267">
        <f t="shared" si="5"/>
        <v>2013</v>
      </c>
      <c r="BC21" s="268">
        <f>H21/'Assumptions &amp; Data'!$I$87/10^6</f>
        <v>25.507771714347452</v>
      </c>
      <c r="BD21" s="268">
        <f t="shared" si="6"/>
        <v>19.16436642700785</v>
      </c>
      <c r="BE21" s="268">
        <f>-C21/'Assumptions &amp; Data'!$I$87/10^6</f>
        <v>79.37366697816142</v>
      </c>
      <c r="BF21" s="268">
        <f t="shared" si="7"/>
        <v>59.63461080252547</v>
      </c>
    </row>
    <row r="22" spans="1:58" ht="12.75">
      <c r="A22" s="250">
        <v>4</v>
      </c>
      <c r="B22" s="234">
        <v>2014</v>
      </c>
      <c r="C22" s="244">
        <f t="shared" si="0"/>
        <v>-888556545.8819772</v>
      </c>
      <c r="D22" s="245">
        <f t="shared" si="1"/>
        <v>-835386820.9738586</v>
      </c>
      <c r="E22" s="244">
        <v>-531697249.08118623</v>
      </c>
      <c r="F22" s="261">
        <v>-74712828.13650122</v>
      </c>
      <c r="G22" s="244">
        <v>-228976743.7561711</v>
      </c>
      <c r="H22" s="245">
        <f t="shared" si="16"/>
        <v>1092880915.640281</v>
      </c>
      <c r="I22" s="246">
        <f>H22/'Assumptions &amp; Data'!$P$56</f>
        <v>23502815.39011357</v>
      </c>
      <c r="J22" s="246">
        <f t="shared" si="2"/>
        <v>844728827.8296976</v>
      </c>
      <c r="K22" s="246">
        <f>J22/'Assumptions &amp; Data'!$P$56</f>
        <v>18166211.35117629</v>
      </c>
      <c r="L22" s="250"/>
      <c r="M22" s="261">
        <f t="shared" si="8"/>
        <v>9827863.08970268</v>
      </c>
      <c r="N22" s="261">
        <f t="shared" si="17"/>
        <v>5470139.539891797</v>
      </c>
      <c r="O22" s="263">
        <f aca="true" t="shared" si="25" ref="O22:O37">$L$21*$K$14*I49</f>
        <v>8514838.803352725</v>
      </c>
      <c r="P22" s="261">
        <f t="shared" si="9"/>
        <v>-1159791.6868648292</v>
      </c>
      <c r="Q22" s="261">
        <f t="shared" si="18"/>
        <v>-645534.2638019021</v>
      </c>
      <c r="R22" s="263">
        <f aca="true" t="shared" si="26" ref="R22:R37">$L$21*$N$14*H49</f>
        <v>-1004840.9475168338</v>
      </c>
      <c r="S22" s="261">
        <f t="shared" si="10"/>
        <v>17183019.43508752</v>
      </c>
      <c r="T22" s="261">
        <f t="shared" si="19"/>
        <v>9563982.848426616</v>
      </c>
      <c r="U22" s="263">
        <f aca="true" t="shared" si="27" ref="U22:U37">$L$21*$Q$14*G49</f>
        <v>14887329.962700317</v>
      </c>
      <c r="V22" s="261">
        <f t="shared" si="11"/>
        <v>46874647.419991195</v>
      </c>
      <c r="W22" s="261">
        <f t="shared" si="20"/>
        <v>26090194.778887376</v>
      </c>
      <c r="X22" s="263">
        <f aca="true" t="shared" si="28" ref="X22:X38">$L$21*$T$14*E49</f>
        <v>40612090.65513075</v>
      </c>
      <c r="Y22" s="261">
        <f t="shared" si="12"/>
        <v>30323674.457661923</v>
      </c>
      <c r="Z22" s="261">
        <f t="shared" si="21"/>
        <v>16878005.842334293</v>
      </c>
      <c r="AA22" s="263">
        <f aca="true" t="shared" si="29" ref="AA22:AA38">$L$21*$W$14*F49</f>
        <v>26272364.35587616</v>
      </c>
      <c r="AB22" s="261">
        <f t="shared" si="13"/>
        <v>258660404.38171157</v>
      </c>
      <c r="AC22" s="261">
        <f t="shared" si="22"/>
        <v>143969089.97392297</v>
      </c>
      <c r="AD22" s="261">
        <f aca="true" t="shared" si="30" ref="AD22:AD38">$L$21*$Z$14*C49</f>
        <v>224102801.1906233</v>
      </c>
      <c r="AE22" s="261">
        <f t="shared" si="14"/>
        <v>78695870.72467078</v>
      </c>
      <c r="AF22" s="261">
        <f t="shared" si="23"/>
        <v>43801728.83444778</v>
      </c>
      <c r="AG22" s="263">
        <f aca="true" t="shared" si="31" ref="AG22:AG38">$L$21*$AC$14*D49</f>
        <v>68181928.01364394</v>
      </c>
      <c r="AH22" s="261">
        <f t="shared" si="15"/>
        <v>9480400.190389402</v>
      </c>
      <c r="AI22" s="261">
        <f t="shared" si="24"/>
        <v>5276743.424497141</v>
      </c>
      <c r="AJ22" s="261">
        <f aca="true" t="shared" si="32" ref="AJ22:AJ37">$L$21*$AF$14*B49</f>
        <v>8213797.717330873</v>
      </c>
      <c r="AK22" s="253"/>
      <c r="AL22" s="261">
        <v>-477025200.33628935</v>
      </c>
      <c r="AM22" s="261">
        <v>0</v>
      </c>
      <c r="AN22" s="261">
        <v>-118486904.59965895</v>
      </c>
      <c r="AO22" s="261">
        <f>SUM(AK22:AM22)</f>
        <v>-477025200.33628935</v>
      </c>
      <c r="AP22" s="261">
        <f>AL22*(1+$G$89)+SUM(AM22:AN22)</f>
        <v>-643214624.9695773</v>
      </c>
      <c r="AQ22" s="261"/>
      <c r="AR22" s="261"/>
      <c r="AS22" s="248"/>
      <c r="AT22" s="235"/>
      <c r="AU22" s="235"/>
      <c r="AV22" s="247"/>
      <c r="AW22" s="245">
        <f t="shared" si="4"/>
        <v>-54672048.74489689</v>
      </c>
      <c r="AX22" s="245">
        <f t="shared" si="4"/>
        <v>-74712828.13650122</v>
      </c>
      <c r="AY22" s="245">
        <f t="shared" si="4"/>
        <v>-110489839.15651216</v>
      </c>
      <c r="AZ22" s="245">
        <f>SUM(AW22:AY22)</f>
        <v>-239874716.03791028</v>
      </c>
      <c r="BA22" s="266">
        <f>AW22*(1+$G$89)+SUM(AX22:AY22)</f>
        <v>-245341920.91239998</v>
      </c>
      <c r="BB22" s="267">
        <f t="shared" si="5"/>
        <v>2014</v>
      </c>
      <c r="BC22" s="268">
        <f>H22/'Assumptions &amp; Data'!$I$87/10^6</f>
        <v>39.70534832871009</v>
      </c>
      <c r="BD22" s="268">
        <f t="shared" si="6"/>
        <v>27.119287158466005</v>
      </c>
      <c r="BE22" s="268">
        <f>-C22/'Assumptions &amp; Data'!$I$87/10^6</f>
        <v>32.28205988328544</v>
      </c>
      <c r="BF22" s="268">
        <f t="shared" si="7"/>
        <v>22.049081267184913</v>
      </c>
    </row>
    <row r="23" spans="1:58" ht="12.75">
      <c r="A23" s="250">
        <v>5</v>
      </c>
      <c r="B23" s="234">
        <v>2015</v>
      </c>
      <c r="C23" s="244">
        <f t="shared" si="0"/>
        <v>-54627795.95343095</v>
      </c>
      <c r="D23" s="245">
        <f t="shared" si="1"/>
        <v>-52747403.800040066</v>
      </c>
      <c r="E23" s="244">
        <v>-18803921.533908803</v>
      </c>
      <c r="F23" s="261">
        <v>-33943482.26613127</v>
      </c>
      <c r="G23" s="244">
        <v>0</v>
      </c>
      <c r="H23" s="245">
        <f t="shared" si="16"/>
        <v>1092880915.640281</v>
      </c>
      <c r="I23" s="246">
        <f>H23/'Assumptions &amp; Data'!$P$56</f>
        <v>23502815.39011357</v>
      </c>
      <c r="J23" s="246">
        <f t="shared" si="2"/>
        <v>1035442952.7886667</v>
      </c>
      <c r="K23" s="246">
        <f>J23/'Assumptions &amp; Data'!$P$56</f>
        <v>22267590.38255197</v>
      </c>
      <c r="L23" s="250"/>
      <c r="M23" s="261">
        <f t="shared" si="8"/>
        <v>9827863.08970268</v>
      </c>
      <c r="N23" s="261">
        <f t="shared" si="17"/>
        <v>5470139.539891797</v>
      </c>
      <c r="O23" s="263">
        <f t="shared" si="25"/>
        <v>8514838.803352725</v>
      </c>
      <c r="P23" s="261">
        <f t="shared" si="9"/>
        <v>-1159791.6868648292</v>
      </c>
      <c r="Q23" s="261">
        <f t="shared" si="18"/>
        <v>-645534.2638019021</v>
      </c>
      <c r="R23" s="263">
        <f t="shared" si="26"/>
        <v>-1004840.9475168338</v>
      </c>
      <c r="S23" s="261">
        <f t="shared" si="10"/>
        <v>17183019.43508752</v>
      </c>
      <c r="T23" s="261">
        <f t="shared" si="19"/>
        <v>9563982.848426616</v>
      </c>
      <c r="U23" s="263">
        <f t="shared" si="27"/>
        <v>14887329.962700317</v>
      </c>
      <c r="V23" s="261">
        <f t="shared" si="11"/>
        <v>46874647.419991195</v>
      </c>
      <c r="W23" s="261">
        <f t="shared" si="20"/>
        <v>26090194.778887376</v>
      </c>
      <c r="X23" s="263">
        <f t="shared" si="28"/>
        <v>40612090.65513075</v>
      </c>
      <c r="Y23" s="261">
        <f t="shared" si="12"/>
        <v>30323674.457661923</v>
      </c>
      <c r="Z23" s="261">
        <f t="shared" si="21"/>
        <v>16878005.842334293</v>
      </c>
      <c r="AA23" s="263">
        <f t="shared" si="29"/>
        <v>26272364.35587616</v>
      </c>
      <c r="AB23" s="261">
        <f t="shared" si="13"/>
        <v>258660404.38171157</v>
      </c>
      <c r="AC23" s="261">
        <f t="shared" si="22"/>
        <v>143969089.97392297</v>
      </c>
      <c r="AD23" s="261">
        <f t="shared" si="30"/>
        <v>224102801.1906233</v>
      </c>
      <c r="AE23" s="261">
        <f t="shared" si="14"/>
        <v>78695870.72467078</v>
      </c>
      <c r="AF23" s="261">
        <f t="shared" si="23"/>
        <v>43801728.83444778</v>
      </c>
      <c r="AG23" s="263">
        <f t="shared" si="31"/>
        <v>68181928.01364394</v>
      </c>
      <c r="AH23" s="261">
        <f t="shared" si="15"/>
        <v>9480400.190389402</v>
      </c>
      <c r="AI23" s="261">
        <f t="shared" si="24"/>
        <v>5276743.424497141</v>
      </c>
      <c r="AJ23" s="261">
        <f t="shared" si="32"/>
        <v>8213797.717330873</v>
      </c>
      <c r="AK23" s="253"/>
      <c r="AL23" s="261">
        <v>0</v>
      </c>
      <c r="AM23" s="261">
        <v>0</v>
      </c>
      <c r="AN23" s="261">
        <v>0</v>
      </c>
      <c r="AO23" s="261">
        <f>SUM(AK23:AM23)</f>
        <v>0</v>
      </c>
      <c r="AP23" s="261">
        <f>AL23*(1+$G$89)+SUM(AM23:AN23)</f>
        <v>0</v>
      </c>
      <c r="AQ23" s="261"/>
      <c r="AR23" s="261"/>
      <c r="AS23" s="248"/>
      <c r="AT23" s="235"/>
      <c r="AU23" s="235"/>
      <c r="AV23" s="247"/>
      <c r="AW23" s="245">
        <f t="shared" si="4"/>
        <v>-18803921.533908803</v>
      </c>
      <c r="AX23" s="245">
        <f t="shared" si="4"/>
        <v>-33943482.26613127</v>
      </c>
      <c r="AY23" s="245">
        <f t="shared" si="4"/>
        <v>0</v>
      </c>
      <c r="AZ23" s="245">
        <f>SUM(AW23:AY23)</f>
        <v>-52747403.800040066</v>
      </c>
      <c r="BA23" s="266">
        <f>AW23*(1+$G$89)+SUM(AX23:AY23)</f>
        <v>-54627795.95343095</v>
      </c>
      <c r="BB23" s="267">
        <f t="shared" si="5"/>
        <v>2015</v>
      </c>
      <c r="BC23" s="268">
        <f>H23/'Assumptions &amp; Data'!$I$87/10^6</f>
        <v>39.70534832871009</v>
      </c>
      <c r="BD23" s="268">
        <f t="shared" si="6"/>
        <v>24.653897416787274</v>
      </c>
      <c r="BE23" s="268">
        <f>-C23/'Assumptions &amp; Data'!$I$87/10^6</f>
        <v>1.9846770455223153</v>
      </c>
      <c r="BF23" s="268">
        <f t="shared" si="7"/>
        <v>1.2323282969508507</v>
      </c>
    </row>
    <row r="24" spans="1:58" ht="12.75">
      <c r="A24" s="250">
        <v>6</v>
      </c>
      <c r="B24" s="234">
        <v>2016</v>
      </c>
      <c r="C24" s="253"/>
      <c r="D24" s="235"/>
      <c r="E24" s="253"/>
      <c r="F24" s="248"/>
      <c r="G24" s="253"/>
      <c r="H24" s="245">
        <f t="shared" si="16"/>
        <v>1094966930.2831974</v>
      </c>
      <c r="I24" s="246">
        <f>H24/'Assumptions &amp; Data'!$P$56</f>
        <v>23547675.920068763</v>
      </c>
      <c r="J24" s="246">
        <f t="shared" si="2"/>
        <v>1093316555.071879</v>
      </c>
      <c r="K24" s="246">
        <f>J24/'Assumptions &amp; Data'!$P$56</f>
        <v>23512183.980040405</v>
      </c>
      <c r="L24" s="250"/>
      <c r="M24" s="261">
        <f t="shared" si="8"/>
        <v>9827863.08970268</v>
      </c>
      <c r="N24" s="261">
        <f t="shared" si="17"/>
        <v>5470139.539891797</v>
      </c>
      <c r="O24" s="263">
        <f t="shared" si="25"/>
        <v>8514838.803352725</v>
      </c>
      <c r="P24" s="261">
        <f t="shared" si="9"/>
        <v>2086014.6429165218</v>
      </c>
      <c r="Q24" s="261">
        <f t="shared" si="18"/>
        <v>-645534.2638019021</v>
      </c>
      <c r="R24" s="263">
        <f t="shared" si="26"/>
        <v>-1004840.9475168338</v>
      </c>
      <c r="S24" s="261">
        <f t="shared" si="10"/>
        <v>17183019.43508752</v>
      </c>
      <c r="T24" s="261">
        <f t="shared" si="19"/>
        <v>9563982.848426616</v>
      </c>
      <c r="U24" s="263">
        <f t="shared" si="27"/>
        <v>14887329.962700317</v>
      </c>
      <c r="V24" s="261">
        <f t="shared" si="11"/>
        <v>46874647.419991195</v>
      </c>
      <c r="W24" s="261">
        <f t="shared" si="20"/>
        <v>26090194.778887376</v>
      </c>
      <c r="X24" s="263">
        <f t="shared" si="28"/>
        <v>40612090.65513075</v>
      </c>
      <c r="Y24" s="261">
        <f t="shared" si="12"/>
        <v>30323674.457661923</v>
      </c>
      <c r="Z24" s="261">
        <f t="shared" si="21"/>
        <v>16878005.842334293</v>
      </c>
      <c r="AA24" s="263">
        <f t="shared" si="29"/>
        <v>26272364.35587616</v>
      </c>
      <c r="AB24" s="261">
        <f t="shared" si="13"/>
        <v>258660404.38171157</v>
      </c>
      <c r="AC24" s="261">
        <f t="shared" si="22"/>
        <v>143969089.97392297</v>
      </c>
      <c r="AD24" s="261">
        <f t="shared" si="30"/>
        <v>224102801.1906233</v>
      </c>
      <c r="AE24" s="261">
        <f t="shared" si="14"/>
        <v>78695870.72467078</v>
      </c>
      <c r="AF24" s="261">
        <f t="shared" si="23"/>
        <v>43801728.83444778</v>
      </c>
      <c r="AG24" s="263">
        <f t="shared" si="31"/>
        <v>68181928.01364394</v>
      </c>
      <c r="AH24" s="261">
        <f t="shared" si="15"/>
        <v>9480400.190389402</v>
      </c>
      <c r="AI24" s="261">
        <f t="shared" si="24"/>
        <v>5276743.424497141</v>
      </c>
      <c r="AJ24" s="261">
        <f t="shared" si="32"/>
        <v>8213797.717330873</v>
      </c>
      <c r="AK24" s="253"/>
      <c r="AL24" s="248"/>
      <c r="AM24" s="248"/>
      <c r="AN24" s="248"/>
      <c r="AO24" s="248"/>
      <c r="AP24" s="248"/>
      <c r="AQ24" s="248"/>
      <c r="AR24" s="248"/>
      <c r="AS24" s="248"/>
      <c r="AT24" s="235"/>
      <c r="AU24" s="235"/>
      <c r="AV24" s="247"/>
      <c r="AW24" s="235"/>
      <c r="AX24" s="235"/>
      <c r="AY24" s="235"/>
      <c r="AZ24" s="235"/>
      <c r="BA24" s="266">
        <v>0</v>
      </c>
      <c r="BB24" s="267">
        <f t="shared" si="5"/>
        <v>2016</v>
      </c>
      <c r="BC24" s="268">
        <f>H24/'Assumptions &amp; Data'!$I$87/10^6</f>
        <v>39.78113512014406</v>
      </c>
      <c r="BD24" s="268">
        <f t="shared" si="6"/>
        <v>22.455413683268056</v>
      </c>
      <c r="BE24" s="268">
        <f>-C24/'Assumptions &amp; Data'!$I$87/10^6</f>
        <v>0</v>
      </c>
      <c r="BF24" s="268">
        <f t="shared" si="7"/>
        <v>0</v>
      </c>
    </row>
    <row r="25" spans="1:58" ht="12.75">
      <c r="A25" s="250">
        <v>7</v>
      </c>
      <c r="B25" s="234">
        <v>2017</v>
      </c>
      <c r="C25" s="253"/>
      <c r="D25" s="235"/>
      <c r="E25" s="253"/>
      <c r="F25" s="248"/>
      <c r="G25" s="253"/>
      <c r="H25" s="245">
        <f t="shared" si="16"/>
        <v>1100455737.3941321</v>
      </c>
      <c r="I25" s="246">
        <f>H25/'Assumptions &amp; Data'!$P$56</f>
        <v>23665714.782669507</v>
      </c>
      <c r="J25" s="246">
        <f t="shared" si="2"/>
        <v>1099450896.4466155</v>
      </c>
      <c r="K25" s="246">
        <f>J25/'Assumptions &amp; Data'!$P$56</f>
        <v>23644105.299927212</v>
      </c>
      <c r="L25" s="250"/>
      <c r="M25" s="261">
        <f t="shared" si="8"/>
        <v>9827863.08970268</v>
      </c>
      <c r="N25" s="261">
        <f t="shared" si="17"/>
        <v>5470139.539891797</v>
      </c>
      <c r="O25" s="263">
        <f t="shared" si="25"/>
        <v>8514838.803352725</v>
      </c>
      <c r="P25" s="261">
        <f t="shared" si="9"/>
        <v>6413756.415958323</v>
      </c>
      <c r="Q25" s="261">
        <f t="shared" si="18"/>
        <v>1161065.337892913</v>
      </c>
      <c r="R25" s="263">
        <f t="shared" si="26"/>
        <v>-1004840.9475168338</v>
      </c>
      <c r="S25" s="261">
        <f t="shared" si="10"/>
        <v>17183019.43508752</v>
      </c>
      <c r="T25" s="261">
        <f t="shared" si="19"/>
        <v>9563982.848426616</v>
      </c>
      <c r="U25" s="263">
        <f t="shared" si="27"/>
        <v>14887329.962700317</v>
      </c>
      <c r="V25" s="261">
        <f t="shared" si="11"/>
        <v>46874647.419991195</v>
      </c>
      <c r="W25" s="261">
        <f t="shared" si="20"/>
        <v>26090194.778887376</v>
      </c>
      <c r="X25" s="263">
        <f t="shared" si="28"/>
        <v>40612090.65513075</v>
      </c>
      <c r="Y25" s="261">
        <f t="shared" si="12"/>
        <v>30323674.457661923</v>
      </c>
      <c r="Z25" s="261">
        <f t="shared" si="21"/>
        <v>16878005.842334293</v>
      </c>
      <c r="AA25" s="263">
        <f t="shared" si="29"/>
        <v>26272364.35587616</v>
      </c>
      <c r="AB25" s="261">
        <f t="shared" si="13"/>
        <v>258660404.38171157</v>
      </c>
      <c r="AC25" s="261">
        <f t="shared" si="22"/>
        <v>143969089.97392297</v>
      </c>
      <c r="AD25" s="261">
        <f t="shared" si="30"/>
        <v>224102801.1906233</v>
      </c>
      <c r="AE25" s="261">
        <f t="shared" si="14"/>
        <v>78695870.72467078</v>
      </c>
      <c r="AF25" s="261">
        <f t="shared" si="23"/>
        <v>43801728.83444778</v>
      </c>
      <c r="AG25" s="263">
        <f t="shared" si="31"/>
        <v>68181928.01364394</v>
      </c>
      <c r="AH25" s="261">
        <f t="shared" si="15"/>
        <v>9480400.190389402</v>
      </c>
      <c r="AI25" s="261">
        <f t="shared" si="24"/>
        <v>5276743.424497141</v>
      </c>
      <c r="AJ25" s="261">
        <f t="shared" si="32"/>
        <v>8213797.717330873</v>
      </c>
      <c r="AK25" s="253"/>
      <c r="AL25" s="248"/>
      <c r="AM25" s="248"/>
      <c r="AN25" s="248"/>
      <c r="AO25" s="248"/>
      <c r="AP25" s="248"/>
      <c r="AQ25" s="248"/>
      <c r="AR25" s="248"/>
      <c r="AS25" s="248"/>
      <c r="AT25" s="235"/>
      <c r="AU25" s="235"/>
      <c r="AV25" s="247"/>
      <c r="AW25" s="235"/>
      <c r="AX25" s="235"/>
      <c r="AY25" s="235"/>
      <c r="AZ25" s="235"/>
      <c r="BA25" s="266">
        <v>0</v>
      </c>
      <c r="BB25" s="267">
        <f t="shared" si="5"/>
        <v>2017</v>
      </c>
      <c r="BC25" s="268">
        <f>H25/'Assumptions &amp; Data'!$I$87/10^6</f>
        <v>39.98054842778799</v>
      </c>
      <c r="BD25" s="268">
        <f t="shared" si="6"/>
        <v>20.516342997035313</v>
      </c>
      <c r="BE25" s="268">
        <f>-C25/'Assumptions &amp; Data'!$I$87/10^6</f>
        <v>0</v>
      </c>
      <c r="BF25" s="268">
        <f t="shared" si="7"/>
        <v>0</v>
      </c>
    </row>
    <row r="26" spans="1:58" ht="12.75">
      <c r="A26" s="250">
        <v>8</v>
      </c>
      <c r="B26" s="234">
        <v>2018</v>
      </c>
      <c r="C26" s="253"/>
      <c r="D26" s="235"/>
      <c r="E26" s="253"/>
      <c r="F26" s="248"/>
      <c r="G26" s="253"/>
      <c r="H26" s="245">
        <f t="shared" si="16"/>
        <v>1110081532.5435832</v>
      </c>
      <c r="I26" s="246">
        <f>H26/'Assumptions &amp; Data'!$P$56</f>
        <v>23872721.12996953</v>
      </c>
      <c r="J26" s="246">
        <f t="shared" si="2"/>
        <v>1110081532.5435832</v>
      </c>
      <c r="K26" s="246">
        <f>J26/'Assumptions &amp; Data'!$P$56</f>
        <v>23872721.12996953</v>
      </c>
      <c r="L26" s="250"/>
      <c r="M26" s="261">
        <f t="shared" si="8"/>
        <v>9827863.08970268</v>
      </c>
      <c r="N26" s="261">
        <f t="shared" si="17"/>
        <v>5470139.539891797</v>
      </c>
      <c r="O26" s="263">
        <f t="shared" si="25"/>
        <v>8514838.803352725</v>
      </c>
      <c r="P26" s="261">
        <f t="shared" si="9"/>
        <v>11823433.632260572</v>
      </c>
      <c r="Q26" s="261">
        <f t="shared" si="18"/>
        <v>3569864.806819333</v>
      </c>
      <c r="R26" s="263">
        <f t="shared" si="26"/>
        <v>1807318.4642222084</v>
      </c>
      <c r="S26" s="261">
        <f t="shared" si="10"/>
        <v>17183019.43508752</v>
      </c>
      <c r="T26" s="261">
        <f t="shared" si="19"/>
        <v>9563982.848426616</v>
      </c>
      <c r="U26" s="263">
        <f t="shared" si="27"/>
        <v>14887329.962700317</v>
      </c>
      <c r="V26" s="261">
        <f t="shared" si="11"/>
        <v>46874647.419991195</v>
      </c>
      <c r="W26" s="261">
        <f t="shared" si="20"/>
        <v>26090194.778887376</v>
      </c>
      <c r="X26" s="263">
        <f t="shared" si="28"/>
        <v>40612090.65513075</v>
      </c>
      <c r="Y26" s="261">
        <f t="shared" si="12"/>
        <v>30323674.457661923</v>
      </c>
      <c r="Z26" s="261">
        <f t="shared" si="21"/>
        <v>16878005.842334293</v>
      </c>
      <c r="AA26" s="263">
        <f t="shared" si="29"/>
        <v>26272364.35587616</v>
      </c>
      <c r="AB26" s="261">
        <f t="shared" si="13"/>
        <v>258660404.38171157</v>
      </c>
      <c r="AC26" s="261">
        <f t="shared" si="22"/>
        <v>143969089.97392297</v>
      </c>
      <c r="AD26" s="261">
        <f t="shared" si="30"/>
        <v>224102801.1906233</v>
      </c>
      <c r="AE26" s="261">
        <f t="shared" si="14"/>
        <v>78695870.72467078</v>
      </c>
      <c r="AF26" s="261">
        <f t="shared" si="23"/>
        <v>43801728.83444778</v>
      </c>
      <c r="AG26" s="263">
        <f t="shared" si="31"/>
        <v>68181928.01364394</v>
      </c>
      <c r="AH26" s="261">
        <f t="shared" si="15"/>
        <v>9480400.190389402</v>
      </c>
      <c r="AI26" s="261">
        <f t="shared" si="24"/>
        <v>5276743.424497141</v>
      </c>
      <c r="AJ26" s="261">
        <f t="shared" si="32"/>
        <v>8213797.717330873</v>
      </c>
      <c r="AK26" s="253"/>
      <c r="AL26" s="248"/>
      <c r="AM26" s="248"/>
      <c r="AN26" s="248"/>
      <c r="AO26" s="248"/>
      <c r="AP26" s="248"/>
      <c r="AQ26" s="248"/>
      <c r="AR26" s="248"/>
      <c r="AS26" s="248"/>
      <c r="AT26" s="235"/>
      <c r="AU26" s="235"/>
      <c r="AV26" s="247"/>
      <c r="AW26" s="235"/>
      <c r="AX26" s="235"/>
      <c r="AY26" s="235"/>
      <c r="AZ26" s="235"/>
      <c r="BA26" s="266">
        <v>0</v>
      </c>
      <c r="BB26" s="267">
        <f t="shared" si="5"/>
        <v>2018</v>
      </c>
      <c r="BC26" s="268">
        <f>H26/'Assumptions &amp; Data'!$I$87/10^6</f>
        <v>40.33026223821339</v>
      </c>
      <c r="BD26" s="268">
        <f t="shared" si="6"/>
        <v>18.81436497992046</v>
      </c>
      <c r="BE26" s="268">
        <f>-C26/'Assumptions &amp; Data'!$I$87/10^6</f>
        <v>0</v>
      </c>
      <c r="BF26" s="268">
        <f t="shared" si="7"/>
        <v>0</v>
      </c>
    </row>
    <row r="27" spans="1:58" ht="12.75">
      <c r="A27" s="250">
        <v>9</v>
      </c>
      <c r="B27" s="234">
        <v>2019</v>
      </c>
      <c r="C27" s="253"/>
      <c r="D27" s="235"/>
      <c r="E27" s="253"/>
      <c r="F27" s="248"/>
      <c r="G27" s="253"/>
      <c r="H27" s="245">
        <f t="shared" si="16"/>
        <v>1123333690.4216225</v>
      </c>
      <c r="I27" s="246">
        <f>H27/'Assumptions &amp; Data'!$P$56</f>
        <v>24157713.77250801</v>
      </c>
      <c r="J27" s="246">
        <f t="shared" si="2"/>
        <v>1123333690.4216228</v>
      </c>
      <c r="K27" s="246">
        <f>J27/'Assumptions &amp; Data'!$P$56</f>
        <v>24157713.772508018</v>
      </c>
      <c r="L27" s="250"/>
      <c r="M27" s="261">
        <f t="shared" si="8"/>
        <v>9827863.08970268</v>
      </c>
      <c r="N27" s="261">
        <f t="shared" si="17"/>
        <v>5470139.539891797</v>
      </c>
      <c r="O27" s="263">
        <f t="shared" si="25"/>
        <v>8514838.803352725</v>
      </c>
      <c r="P27" s="261">
        <f t="shared" si="9"/>
        <v>18315046.291823275</v>
      </c>
      <c r="Q27" s="261">
        <f t="shared" si="18"/>
        <v>6580864.142977358</v>
      </c>
      <c r="R27" s="263">
        <f t="shared" si="26"/>
        <v>5556864.346540931</v>
      </c>
      <c r="S27" s="261">
        <f t="shared" si="10"/>
        <v>17183019.43508752</v>
      </c>
      <c r="T27" s="261">
        <f t="shared" si="19"/>
        <v>9563982.848426616</v>
      </c>
      <c r="U27" s="263">
        <f t="shared" si="27"/>
        <v>14887329.962700317</v>
      </c>
      <c r="V27" s="261">
        <f t="shared" si="11"/>
        <v>46874647.419991195</v>
      </c>
      <c r="W27" s="261">
        <f t="shared" si="20"/>
        <v>26090194.778887376</v>
      </c>
      <c r="X27" s="263">
        <f t="shared" si="28"/>
        <v>40612090.65513075</v>
      </c>
      <c r="Y27" s="261">
        <f t="shared" si="12"/>
        <v>30323674.457661923</v>
      </c>
      <c r="Z27" s="261">
        <f t="shared" si="21"/>
        <v>16878005.842334293</v>
      </c>
      <c r="AA27" s="263">
        <f t="shared" si="29"/>
        <v>26272364.35587616</v>
      </c>
      <c r="AB27" s="261">
        <f t="shared" si="13"/>
        <v>258660404.38171157</v>
      </c>
      <c r="AC27" s="261">
        <f t="shared" si="22"/>
        <v>143969089.97392297</v>
      </c>
      <c r="AD27" s="261">
        <f t="shared" si="30"/>
        <v>224102801.1906233</v>
      </c>
      <c r="AE27" s="261">
        <f t="shared" si="14"/>
        <v>78695870.72467078</v>
      </c>
      <c r="AF27" s="261">
        <f t="shared" si="23"/>
        <v>43801728.83444778</v>
      </c>
      <c r="AG27" s="263">
        <f t="shared" si="31"/>
        <v>68181928.01364394</v>
      </c>
      <c r="AH27" s="261">
        <f t="shared" si="15"/>
        <v>9480400.190389402</v>
      </c>
      <c r="AI27" s="261">
        <f t="shared" si="24"/>
        <v>5276743.424497141</v>
      </c>
      <c r="AJ27" s="261">
        <f t="shared" si="32"/>
        <v>8213797.717330873</v>
      </c>
      <c r="AK27" s="253"/>
      <c r="AL27" s="248"/>
      <c r="AM27" s="248"/>
      <c r="AN27" s="248"/>
      <c r="AO27" s="248"/>
      <c r="AP27" s="248"/>
      <c r="AQ27" s="248"/>
      <c r="AR27" s="248"/>
      <c r="AS27" s="248"/>
      <c r="AT27" s="235"/>
      <c r="AU27" s="235"/>
      <c r="AV27" s="247"/>
      <c r="AW27" s="235"/>
      <c r="AX27" s="235"/>
      <c r="AY27" s="235"/>
      <c r="AZ27" s="235"/>
      <c r="BA27" s="266">
        <v>0</v>
      </c>
      <c r="BB27" s="267">
        <f t="shared" si="5"/>
        <v>2019</v>
      </c>
      <c r="BC27" s="268">
        <f>H27/'Assumptions &amp; Data'!$I$87/10^6</f>
        <v>40.81172507384753</v>
      </c>
      <c r="BD27" s="268">
        <f t="shared" si="6"/>
        <v>17.308155405491355</v>
      </c>
      <c r="BE27" s="268">
        <f>-C27/'Assumptions &amp; Data'!$I$87/10^6</f>
        <v>0</v>
      </c>
      <c r="BF27" s="268">
        <f t="shared" si="7"/>
        <v>0</v>
      </c>
    </row>
    <row r="28" spans="1:59" ht="12.75">
      <c r="A28" s="250">
        <v>10</v>
      </c>
      <c r="B28" s="234">
        <v>2020</v>
      </c>
      <c r="C28" s="253"/>
      <c r="D28" s="235"/>
      <c r="E28" s="253"/>
      <c r="F28" s="248"/>
      <c r="G28" s="253"/>
      <c r="H28" s="245">
        <f t="shared" si="16"/>
        <v>1139207370.0807338</v>
      </c>
      <c r="I28" s="246">
        <f>H28/'Assumptions &amp; Data'!$P$56</f>
        <v>24499083.22754266</v>
      </c>
      <c r="J28" s="246">
        <f t="shared" si="2"/>
        <v>1139207370.0807338</v>
      </c>
      <c r="K28" s="246">
        <f>J28/'Assumptions &amp; Data'!$P$56</f>
        <v>24499083.22754266</v>
      </c>
      <c r="L28" s="250"/>
      <c r="M28" s="261">
        <f t="shared" si="8"/>
        <v>9827863.08970268</v>
      </c>
      <c r="N28" s="261">
        <f t="shared" si="17"/>
        <v>5470139.539891797</v>
      </c>
      <c r="O28" s="263">
        <f t="shared" si="25"/>
        <v>8514838.803352725</v>
      </c>
      <c r="P28" s="261">
        <f t="shared" si="9"/>
        <v>25888594.39464643</v>
      </c>
      <c r="Q28" s="261">
        <f t="shared" si="18"/>
        <v>10194063.346366988</v>
      </c>
      <c r="R28" s="263">
        <f t="shared" si="26"/>
        <v>10243796.699439334</v>
      </c>
      <c r="S28" s="261">
        <f t="shared" si="10"/>
        <v>17183019.43508752</v>
      </c>
      <c r="T28" s="261">
        <f t="shared" si="19"/>
        <v>9563982.848426616</v>
      </c>
      <c r="U28" s="263">
        <f t="shared" si="27"/>
        <v>14887329.962700317</v>
      </c>
      <c r="V28" s="261">
        <f t="shared" si="11"/>
        <v>46874647.419991195</v>
      </c>
      <c r="W28" s="261">
        <f t="shared" si="20"/>
        <v>26090194.778887376</v>
      </c>
      <c r="X28" s="263">
        <f t="shared" si="28"/>
        <v>40612090.65513075</v>
      </c>
      <c r="Y28" s="261">
        <f t="shared" si="12"/>
        <v>30323674.457661923</v>
      </c>
      <c r="Z28" s="261">
        <f t="shared" si="21"/>
        <v>16878005.842334293</v>
      </c>
      <c r="AA28" s="263">
        <f t="shared" si="29"/>
        <v>26272364.35587616</v>
      </c>
      <c r="AB28" s="261">
        <f t="shared" si="13"/>
        <v>258660404.38171157</v>
      </c>
      <c r="AC28" s="261">
        <f t="shared" si="22"/>
        <v>143969089.97392297</v>
      </c>
      <c r="AD28" s="261">
        <f t="shared" si="30"/>
        <v>224102801.1906233</v>
      </c>
      <c r="AE28" s="261">
        <f t="shared" si="14"/>
        <v>78695870.72467078</v>
      </c>
      <c r="AF28" s="261">
        <f t="shared" si="23"/>
        <v>43801728.83444778</v>
      </c>
      <c r="AG28" s="263">
        <f t="shared" si="31"/>
        <v>68181928.01364394</v>
      </c>
      <c r="AH28" s="261">
        <f t="shared" si="15"/>
        <v>9480400.190389402</v>
      </c>
      <c r="AI28" s="261">
        <f t="shared" si="24"/>
        <v>5276743.424497141</v>
      </c>
      <c r="AJ28" s="261">
        <f t="shared" si="32"/>
        <v>8213797.717330873</v>
      </c>
      <c r="AK28" s="253"/>
      <c r="AL28" s="248"/>
      <c r="AM28" s="248"/>
      <c r="AN28" s="248"/>
      <c r="AO28" s="248"/>
      <c r="AP28" s="248"/>
      <c r="AQ28" s="248"/>
      <c r="AR28" s="248"/>
      <c r="AS28" s="248"/>
      <c r="AT28" s="235"/>
      <c r="AU28" s="235"/>
      <c r="AV28" s="247"/>
      <c r="AW28" s="235"/>
      <c r="AX28" s="235"/>
      <c r="AY28" s="235"/>
      <c r="AZ28" s="235"/>
      <c r="BA28" s="266">
        <v>0</v>
      </c>
      <c r="BB28" s="267">
        <f t="shared" si="5"/>
        <v>2020</v>
      </c>
      <c r="BC28" s="268">
        <f>H28/'Assumptions &amp; Data'!$I$87/10^6</f>
        <v>41.38843015772588</v>
      </c>
      <c r="BD28" s="268">
        <f t="shared" si="6"/>
        <v>15.957031507334056</v>
      </c>
      <c r="BE28" s="268">
        <f>-C28/'Assumptions &amp; Data'!$I$87/10^6</f>
        <v>0</v>
      </c>
      <c r="BF28" s="268">
        <f t="shared" si="7"/>
        <v>0</v>
      </c>
      <c r="BG28" s="270"/>
    </row>
    <row r="29" spans="1:58" ht="12.75">
      <c r="A29" s="250">
        <v>11</v>
      </c>
      <c r="B29" s="234">
        <v>2021</v>
      </c>
      <c r="C29" s="253"/>
      <c r="D29" s="235"/>
      <c r="E29" s="253"/>
      <c r="F29" s="248"/>
      <c r="G29" s="253"/>
      <c r="H29" s="245">
        <f t="shared" si="16"/>
        <v>745462877.8384712</v>
      </c>
      <c r="I29" s="246">
        <f>H29/'Assumptions &amp; Data'!$P$56</f>
        <v>16031459.738461746</v>
      </c>
      <c r="J29" s="246">
        <f t="shared" si="2"/>
        <v>745462877.8384712</v>
      </c>
      <c r="K29" s="246">
        <f>J29/'Assumptions &amp; Data'!$P$56</f>
        <v>16031459.738461746</v>
      </c>
      <c r="L29" s="250"/>
      <c r="M29" s="261">
        <f t="shared" si="8"/>
        <v>13224701.834552988</v>
      </c>
      <c r="N29" s="261">
        <f t="shared" si="17"/>
        <v>5470139.539891797</v>
      </c>
      <c r="O29" s="263">
        <f t="shared" si="25"/>
        <v>8514838.803352725</v>
      </c>
      <c r="P29" s="261">
        <f t="shared" si="9"/>
        <v>33462142.497469574</v>
      </c>
      <c r="Q29" s="261">
        <f t="shared" si="18"/>
        <v>14409462.416988224</v>
      </c>
      <c r="R29" s="263">
        <f t="shared" si="26"/>
        <v>15868115.52291742</v>
      </c>
      <c r="S29" s="261">
        <f t="shared" si="10"/>
        <v>17183019.43508752</v>
      </c>
      <c r="T29" s="261">
        <f t="shared" si="19"/>
        <v>9563982.848426616</v>
      </c>
      <c r="U29" s="263">
        <f t="shared" si="27"/>
        <v>14887329.962700317</v>
      </c>
      <c r="V29" s="261">
        <f t="shared" si="11"/>
        <v>0</v>
      </c>
      <c r="W29" s="261">
        <f t="shared" si="20"/>
        <v>26090194.778887376</v>
      </c>
      <c r="X29" s="263">
        <f t="shared" si="28"/>
        <v>40612090.65513075</v>
      </c>
      <c r="Y29" s="261">
        <f t="shared" si="12"/>
        <v>0</v>
      </c>
      <c r="Z29" s="261">
        <f t="shared" si="21"/>
        <v>16878005.842334293</v>
      </c>
      <c r="AA29" s="263">
        <f t="shared" si="29"/>
        <v>26272364.35587616</v>
      </c>
      <c r="AB29" s="261">
        <f t="shared" si="13"/>
        <v>0</v>
      </c>
      <c r="AC29" s="261">
        <f t="shared" si="22"/>
        <v>143969089.97392297</v>
      </c>
      <c r="AD29" s="261">
        <f t="shared" si="30"/>
        <v>224102801.1906233</v>
      </c>
      <c r="AE29" s="261">
        <f t="shared" si="14"/>
        <v>0</v>
      </c>
      <c r="AF29" s="261">
        <f t="shared" si="23"/>
        <v>43801728.83444778</v>
      </c>
      <c r="AG29" s="263">
        <f t="shared" si="31"/>
        <v>68181928.01364394</v>
      </c>
      <c r="AH29" s="261">
        <f t="shared" si="15"/>
        <v>9480400.190389402</v>
      </c>
      <c r="AI29" s="261">
        <f t="shared" si="24"/>
        <v>5276743.424497141</v>
      </c>
      <c r="AJ29" s="261">
        <f t="shared" si="32"/>
        <v>8213797.717330873</v>
      </c>
      <c r="AK29" s="253"/>
      <c r="AL29" s="248"/>
      <c r="AM29" s="248"/>
      <c r="AN29" s="248"/>
      <c r="AO29" s="248"/>
      <c r="AP29" s="248"/>
      <c r="AQ29" s="248"/>
      <c r="AR29" s="248"/>
      <c r="AS29" s="248"/>
      <c r="AT29" s="235"/>
      <c r="AU29" s="235"/>
      <c r="AV29" s="247"/>
      <c r="AW29" s="235"/>
      <c r="AX29" s="235"/>
      <c r="AY29" s="235"/>
      <c r="AZ29" s="235"/>
      <c r="BA29" s="266">
        <v>0</v>
      </c>
      <c r="BB29" s="267">
        <f t="shared" si="5"/>
        <v>2021</v>
      </c>
      <c r="BC29" s="268">
        <f>H29/'Assumptions &amp; Data'!$I$87/10^6</f>
        <v>27.083337998777488</v>
      </c>
      <c r="BD29" s="268">
        <f t="shared" si="6"/>
        <v>9.492544746164086</v>
      </c>
      <c r="BE29" s="268">
        <f>-C29/'Assumptions &amp; Data'!$I$87/10^6</f>
        <v>0</v>
      </c>
      <c r="BF29" s="268">
        <f t="shared" si="7"/>
        <v>0</v>
      </c>
    </row>
    <row r="30" spans="1:58" ht="12.75">
      <c r="A30" s="250">
        <v>12</v>
      </c>
      <c r="B30" s="234">
        <v>2022</v>
      </c>
      <c r="C30" s="253"/>
      <c r="D30" s="235"/>
      <c r="E30" s="253"/>
      <c r="F30" s="248"/>
      <c r="G30" s="253"/>
      <c r="H30" s="245">
        <f t="shared" si="16"/>
        <v>538362013.1112742</v>
      </c>
      <c r="I30" s="246">
        <f>H30/'Assumptions &amp; Data'!$P$56</f>
        <v>11577677.701317726</v>
      </c>
      <c r="J30" s="246">
        <f t="shared" si="2"/>
        <v>538362013.1112741</v>
      </c>
      <c r="K30" s="246">
        <f>J30/'Assumptions &amp; Data'!$P$56</f>
        <v>11577677.701317724</v>
      </c>
      <c r="L30" s="250"/>
      <c r="M30" s="261">
        <f t="shared" si="8"/>
        <v>16621540.579403294</v>
      </c>
      <c r="N30" s="261">
        <f t="shared" si="17"/>
        <v>7360803.0299348</v>
      </c>
      <c r="O30" s="263">
        <f t="shared" si="25"/>
        <v>8514838.803352725</v>
      </c>
      <c r="P30" s="261">
        <f t="shared" si="9"/>
        <v>41035690.60029273</v>
      </c>
      <c r="Q30" s="261">
        <f t="shared" si="18"/>
        <v>18624861.487609457</v>
      </c>
      <c r="R30" s="263">
        <f t="shared" si="26"/>
        <v>22429820.816975184</v>
      </c>
      <c r="S30" s="261">
        <f t="shared" si="10"/>
        <v>17183019.43508752</v>
      </c>
      <c r="T30" s="261">
        <f t="shared" si="19"/>
        <v>9563982.848426616</v>
      </c>
      <c r="U30" s="263">
        <f t="shared" si="27"/>
        <v>14887329.962700317</v>
      </c>
      <c r="V30" s="261">
        <f t="shared" si="11"/>
        <v>0</v>
      </c>
      <c r="W30" s="261">
        <f t="shared" si="20"/>
        <v>0</v>
      </c>
      <c r="X30" s="263">
        <f t="shared" si="28"/>
        <v>40612090.65513075</v>
      </c>
      <c r="Y30" s="261">
        <f t="shared" si="12"/>
        <v>0</v>
      </c>
      <c r="Z30" s="261">
        <f t="shared" si="21"/>
        <v>0</v>
      </c>
      <c r="AA30" s="263">
        <f t="shared" si="29"/>
        <v>26272364.35587616</v>
      </c>
      <c r="AB30" s="261">
        <f t="shared" si="13"/>
        <v>0</v>
      </c>
      <c r="AC30" s="261">
        <f t="shared" si="22"/>
        <v>0</v>
      </c>
      <c r="AD30" s="261">
        <f t="shared" si="30"/>
        <v>224102801.1906233</v>
      </c>
      <c r="AE30" s="261">
        <f t="shared" si="14"/>
        <v>0</v>
      </c>
      <c r="AF30" s="261">
        <f t="shared" si="23"/>
        <v>0</v>
      </c>
      <c r="AG30" s="263">
        <f t="shared" si="31"/>
        <v>68181928.01364394</v>
      </c>
      <c r="AH30" s="261">
        <f t="shared" si="15"/>
        <v>9480400.190389402</v>
      </c>
      <c r="AI30" s="261">
        <f t="shared" si="24"/>
        <v>5276743.424497141</v>
      </c>
      <c r="AJ30" s="261">
        <f t="shared" si="32"/>
        <v>8213797.717330873</v>
      </c>
      <c r="AK30" s="253"/>
      <c r="AL30" s="248"/>
      <c r="AM30" s="248"/>
      <c r="AN30" s="248"/>
      <c r="AO30" s="248"/>
      <c r="AP30" s="248"/>
      <c r="AQ30" s="248"/>
      <c r="AR30" s="248"/>
      <c r="AS30" s="248"/>
      <c r="AT30" s="235"/>
      <c r="AU30" s="235"/>
      <c r="AV30" s="247"/>
      <c r="AW30" s="235"/>
      <c r="AX30" s="235"/>
      <c r="AY30" s="235"/>
      <c r="AZ30" s="235"/>
      <c r="BA30" s="266">
        <v>0</v>
      </c>
      <c r="BB30" s="267">
        <f t="shared" si="5"/>
        <v>2022</v>
      </c>
      <c r="BC30" s="268">
        <f>H30/'Assumptions &amp; Data'!$I$87/10^6</f>
        <v>19.559176989567398</v>
      </c>
      <c r="BD30" s="268">
        <f t="shared" si="6"/>
        <v>6.23215655792745</v>
      </c>
      <c r="BE30" s="268">
        <f>-C30/'Assumptions &amp; Data'!$I$87/10^6</f>
        <v>0</v>
      </c>
      <c r="BF30" s="268">
        <f t="shared" si="7"/>
        <v>0</v>
      </c>
    </row>
    <row r="31" spans="1:58" ht="12.75">
      <c r="A31" s="250">
        <v>13</v>
      </c>
      <c r="B31" s="234">
        <v>2023</v>
      </c>
      <c r="C31" s="253"/>
      <c r="D31" s="235"/>
      <c r="E31" s="253"/>
      <c r="F31" s="248"/>
      <c r="G31" s="253"/>
      <c r="H31" s="245">
        <f t="shared" si="16"/>
        <v>205773997.15987754</v>
      </c>
      <c r="I31" s="246">
        <f>H31/'Assumptions &amp; Data'!$P$56</f>
        <v>4425247.250750055</v>
      </c>
      <c r="J31" s="246">
        <f t="shared" si="2"/>
        <v>205773997.15987748</v>
      </c>
      <c r="K31" s="246">
        <f>J31/'Assumptions &amp; Data'!$P$56</f>
        <v>4425247.250750054</v>
      </c>
      <c r="L31" s="250"/>
      <c r="M31" s="261">
        <f t="shared" si="8"/>
        <v>20018379.324253604</v>
      </c>
      <c r="N31" s="261">
        <f t="shared" si="17"/>
        <v>9251466.519977802</v>
      </c>
      <c r="O31" s="263">
        <f t="shared" si="25"/>
        <v>11457852.364834724</v>
      </c>
      <c r="P31" s="261">
        <f t="shared" si="9"/>
        <v>48609238.70311588</v>
      </c>
      <c r="Q31" s="261">
        <f t="shared" si="18"/>
        <v>22840260.55823069</v>
      </c>
      <c r="R31" s="263">
        <f t="shared" si="26"/>
        <v>28991526.111032944</v>
      </c>
      <c r="S31" s="261">
        <f t="shared" si="10"/>
        <v>17183019.43508752</v>
      </c>
      <c r="T31" s="261">
        <f t="shared" si="19"/>
        <v>9563982.848426616</v>
      </c>
      <c r="U31" s="263">
        <f t="shared" si="27"/>
        <v>14887329.962700317</v>
      </c>
      <c r="V31" s="261">
        <f t="shared" si="11"/>
        <v>0</v>
      </c>
      <c r="W31" s="261">
        <f t="shared" si="20"/>
        <v>0</v>
      </c>
      <c r="X31" s="263">
        <f t="shared" si="28"/>
        <v>0</v>
      </c>
      <c r="Y31" s="261">
        <f t="shared" si="12"/>
        <v>0</v>
      </c>
      <c r="Z31" s="261">
        <f t="shared" si="21"/>
        <v>0</v>
      </c>
      <c r="AA31" s="263">
        <f t="shared" si="29"/>
        <v>0</v>
      </c>
      <c r="AB31" s="261">
        <f t="shared" si="13"/>
        <v>0</v>
      </c>
      <c r="AC31" s="261">
        <f t="shared" si="22"/>
        <v>0</v>
      </c>
      <c r="AD31" s="261">
        <f t="shared" si="30"/>
        <v>0</v>
      </c>
      <c r="AE31" s="261">
        <f t="shared" si="14"/>
        <v>0</v>
      </c>
      <c r="AF31" s="261">
        <f t="shared" si="23"/>
        <v>0</v>
      </c>
      <c r="AG31" s="263">
        <f t="shared" si="31"/>
        <v>0</v>
      </c>
      <c r="AH31" s="261">
        <f t="shared" si="15"/>
        <v>9480400.190389402</v>
      </c>
      <c r="AI31" s="261">
        <f t="shared" si="24"/>
        <v>5276743.424497141</v>
      </c>
      <c r="AJ31" s="261">
        <f t="shared" si="32"/>
        <v>8213797.717330873</v>
      </c>
      <c r="AK31" s="253"/>
      <c r="AL31" s="248"/>
      <c r="AM31" s="248"/>
      <c r="AN31" s="248"/>
      <c r="AO31" s="248"/>
      <c r="AP31" s="248"/>
      <c r="AQ31" s="248"/>
      <c r="AR31" s="248"/>
      <c r="AS31" s="248"/>
      <c r="AT31" s="235"/>
      <c r="AU31" s="235"/>
      <c r="AV31" s="247"/>
      <c r="AW31" s="235"/>
      <c r="AX31" s="235"/>
      <c r="AY31" s="235"/>
      <c r="AZ31" s="235"/>
      <c r="BA31" s="266">
        <v>0</v>
      </c>
      <c r="BB31" s="267">
        <f t="shared" si="5"/>
        <v>2023</v>
      </c>
      <c r="BC31" s="268">
        <f>H31/'Assumptions &amp; Data'!$I$87/10^6</f>
        <v>7.475954715008658</v>
      </c>
      <c r="BD31" s="268">
        <f t="shared" si="6"/>
        <v>2.1655177854625496</v>
      </c>
      <c r="BE31" s="268">
        <f>-C31/'Assumptions &amp; Data'!$I$87/10^6</f>
        <v>0</v>
      </c>
      <c r="BF31" s="268">
        <f t="shared" si="7"/>
        <v>0</v>
      </c>
    </row>
    <row r="32" spans="1:58" ht="12.75">
      <c r="A32" s="250">
        <v>14</v>
      </c>
      <c r="B32" s="234">
        <v>2024</v>
      </c>
      <c r="C32" s="253"/>
      <c r="D32" s="235"/>
      <c r="E32" s="253"/>
      <c r="F32" s="248"/>
      <c r="G32" s="253"/>
      <c r="H32" s="245">
        <f t="shared" si="16"/>
        <v>232355165.423755</v>
      </c>
      <c r="I32" s="246">
        <f>H32/'Assumptions &amp; Data'!$P$56</f>
        <v>4996885.277930215</v>
      </c>
      <c r="J32" s="246">
        <f t="shared" si="2"/>
        <v>232355165.42375496</v>
      </c>
      <c r="K32" s="246">
        <f>J32/'Assumptions &amp; Data'!$P$56</f>
        <v>4996885.277930214</v>
      </c>
      <c r="L32" s="250"/>
      <c r="M32" s="261">
        <f t="shared" si="8"/>
        <v>23415218.069103908</v>
      </c>
      <c r="N32" s="261">
        <f t="shared" si="17"/>
        <v>11142130.010020807</v>
      </c>
      <c r="O32" s="263">
        <f t="shared" si="25"/>
        <v>14400865.926316721</v>
      </c>
      <c r="P32" s="261">
        <f t="shared" si="9"/>
        <v>56182786.80593904</v>
      </c>
      <c r="Q32" s="261">
        <f t="shared" si="18"/>
        <v>27055659.628851928</v>
      </c>
      <c r="R32" s="263">
        <f t="shared" si="26"/>
        <v>35553231.40509071</v>
      </c>
      <c r="S32" s="261">
        <f t="shared" si="10"/>
        <v>17183019.43508752</v>
      </c>
      <c r="T32" s="261">
        <f t="shared" si="19"/>
        <v>9563982.848426616</v>
      </c>
      <c r="U32" s="263">
        <f t="shared" si="27"/>
        <v>14887329.962700317</v>
      </c>
      <c r="V32" s="261">
        <f t="shared" si="11"/>
        <v>0</v>
      </c>
      <c r="W32" s="261">
        <f t="shared" si="20"/>
        <v>0</v>
      </c>
      <c r="X32" s="263">
        <f t="shared" si="28"/>
        <v>0</v>
      </c>
      <c r="Y32" s="261">
        <f t="shared" si="12"/>
        <v>0</v>
      </c>
      <c r="Z32" s="261">
        <f t="shared" si="21"/>
        <v>0</v>
      </c>
      <c r="AA32" s="263">
        <f t="shared" si="29"/>
        <v>0</v>
      </c>
      <c r="AB32" s="261">
        <f t="shared" si="13"/>
        <v>0</v>
      </c>
      <c r="AC32" s="261">
        <f t="shared" si="22"/>
        <v>0</v>
      </c>
      <c r="AD32" s="261">
        <f t="shared" si="30"/>
        <v>0</v>
      </c>
      <c r="AE32" s="261">
        <f t="shared" si="14"/>
        <v>0</v>
      </c>
      <c r="AF32" s="261">
        <f t="shared" si="23"/>
        <v>0</v>
      </c>
      <c r="AG32" s="263">
        <f t="shared" si="31"/>
        <v>0</v>
      </c>
      <c r="AH32" s="261">
        <f t="shared" si="15"/>
        <v>9480400.190389402</v>
      </c>
      <c r="AI32" s="261">
        <f t="shared" si="24"/>
        <v>5276743.424497141</v>
      </c>
      <c r="AJ32" s="261">
        <f t="shared" si="32"/>
        <v>8213797.717330873</v>
      </c>
      <c r="AK32" s="253"/>
      <c r="AL32" s="248"/>
      <c r="AM32" s="248"/>
      <c r="AN32" s="248"/>
      <c r="AO32" s="248"/>
      <c r="AP32" s="248"/>
      <c r="AQ32" s="248"/>
      <c r="AR32" s="248"/>
      <c r="AS32" s="248"/>
      <c r="AT32" s="235"/>
      <c r="AU32" s="235"/>
      <c r="AV32" s="247"/>
      <c r="AW32" s="235"/>
      <c r="AX32" s="235"/>
      <c r="AY32" s="235"/>
      <c r="AZ32" s="235"/>
      <c r="BA32" s="266">
        <v>0</v>
      </c>
      <c r="BB32" s="267">
        <f t="shared" si="5"/>
        <v>2024</v>
      </c>
      <c r="BC32" s="268">
        <f>H32/'Assumptions &amp; Data'!$I$87/10^6</f>
        <v>8.441672507127826</v>
      </c>
      <c r="BD32" s="268">
        <f t="shared" si="6"/>
        <v>2.2229562097431192</v>
      </c>
      <c r="BE32" s="268">
        <f>-C32/'Assumptions &amp; Data'!$I$87/10^6</f>
        <v>0</v>
      </c>
      <c r="BF32" s="268">
        <f t="shared" si="7"/>
        <v>0</v>
      </c>
    </row>
    <row r="33" spans="1:58" ht="12.75">
      <c r="A33" s="250">
        <v>15</v>
      </c>
      <c r="B33" s="234">
        <v>2025</v>
      </c>
      <c r="C33" s="253"/>
      <c r="D33" s="235"/>
      <c r="E33" s="253"/>
      <c r="F33" s="248"/>
      <c r="G33" s="253"/>
      <c r="H33" s="245">
        <f t="shared" si="16"/>
        <v>258936333.6876324</v>
      </c>
      <c r="I33" s="246">
        <f>H33/'Assumptions &amp; Data'!$P$56</f>
        <v>5568523.305110374</v>
      </c>
      <c r="J33" s="246">
        <f t="shared" si="2"/>
        <v>258936333.6876324</v>
      </c>
      <c r="K33" s="246">
        <f>J33/'Assumptions &amp; Data'!$P$56</f>
        <v>5568523.305110374</v>
      </c>
      <c r="L33" s="250"/>
      <c r="M33" s="261">
        <f t="shared" si="8"/>
        <v>26812056.813954215</v>
      </c>
      <c r="N33" s="261">
        <f t="shared" si="17"/>
        <v>13032793.500063809</v>
      </c>
      <c r="O33" s="263">
        <f t="shared" si="25"/>
        <v>17343879.48779872</v>
      </c>
      <c r="P33" s="261">
        <f t="shared" si="9"/>
        <v>63756334.90876219</v>
      </c>
      <c r="Q33" s="261">
        <f t="shared" si="18"/>
        <v>31271058.699473165</v>
      </c>
      <c r="R33" s="263">
        <f t="shared" si="26"/>
        <v>42114936.699148476</v>
      </c>
      <c r="S33" s="261">
        <f t="shared" si="10"/>
        <v>17183019.43508752</v>
      </c>
      <c r="T33" s="261">
        <f t="shared" si="19"/>
        <v>9563982.848426616</v>
      </c>
      <c r="U33" s="263">
        <f t="shared" si="27"/>
        <v>14887329.962700317</v>
      </c>
      <c r="V33" s="261">
        <f t="shared" si="11"/>
        <v>0</v>
      </c>
      <c r="W33" s="261">
        <f t="shared" si="20"/>
        <v>0</v>
      </c>
      <c r="X33" s="263">
        <f t="shared" si="28"/>
        <v>0</v>
      </c>
      <c r="Y33" s="261">
        <f t="shared" si="12"/>
        <v>0</v>
      </c>
      <c r="Z33" s="261">
        <f t="shared" si="21"/>
        <v>0</v>
      </c>
      <c r="AA33" s="263">
        <f t="shared" si="29"/>
        <v>0</v>
      </c>
      <c r="AB33" s="261">
        <f t="shared" si="13"/>
        <v>0</v>
      </c>
      <c r="AC33" s="261">
        <f t="shared" si="22"/>
        <v>0</v>
      </c>
      <c r="AD33" s="261">
        <f t="shared" si="30"/>
        <v>0</v>
      </c>
      <c r="AE33" s="261">
        <f t="shared" si="14"/>
        <v>0</v>
      </c>
      <c r="AF33" s="261">
        <f t="shared" si="23"/>
        <v>0</v>
      </c>
      <c r="AG33" s="263">
        <f t="shared" si="31"/>
        <v>0</v>
      </c>
      <c r="AH33" s="261">
        <f t="shared" si="15"/>
        <v>9480400.190389402</v>
      </c>
      <c r="AI33" s="261">
        <f t="shared" si="24"/>
        <v>5276743.424497141</v>
      </c>
      <c r="AJ33" s="261">
        <f t="shared" si="32"/>
        <v>8213797.717330873</v>
      </c>
      <c r="AK33" s="253"/>
      <c r="AL33" s="248"/>
      <c r="AM33" s="248"/>
      <c r="AN33" s="248"/>
      <c r="AO33" s="248"/>
      <c r="AP33" s="248"/>
      <c r="AQ33" s="248"/>
      <c r="AR33" s="248"/>
      <c r="AS33" s="248"/>
      <c r="AT33" s="235"/>
      <c r="AU33" s="235"/>
      <c r="AV33" s="247"/>
      <c r="AW33" s="235"/>
      <c r="AX33" s="235"/>
      <c r="AY33" s="235"/>
      <c r="AZ33" s="235"/>
      <c r="BA33" s="266">
        <v>0</v>
      </c>
      <c r="BB33" s="267">
        <f t="shared" si="5"/>
        <v>2025</v>
      </c>
      <c r="BC33" s="268">
        <f>H33/'Assumptions &amp; Data'!$I$87/10^6</f>
        <v>9.407390299246996</v>
      </c>
      <c r="BD33" s="268">
        <f t="shared" si="6"/>
        <v>2.2520544429523257</v>
      </c>
      <c r="BE33" s="268">
        <f>-C33/'Assumptions &amp; Data'!$I$87/10^6</f>
        <v>0</v>
      </c>
      <c r="BF33" s="268">
        <f t="shared" si="7"/>
        <v>0</v>
      </c>
    </row>
    <row r="34" spans="1:58" ht="12.75">
      <c r="A34" s="250">
        <v>16</v>
      </c>
      <c r="B34" s="234">
        <v>2026</v>
      </c>
      <c r="C34" s="253"/>
      <c r="D34" s="235"/>
      <c r="E34" s="253"/>
      <c r="F34" s="248"/>
      <c r="G34" s="253"/>
      <c r="H34" s="245">
        <f t="shared" si="16"/>
        <v>285517501.9515099</v>
      </c>
      <c r="I34" s="246">
        <f>H34/'Assumptions &amp; Data'!$P$56</f>
        <v>6140161.332290536</v>
      </c>
      <c r="J34" s="246">
        <f t="shared" si="2"/>
        <v>285517501.9515099</v>
      </c>
      <c r="K34" s="246">
        <f>J34/'Assumptions &amp; Data'!$P$56</f>
        <v>6140161.332290536</v>
      </c>
      <c r="L34" s="250"/>
      <c r="M34" s="261">
        <f t="shared" si="8"/>
        <v>30208895.558804523</v>
      </c>
      <c r="N34" s="261">
        <f t="shared" si="17"/>
        <v>14923456.990106814</v>
      </c>
      <c r="O34" s="263">
        <f t="shared" si="25"/>
        <v>20286893.049280714</v>
      </c>
      <c r="P34" s="261">
        <f t="shared" si="9"/>
        <v>71329883.01158534</v>
      </c>
      <c r="Q34" s="261">
        <f t="shared" si="18"/>
        <v>35486457.7700944</v>
      </c>
      <c r="R34" s="263">
        <f t="shared" si="26"/>
        <v>48676641.99320625</v>
      </c>
      <c r="S34" s="261">
        <f t="shared" si="10"/>
        <v>17183019.43508752</v>
      </c>
      <c r="T34" s="261">
        <f t="shared" si="19"/>
        <v>9563982.848426616</v>
      </c>
      <c r="U34" s="263">
        <f t="shared" si="27"/>
        <v>14887329.962700317</v>
      </c>
      <c r="V34" s="261">
        <f t="shared" si="11"/>
        <v>0</v>
      </c>
      <c r="W34" s="261">
        <f t="shared" si="20"/>
        <v>0</v>
      </c>
      <c r="X34" s="263">
        <f t="shared" si="28"/>
        <v>0</v>
      </c>
      <c r="Y34" s="261">
        <f t="shared" si="12"/>
        <v>0</v>
      </c>
      <c r="Z34" s="261">
        <f t="shared" si="21"/>
        <v>0</v>
      </c>
      <c r="AA34" s="263">
        <f t="shared" si="29"/>
        <v>0</v>
      </c>
      <c r="AB34" s="261">
        <f t="shared" si="13"/>
        <v>0</v>
      </c>
      <c r="AC34" s="261">
        <f t="shared" si="22"/>
        <v>0</v>
      </c>
      <c r="AD34" s="261">
        <f t="shared" si="30"/>
        <v>0</v>
      </c>
      <c r="AE34" s="261">
        <f t="shared" si="14"/>
        <v>0</v>
      </c>
      <c r="AF34" s="261">
        <f t="shared" si="23"/>
        <v>0</v>
      </c>
      <c r="AG34" s="263">
        <f t="shared" si="31"/>
        <v>0</v>
      </c>
      <c r="AH34" s="261">
        <f t="shared" si="15"/>
        <v>9480400.190389402</v>
      </c>
      <c r="AI34" s="261">
        <f t="shared" si="24"/>
        <v>5276743.424497141</v>
      </c>
      <c r="AJ34" s="261">
        <f t="shared" si="32"/>
        <v>8213797.717330873</v>
      </c>
      <c r="AK34" s="253"/>
      <c r="AL34" s="248"/>
      <c r="AM34" s="248"/>
      <c r="AN34" s="248"/>
      <c r="AO34" s="248"/>
      <c r="AP34" s="248"/>
      <c r="AQ34" s="248"/>
      <c r="AR34" s="248"/>
      <c r="AS34" s="248"/>
      <c r="AT34" s="235"/>
      <c r="AU34" s="235"/>
      <c r="AV34" s="247"/>
      <c r="AW34" s="235"/>
      <c r="AX34" s="235"/>
      <c r="AY34" s="235"/>
      <c r="AZ34" s="235"/>
      <c r="BA34" s="266">
        <v>0</v>
      </c>
      <c r="BB34" s="267">
        <f t="shared" si="5"/>
        <v>2026</v>
      </c>
      <c r="BC34" s="268">
        <f>H34/'Assumptions &amp; Data'!$I$87/10^6</f>
        <v>10.373108091366166</v>
      </c>
      <c r="BD34" s="268">
        <f t="shared" si="6"/>
        <v>2.257490549381816</v>
      </c>
      <c r="BE34" s="268">
        <f>-C34/'Assumptions &amp; Data'!$I$87/10^6</f>
        <v>0</v>
      </c>
      <c r="BF34" s="268">
        <f t="shared" si="7"/>
        <v>0</v>
      </c>
    </row>
    <row r="35" spans="1:58" ht="12.75">
      <c r="A35" s="250">
        <v>17</v>
      </c>
      <c r="B35" s="234">
        <v>2027</v>
      </c>
      <c r="C35" s="253"/>
      <c r="D35" s="235"/>
      <c r="E35" s="253"/>
      <c r="F35" s="248"/>
      <c r="G35" s="253"/>
      <c r="H35" s="245">
        <f t="shared" si="16"/>
        <v>312098670.21538734</v>
      </c>
      <c r="I35" s="246">
        <f>H35/'Assumptions &amp; Data'!$P$56</f>
        <v>6711799.359470695</v>
      </c>
      <c r="J35" s="246">
        <f t="shared" si="2"/>
        <v>312098670.2153874</v>
      </c>
      <c r="K35" s="246">
        <f>J35/'Assumptions &amp; Data'!$P$56</f>
        <v>6711799.359470697</v>
      </c>
      <c r="L35" s="250"/>
      <c r="M35" s="261">
        <f t="shared" si="8"/>
        <v>33605734.30365483</v>
      </c>
      <c r="N35" s="261">
        <f t="shared" si="17"/>
        <v>16814120.480149817</v>
      </c>
      <c r="O35" s="263">
        <f t="shared" si="25"/>
        <v>23229906.610762715</v>
      </c>
      <c r="P35" s="261">
        <f t="shared" si="9"/>
        <v>78903431.1144085</v>
      </c>
      <c r="Q35" s="261">
        <f t="shared" si="18"/>
        <v>39701856.84071563</v>
      </c>
      <c r="R35" s="263">
        <f t="shared" si="26"/>
        <v>55238347.28726401</v>
      </c>
      <c r="S35" s="261">
        <f t="shared" si="10"/>
        <v>17183019.43508752</v>
      </c>
      <c r="T35" s="261">
        <f t="shared" si="19"/>
        <v>9563982.848426616</v>
      </c>
      <c r="U35" s="263">
        <f t="shared" si="27"/>
        <v>14887329.962700317</v>
      </c>
      <c r="V35" s="261">
        <f t="shared" si="11"/>
        <v>0</v>
      </c>
      <c r="W35" s="261">
        <f t="shared" si="20"/>
        <v>0</v>
      </c>
      <c r="X35" s="263">
        <f t="shared" si="28"/>
        <v>0</v>
      </c>
      <c r="Y35" s="261">
        <f t="shared" si="12"/>
        <v>0</v>
      </c>
      <c r="Z35" s="261">
        <f t="shared" si="21"/>
        <v>0</v>
      </c>
      <c r="AA35" s="263">
        <f t="shared" si="29"/>
        <v>0</v>
      </c>
      <c r="AB35" s="261">
        <f t="shared" si="13"/>
        <v>0</v>
      </c>
      <c r="AC35" s="261">
        <f t="shared" si="22"/>
        <v>0</v>
      </c>
      <c r="AD35" s="261">
        <f t="shared" si="30"/>
        <v>0</v>
      </c>
      <c r="AE35" s="261">
        <f t="shared" si="14"/>
        <v>0</v>
      </c>
      <c r="AF35" s="261">
        <f t="shared" si="23"/>
        <v>0</v>
      </c>
      <c r="AG35" s="263">
        <f t="shared" si="31"/>
        <v>0</v>
      </c>
      <c r="AH35" s="261">
        <f t="shared" si="15"/>
        <v>9480400.190389402</v>
      </c>
      <c r="AI35" s="261">
        <f t="shared" si="24"/>
        <v>5276743.424497141</v>
      </c>
      <c r="AJ35" s="261">
        <f t="shared" si="32"/>
        <v>8213797.717330873</v>
      </c>
      <c r="AK35" s="253"/>
      <c r="AL35" s="248"/>
      <c r="AM35" s="248"/>
      <c r="AN35" s="248"/>
      <c r="AO35" s="248"/>
      <c r="AP35" s="248"/>
      <c r="AQ35" s="248"/>
      <c r="AR35" s="248"/>
      <c r="AS35" s="248"/>
      <c r="AT35" s="235"/>
      <c r="AU35" s="235"/>
      <c r="AV35" s="247"/>
      <c r="AW35" s="235"/>
      <c r="AX35" s="235"/>
      <c r="AY35" s="235"/>
      <c r="AZ35" s="235"/>
      <c r="BA35" s="266">
        <v>0</v>
      </c>
      <c r="BB35" s="267">
        <f t="shared" si="5"/>
        <v>2027</v>
      </c>
      <c r="BC35" s="268">
        <f>H35/'Assumptions &amp; Data'!$I$87/10^6</f>
        <v>11.338825883485336</v>
      </c>
      <c r="BD35" s="268">
        <f t="shared" si="6"/>
        <v>2.2433262526344375</v>
      </c>
      <c r="BE35" s="268">
        <f>-C35/'Assumptions &amp; Data'!$I$87/10^6</f>
        <v>0</v>
      </c>
      <c r="BF35" s="268">
        <f t="shared" si="7"/>
        <v>0</v>
      </c>
    </row>
    <row r="36" spans="1:58" ht="12.75">
      <c r="A36" s="250">
        <v>18</v>
      </c>
      <c r="B36" s="234">
        <v>2028</v>
      </c>
      <c r="C36" s="253"/>
      <c r="D36" s="235"/>
      <c r="E36" s="253"/>
      <c r="F36" s="248"/>
      <c r="G36" s="253"/>
      <c r="H36" s="245">
        <f t="shared" si="16"/>
        <v>338679838.4792648</v>
      </c>
      <c r="I36" s="246">
        <f>H36/'Assumptions &amp; Data'!$P$56</f>
        <v>7283437.386650856</v>
      </c>
      <c r="J36" s="246">
        <f t="shared" si="2"/>
        <v>338679838.47926486</v>
      </c>
      <c r="K36" s="246">
        <f>J36/'Assumptions &amp; Data'!$P$56</f>
        <v>7283437.3866508575</v>
      </c>
      <c r="L36" s="250"/>
      <c r="M36" s="261">
        <f t="shared" si="8"/>
        <v>37002573.048505135</v>
      </c>
      <c r="N36" s="261">
        <f t="shared" si="17"/>
        <v>18704783.97019282</v>
      </c>
      <c r="O36" s="263">
        <f t="shared" si="25"/>
        <v>26172920.172244713</v>
      </c>
      <c r="P36" s="261">
        <f t="shared" si="9"/>
        <v>86476979.21723165</v>
      </c>
      <c r="Q36" s="261">
        <f t="shared" si="18"/>
        <v>43917255.91133687</v>
      </c>
      <c r="R36" s="263">
        <f t="shared" si="26"/>
        <v>61800052.581321776</v>
      </c>
      <c r="S36" s="261">
        <f t="shared" si="10"/>
        <v>17183019.43508752</v>
      </c>
      <c r="T36" s="261">
        <f t="shared" si="19"/>
        <v>9563982.848426616</v>
      </c>
      <c r="U36" s="263">
        <f t="shared" si="27"/>
        <v>14887329.962700317</v>
      </c>
      <c r="V36" s="261">
        <f t="shared" si="11"/>
        <v>0</v>
      </c>
      <c r="W36" s="261">
        <f t="shared" si="20"/>
        <v>0</v>
      </c>
      <c r="X36" s="263">
        <f t="shared" si="28"/>
        <v>0</v>
      </c>
      <c r="Y36" s="261">
        <f t="shared" si="12"/>
        <v>0</v>
      </c>
      <c r="Z36" s="261">
        <f t="shared" si="21"/>
        <v>0</v>
      </c>
      <c r="AA36" s="263">
        <f t="shared" si="29"/>
        <v>0</v>
      </c>
      <c r="AB36" s="261">
        <f t="shared" si="13"/>
        <v>0</v>
      </c>
      <c r="AC36" s="261">
        <f t="shared" si="22"/>
        <v>0</v>
      </c>
      <c r="AD36" s="261">
        <f t="shared" si="30"/>
        <v>0</v>
      </c>
      <c r="AE36" s="261">
        <f t="shared" si="14"/>
        <v>0</v>
      </c>
      <c r="AF36" s="261">
        <f t="shared" si="23"/>
        <v>0</v>
      </c>
      <c r="AG36" s="263">
        <f t="shared" si="31"/>
        <v>0</v>
      </c>
      <c r="AH36" s="261">
        <f t="shared" si="15"/>
        <v>9480400.190389402</v>
      </c>
      <c r="AI36" s="261">
        <f t="shared" si="24"/>
        <v>5276743.424497141</v>
      </c>
      <c r="AJ36" s="261">
        <f t="shared" si="32"/>
        <v>8213797.717330873</v>
      </c>
      <c r="AK36" s="253"/>
      <c r="AL36" s="248"/>
      <c r="AM36" s="248"/>
      <c r="AN36" s="248"/>
      <c r="AO36" s="248"/>
      <c r="AP36" s="248"/>
      <c r="AQ36" s="248"/>
      <c r="AR36" s="248"/>
      <c r="AS36" s="248"/>
      <c r="AT36" s="235"/>
      <c r="AU36" s="235"/>
      <c r="AV36" s="247"/>
      <c r="AW36" s="235"/>
      <c r="AX36" s="235"/>
      <c r="AY36" s="235"/>
      <c r="AZ36" s="235"/>
      <c r="BA36" s="266">
        <v>0</v>
      </c>
      <c r="BB36" s="267">
        <f t="shared" si="5"/>
        <v>2028</v>
      </c>
      <c r="BC36" s="268">
        <f>H36/'Assumptions &amp; Data'!$I$87/10^6</f>
        <v>12.304543675604506</v>
      </c>
      <c r="BD36" s="268">
        <f t="shared" si="6"/>
        <v>2.2130803358792943</v>
      </c>
      <c r="BE36" s="268">
        <f>-C36/'Assumptions &amp; Data'!$I$87/10^6</f>
        <v>0</v>
      </c>
      <c r="BF36" s="268">
        <f t="shared" si="7"/>
        <v>0</v>
      </c>
    </row>
    <row r="37" spans="1:58" ht="12.75">
      <c r="A37" s="250">
        <v>19</v>
      </c>
      <c r="B37" s="234">
        <v>2029</v>
      </c>
      <c r="C37" s="253"/>
      <c r="D37" s="235"/>
      <c r="E37" s="253"/>
      <c r="F37" s="248"/>
      <c r="G37" s="253"/>
      <c r="H37" s="245">
        <f t="shared" si="16"/>
        <v>365261006.74314225</v>
      </c>
      <c r="I37" s="246">
        <f>H37/'Assumptions &amp; Data'!$P$56</f>
        <v>7855075.413831016</v>
      </c>
      <c r="J37" s="246">
        <f t="shared" si="2"/>
        <v>365261006.74314225</v>
      </c>
      <c r="K37" s="246">
        <f>J37/'Assumptions &amp; Data'!$P$56</f>
        <v>7855075.413831016</v>
      </c>
      <c r="L37" s="250"/>
      <c r="M37" s="261">
        <f t="shared" si="8"/>
        <v>40399411.79335544</v>
      </c>
      <c r="N37" s="261">
        <f t="shared" si="17"/>
        <v>20595447.460235823</v>
      </c>
      <c r="O37" s="263">
        <f t="shared" si="25"/>
        <v>29115933.73372671</v>
      </c>
      <c r="P37" s="261">
        <f t="shared" si="9"/>
        <v>94050527.3200548</v>
      </c>
      <c r="Q37" s="261">
        <f t="shared" si="18"/>
        <v>48132654.981958106</v>
      </c>
      <c r="R37" s="263">
        <f t="shared" si="26"/>
        <v>68361757.87537953</v>
      </c>
      <c r="S37" s="261">
        <f t="shared" si="10"/>
        <v>17183019.43508752</v>
      </c>
      <c r="T37" s="261">
        <f t="shared" si="19"/>
        <v>9563982.848426616</v>
      </c>
      <c r="U37" s="263">
        <f t="shared" si="27"/>
        <v>14887329.962700317</v>
      </c>
      <c r="V37" s="261">
        <f t="shared" si="11"/>
        <v>0</v>
      </c>
      <c r="W37" s="261">
        <f t="shared" si="20"/>
        <v>0</v>
      </c>
      <c r="X37" s="263">
        <f t="shared" si="28"/>
        <v>0</v>
      </c>
      <c r="Y37" s="261">
        <f t="shared" si="12"/>
        <v>0</v>
      </c>
      <c r="Z37" s="261">
        <f t="shared" si="21"/>
        <v>0</v>
      </c>
      <c r="AA37" s="263">
        <f t="shared" si="29"/>
        <v>0</v>
      </c>
      <c r="AB37" s="261">
        <f t="shared" si="13"/>
        <v>0</v>
      </c>
      <c r="AC37" s="261">
        <f t="shared" si="22"/>
        <v>0</v>
      </c>
      <c r="AD37" s="261">
        <f t="shared" si="30"/>
        <v>0</v>
      </c>
      <c r="AE37" s="261">
        <f t="shared" si="14"/>
        <v>0</v>
      </c>
      <c r="AF37" s="261">
        <f t="shared" si="23"/>
        <v>0</v>
      </c>
      <c r="AG37" s="263">
        <f t="shared" si="31"/>
        <v>0</v>
      </c>
      <c r="AH37" s="261">
        <f t="shared" si="15"/>
        <v>9480400.190389402</v>
      </c>
      <c r="AI37" s="261">
        <f t="shared" si="24"/>
        <v>5276743.424497141</v>
      </c>
      <c r="AJ37" s="261">
        <f t="shared" si="32"/>
        <v>8213797.717330873</v>
      </c>
      <c r="AK37" s="253"/>
      <c r="AL37" s="248"/>
      <c r="AM37" s="248"/>
      <c r="AN37" s="248"/>
      <c r="AO37" s="248"/>
      <c r="AP37" s="248"/>
      <c r="AQ37" s="248"/>
      <c r="AR37" s="248"/>
      <c r="AS37" s="248"/>
      <c r="AT37" s="235"/>
      <c r="AU37" s="235"/>
      <c r="AV37" s="247"/>
      <c r="AW37" s="235"/>
      <c r="AX37" s="235"/>
      <c r="AY37" s="235"/>
      <c r="AZ37" s="235"/>
      <c r="BA37" s="266">
        <v>0</v>
      </c>
      <c r="BB37" s="267">
        <f t="shared" si="5"/>
        <v>2029</v>
      </c>
      <c r="BC37" s="268">
        <f>H37/'Assumptions &amp; Data'!$I$87/10^6</f>
        <v>13.270261467723675</v>
      </c>
      <c r="BD37" s="268">
        <f t="shared" si="6"/>
        <v>2.169793790330586</v>
      </c>
      <c r="BE37" s="268">
        <f>-C37/'Assumptions &amp; Data'!$I$87/10^6</f>
        <v>0</v>
      </c>
      <c r="BF37" s="268">
        <f t="shared" si="7"/>
        <v>0</v>
      </c>
    </row>
    <row r="38" spans="1:58" ht="12.75">
      <c r="A38" s="250">
        <v>20</v>
      </c>
      <c r="B38" s="234">
        <v>2030</v>
      </c>
      <c r="C38" s="253"/>
      <c r="D38" s="235"/>
      <c r="E38" s="253"/>
      <c r="F38" s="248"/>
      <c r="G38" s="253"/>
      <c r="H38" s="245">
        <f>E8*($L$19*T67+$L$20*(T66+J73)+$L$21*(T65+J74))</f>
        <v>3935346539.7923017</v>
      </c>
      <c r="I38" s="246">
        <f>H38/'Assumptions &amp; Data'!$P$56</f>
        <v>84631108.38263014</v>
      </c>
      <c r="J38" s="246">
        <f t="shared" si="2"/>
        <v>3935346539.792301</v>
      </c>
      <c r="K38" s="246">
        <f>J38/'Assumptions &amp; Data'!$P$56</f>
        <v>84631108.38263014</v>
      </c>
      <c r="L38" s="250"/>
      <c r="M38" s="261">
        <f t="shared" si="8"/>
        <v>616604156.0126985</v>
      </c>
      <c r="N38" s="261">
        <f>$L$20*$K$14*(I66+I73)</f>
        <v>331088740.3362789</v>
      </c>
      <c r="O38" s="263">
        <f>$L$21*$K$14*(I65+I74)</f>
        <v>495480581.3666196</v>
      </c>
      <c r="P38" s="261">
        <f t="shared" si="9"/>
        <v>1006322344.3074164</v>
      </c>
      <c r="Q38" s="261">
        <f>$L$20*$N$14*(H66+H73)</f>
        <v>541829996.5975597</v>
      </c>
      <c r="R38" s="263">
        <f>$L$21*$N$14*(H65+H74)</f>
        <v>811980882.0474793</v>
      </c>
      <c r="S38" s="261">
        <f t="shared" si="10"/>
        <v>17183019.43508752</v>
      </c>
      <c r="T38" s="261">
        <f>$L$20*$Q$14*(G66+G73)</f>
        <v>17886221.01801226</v>
      </c>
      <c r="U38" s="263">
        <f>$L$21*$Q$14*(G65+G74)</f>
        <v>39114236.864411905</v>
      </c>
      <c r="V38" s="261">
        <f t="shared" si="11"/>
        <v>0</v>
      </c>
      <c r="W38" s="261">
        <f t="shared" si="20"/>
        <v>0</v>
      </c>
      <c r="X38" s="263">
        <f t="shared" si="28"/>
        <v>0</v>
      </c>
      <c r="Y38" s="261">
        <f t="shared" si="12"/>
        <v>0</v>
      </c>
      <c r="Z38" s="261">
        <f t="shared" si="21"/>
        <v>0</v>
      </c>
      <c r="AA38" s="263">
        <f t="shared" si="29"/>
        <v>0</v>
      </c>
      <c r="AB38" s="261">
        <f t="shared" si="13"/>
        <v>0</v>
      </c>
      <c r="AC38" s="261">
        <f t="shared" si="22"/>
        <v>0</v>
      </c>
      <c r="AD38" s="261">
        <f t="shared" si="30"/>
        <v>0</v>
      </c>
      <c r="AE38" s="261">
        <f t="shared" si="14"/>
        <v>0</v>
      </c>
      <c r="AF38" s="261">
        <f t="shared" si="23"/>
        <v>0</v>
      </c>
      <c r="AG38" s="263">
        <f t="shared" si="31"/>
        <v>0</v>
      </c>
      <c r="AH38" s="261">
        <f t="shared" si="15"/>
        <v>23848322.07652232</v>
      </c>
      <c r="AI38" s="261">
        <f>$L$20*$AF$14*(B66+B73)</f>
        <v>13294461.21462203</v>
      </c>
      <c r="AJ38" s="261">
        <f>$L$21*$AF$14*(B65+B74)</f>
        <v>20713578.515593242</v>
      </c>
      <c r="AK38" s="253"/>
      <c r="AL38" s="248"/>
      <c r="AM38" s="248"/>
      <c r="AN38" s="248"/>
      <c r="AO38" s="248"/>
      <c r="AP38" s="248"/>
      <c r="AQ38" s="248"/>
      <c r="AR38" s="248"/>
      <c r="AS38" s="248"/>
      <c r="AT38" s="235"/>
      <c r="AU38" s="235"/>
      <c r="AV38" s="247"/>
      <c r="AW38" s="235"/>
      <c r="AX38" s="235"/>
      <c r="AY38" s="235"/>
      <c r="AZ38" s="235"/>
      <c r="BA38" s="266">
        <v>0</v>
      </c>
      <c r="BB38" s="267">
        <f t="shared" si="5"/>
        <v>2030</v>
      </c>
      <c r="BC38" s="268">
        <f>H38/'Assumptions &amp; Data'!$I$87/10^6</f>
        <v>142.97468545792412</v>
      </c>
      <c r="BD38" s="268">
        <f t="shared" si="6"/>
        <v>21.25227596207659</v>
      </c>
      <c r="BE38" s="268">
        <f>-C38/'Assumptions &amp; Data'!$I$87/10^6</f>
        <v>0</v>
      </c>
      <c r="BF38" s="268">
        <f t="shared" si="7"/>
        <v>0</v>
      </c>
    </row>
    <row r="39" spans="1:58" s="274" customFormat="1" ht="12.75">
      <c r="A39" s="951" t="s">
        <v>296</v>
      </c>
      <c r="B39" s="952"/>
      <c r="C39" s="271">
        <f>SUM(C18:C23)</f>
        <v>-7389253621.438218</v>
      </c>
      <c r="D39" s="257">
        <f>SUM(D18:D23)</f>
        <v>-6902813551.845524</v>
      </c>
      <c r="E39" s="271">
        <f>SUM(E18:E23)</f>
        <v>-4864400695.92693</v>
      </c>
      <c r="F39" s="257">
        <f>SUM(F18:F23)</f>
        <v>-504459171.6273774</v>
      </c>
      <c r="G39" s="271">
        <f>SUM(G18:G23)</f>
        <v>-1533953684.2912173</v>
      </c>
      <c r="H39" s="254"/>
      <c r="I39" s="272"/>
      <c r="J39" s="272"/>
      <c r="K39" s="272"/>
      <c r="L39" s="273"/>
      <c r="M39" s="261"/>
      <c r="N39" s="261"/>
      <c r="O39" s="263"/>
      <c r="P39" s="261"/>
      <c r="Q39" s="261"/>
      <c r="R39" s="263"/>
      <c r="S39" s="261"/>
      <c r="T39" s="261"/>
      <c r="U39" s="263"/>
      <c r="V39" s="245"/>
      <c r="W39" s="261"/>
      <c r="X39" s="263"/>
      <c r="Y39" s="261"/>
      <c r="Z39" s="261"/>
      <c r="AA39" s="263"/>
      <c r="AB39" s="261"/>
      <c r="AC39" s="261"/>
      <c r="AD39" s="261"/>
      <c r="AE39" s="261"/>
      <c r="AF39" s="261"/>
      <c r="AG39" s="263"/>
      <c r="AH39" s="261"/>
      <c r="AI39" s="261"/>
      <c r="AJ39" s="261"/>
      <c r="AK39" s="244"/>
      <c r="AL39" s="245">
        <f>SUM(AL18:AL23)</f>
        <v>-4082314856.527108</v>
      </c>
      <c r="AM39" s="245">
        <f>SUM(AM18:AM23)</f>
        <v>-74174957.17547196</v>
      </c>
      <c r="AN39" s="245">
        <f>SUM(AN18:AN23)</f>
        <v>-856056506.8288035</v>
      </c>
      <c r="AO39" s="245">
        <f>SUM(AO18:AO23)</f>
        <v>-4156489813.7025795</v>
      </c>
      <c r="AP39" s="245">
        <f>SUM(AP18:AP23)</f>
        <v>-5420777806.184095</v>
      </c>
      <c r="AQ39" s="245"/>
      <c r="AR39" s="245"/>
      <c r="AS39" s="261"/>
      <c r="AT39" s="245"/>
      <c r="AU39" s="245"/>
      <c r="AV39" s="266"/>
      <c r="AW39" s="245">
        <f>SUM(AW18:AW23)</f>
        <v>-782085839.399822</v>
      </c>
      <c r="AX39" s="245">
        <f>SUM(AX18:AX23)</f>
        <v>-430284214.45190537</v>
      </c>
      <c r="AY39" s="245">
        <f>SUM(AY18:AY23)</f>
        <v>-677897177.4624137</v>
      </c>
      <c r="AZ39" s="245">
        <f>SUM(AZ18:AZ23)</f>
        <v>-1890267231.3141408</v>
      </c>
      <c r="BA39" s="266">
        <f>SUM(BA18:BA23)</f>
        <v>-1968475815.2541232</v>
      </c>
      <c r="BB39" s="245"/>
      <c r="BC39" s="245"/>
      <c r="BD39" s="245"/>
      <c r="BE39" s="245"/>
      <c r="BF39" s="245"/>
    </row>
    <row r="40" spans="1:58" s="274" customFormat="1" ht="12.75">
      <c r="A40" s="946" t="s">
        <v>297</v>
      </c>
      <c r="B40" s="947"/>
      <c r="C40" s="275">
        <f>C39/'Assumptions &amp; Data'!$P$56</f>
        <v>-158908680.03092942</v>
      </c>
      <c r="D40" s="276">
        <f>D39/'Assumptions &amp; Data'!$P$56</f>
        <v>-148447603.26549512</v>
      </c>
      <c r="E40" s="275">
        <f>E39/'Assumptions &amp; Data'!$P$56</f>
        <v>-104610767.65434259</v>
      </c>
      <c r="F40" s="276">
        <f>F39/'Assumptions &amp; Data'!$P$56</f>
        <v>-10848584.336072631</v>
      </c>
      <c r="G40" s="275">
        <f>G39/'Assumptions &amp; Data'!$P$56</f>
        <v>-32988251.275079943</v>
      </c>
      <c r="H40" s="276"/>
      <c r="I40" s="275"/>
      <c r="J40" s="275"/>
      <c r="K40" s="275"/>
      <c r="L40" s="277"/>
      <c r="M40" s="245"/>
      <c r="N40" s="278"/>
      <c r="O40" s="266"/>
      <c r="P40" s="245"/>
      <c r="Q40" s="245"/>
      <c r="R40" s="266"/>
      <c r="S40" s="245"/>
      <c r="T40" s="245"/>
      <c r="U40" s="279"/>
      <c r="V40" s="245"/>
      <c r="W40" s="245"/>
      <c r="X40" s="266"/>
      <c r="Y40" s="245"/>
      <c r="Z40" s="245"/>
      <c r="AA40" s="266"/>
      <c r="AB40" s="245"/>
      <c r="AC40" s="245"/>
      <c r="AD40" s="245"/>
      <c r="AE40" s="245"/>
      <c r="AF40" s="245"/>
      <c r="AG40" s="266"/>
      <c r="AH40" s="245"/>
      <c r="AI40" s="245"/>
      <c r="AJ40" s="245"/>
      <c r="AK40" s="244"/>
      <c r="AL40" s="261"/>
      <c r="AM40" s="261"/>
      <c r="AN40" s="261"/>
      <c r="AO40" s="261"/>
      <c r="AP40" s="261"/>
      <c r="AQ40" s="261"/>
      <c r="AR40" s="261"/>
      <c r="AS40" s="245"/>
      <c r="AT40" s="245"/>
      <c r="AU40" s="245"/>
      <c r="AV40" s="266"/>
      <c r="AW40" s="245"/>
      <c r="AX40" s="245"/>
      <c r="AY40" s="245"/>
      <c r="AZ40" s="245"/>
      <c r="BA40" s="266"/>
      <c r="BB40" s="245"/>
      <c r="BC40" s="245"/>
      <c r="BD40" s="245"/>
      <c r="BE40" s="245"/>
      <c r="BF40" s="245"/>
    </row>
    <row r="41" spans="1:58" ht="13.5" thickBot="1">
      <c r="A41" s="280"/>
      <c r="B41" s="281"/>
      <c r="C41" s="282"/>
      <c r="D41" s="282"/>
      <c r="E41" s="282"/>
      <c r="F41" s="282"/>
      <c r="G41" s="282"/>
      <c r="H41" s="911" t="s">
        <v>287</v>
      </c>
      <c r="I41" s="912"/>
      <c r="J41" s="913"/>
      <c r="K41" s="283">
        <f>IRR(K18:K38)</f>
        <v>0.12602247827057966</v>
      </c>
      <c r="L41" s="284"/>
      <c r="M41" s="285">
        <f aca="true" t="shared" si="33" ref="M41:AJ41">IRR(M18:M38)</f>
        <v>0.10620321744394956</v>
      </c>
      <c r="N41" s="286">
        <f t="shared" si="33"/>
        <v>0.1060517274893813</v>
      </c>
      <c r="O41" s="287">
        <f>IRR(O18:O38)</f>
        <v>0.1056161745614419</v>
      </c>
      <c r="P41" s="285">
        <f t="shared" si="33"/>
        <v>0.13902347304796847</v>
      </c>
      <c r="Q41" s="285">
        <f t="shared" si="33"/>
        <v>0.13891490589179534</v>
      </c>
      <c r="R41" s="287">
        <f t="shared" si="33"/>
        <v>0.1385529836393682</v>
      </c>
      <c r="S41" s="285">
        <f t="shared" si="33"/>
        <v>0.13627220300465592</v>
      </c>
      <c r="T41" s="285">
        <f t="shared" si="33"/>
        <v>0.13634812190402568</v>
      </c>
      <c r="U41" s="287">
        <f t="shared" si="33"/>
        <v>0.13587316489593748</v>
      </c>
      <c r="V41" s="285">
        <f t="shared" si="33"/>
        <v>0.1915969217717448</v>
      </c>
      <c r="W41" s="285">
        <f t="shared" si="33"/>
        <v>0.19177569848943432</v>
      </c>
      <c r="X41" s="287">
        <f t="shared" si="33"/>
        <v>0.1910430473789182</v>
      </c>
      <c r="Y41" s="285">
        <f t="shared" si="33"/>
        <v>0.13771457108355856</v>
      </c>
      <c r="Z41" s="285">
        <f t="shared" si="33"/>
        <v>0.13787372378973384</v>
      </c>
      <c r="AA41" s="287">
        <f t="shared" si="33"/>
        <v>0.13722146541259495</v>
      </c>
      <c r="AB41" s="285">
        <f t="shared" si="33"/>
        <v>0.4471228090649555</v>
      </c>
      <c r="AC41" s="285">
        <f t="shared" si="33"/>
        <v>0.44741302536119587</v>
      </c>
      <c r="AD41" s="285">
        <f t="shared" si="33"/>
        <v>0.4462238751928185</v>
      </c>
      <c r="AE41" s="285">
        <f t="shared" si="33"/>
        <v>0.07658983914180872</v>
      </c>
      <c r="AF41" s="285">
        <f t="shared" si="33"/>
        <v>0.07672866153588487</v>
      </c>
      <c r="AG41" s="287">
        <f t="shared" si="33"/>
        <v>0.07615969300595515</v>
      </c>
      <c r="AH41" s="285">
        <f t="shared" si="33"/>
        <v>0.6099437038594926</v>
      </c>
      <c r="AI41" s="285">
        <f t="shared" si="33"/>
        <v>0.6102956502648191</v>
      </c>
      <c r="AJ41" s="285">
        <f t="shared" si="33"/>
        <v>0.6088362870989579</v>
      </c>
      <c r="AK41" s="253"/>
      <c r="AL41" s="288"/>
      <c r="AM41" s="288"/>
      <c r="AN41" s="288"/>
      <c r="AO41" s="288"/>
      <c r="AP41" s="289">
        <f>AP39/(AP39+BA39)</f>
        <v>0.7336028892629908</v>
      </c>
      <c r="AQ41" s="288"/>
      <c r="AR41" s="288"/>
      <c r="AS41" s="290"/>
      <c r="AT41" s="290"/>
      <c r="AU41" s="290"/>
      <c r="AV41" s="291"/>
      <c r="AW41" s="290"/>
      <c r="AX41" s="290"/>
      <c r="AY41" s="290"/>
      <c r="AZ41" s="290"/>
      <c r="BA41" s="291"/>
      <c r="BB41" s="290"/>
      <c r="BC41" s="290"/>
      <c r="BD41" s="292">
        <f>SUM(BD18:BD38)</f>
        <v>232.0329514083959</v>
      </c>
      <c r="BE41" s="293"/>
      <c r="BF41" s="292">
        <f>SUM(BF18:BF38)</f>
        <v>220.7817870690273</v>
      </c>
    </row>
    <row r="42" spans="3:57" ht="12.75">
      <c r="C42" s="294"/>
      <c r="D42" s="294"/>
      <c r="E42" s="295"/>
      <c r="F42" s="294"/>
      <c r="I42" s="295"/>
      <c r="J42" s="295"/>
      <c r="K42" s="295"/>
      <c r="L42" s="295"/>
      <c r="BB42" s="953" t="s">
        <v>542</v>
      </c>
      <c r="BC42" s="953"/>
      <c r="BD42" s="953" t="s">
        <v>543</v>
      </c>
      <c r="BE42" s="953"/>
    </row>
    <row r="43" spans="3:57" ht="12.75">
      <c r="C43" s="294"/>
      <c r="D43" s="296"/>
      <c r="E43" s="294"/>
      <c r="F43" s="294"/>
      <c r="I43" s="294"/>
      <c r="J43" s="294"/>
      <c r="K43" s="294"/>
      <c r="L43" s="294"/>
      <c r="BB43" s="953"/>
      <c r="BC43" s="953"/>
      <c r="BD43" s="953"/>
      <c r="BE43" s="953"/>
    </row>
    <row r="44" spans="3:56" ht="12.75">
      <c r="C44" s="294"/>
      <c r="D44" s="296"/>
      <c r="E44" s="294"/>
      <c r="F44" s="294"/>
      <c r="I44" s="294"/>
      <c r="J44" s="294"/>
      <c r="K44" s="294"/>
      <c r="L44" s="294"/>
      <c r="BD44" s="210"/>
    </row>
    <row r="45" spans="1:54" ht="15">
      <c r="A45" s="923" t="s">
        <v>675</v>
      </c>
      <c r="B45" s="924"/>
      <c r="C45" s="924"/>
      <c r="D45" s="924"/>
      <c r="E45" s="924"/>
      <c r="F45" s="924"/>
      <c r="G45" s="924"/>
      <c r="H45" s="924"/>
      <c r="I45" s="925"/>
      <c r="J45" s="297"/>
      <c r="K45" s="935" t="s">
        <v>676</v>
      </c>
      <c r="L45" s="936"/>
      <c r="M45" s="936"/>
      <c r="N45" s="936"/>
      <c r="O45" s="936"/>
      <c r="P45" s="936"/>
      <c r="Q45" s="936"/>
      <c r="R45" s="936"/>
      <c r="S45" s="936"/>
      <c r="T45" s="937"/>
      <c r="U45" s="297"/>
      <c r="V45" s="297"/>
      <c r="W45" s="297"/>
      <c r="X45" s="297"/>
      <c r="Y45" s="297"/>
      <c r="Z45" s="297"/>
      <c r="AA45" s="297"/>
      <c r="AB45" s="297"/>
      <c r="AC45" s="297"/>
      <c r="AD45" s="297"/>
      <c r="AE45" s="297"/>
      <c r="AF45" s="297"/>
      <c r="AG45" s="297"/>
      <c r="AH45" s="297"/>
      <c r="AI45" s="253"/>
      <c r="AJ45" s="297"/>
      <c r="AK45" s="297"/>
      <c r="AL45" s="297"/>
      <c r="AM45" s="297"/>
      <c r="AN45" s="297"/>
      <c r="AO45" s="297"/>
      <c r="AP45" s="297"/>
      <c r="BA45" s="298" t="s">
        <v>541</v>
      </c>
      <c r="BB45" s="299">
        <v>0.1</v>
      </c>
    </row>
    <row r="46" spans="1:42" ht="13.5" thickBot="1">
      <c r="A46" s="300"/>
      <c r="B46" s="916" t="s">
        <v>486</v>
      </c>
      <c r="C46" s="917"/>
      <c r="D46" s="917"/>
      <c r="E46" s="917"/>
      <c r="F46" s="917"/>
      <c r="G46" s="917"/>
      <c r="H46" s="917"/>
      <c r="I46" s="918"/>
      <c r="J46" s="297"/>
      <c r="K46" s="301"/>
      <c r="L46" s="930" t="s">
        <v>486</v>
      </c>
      <c r="M46" s="931"/>
      <c r="N46" s="931"/>
      <c r="O46" s="931"/>
      <c r="P46" s="931"/>
      <c r="Q46" s="931"/>
      <c r="R46" s="931"/>
      <c r="S46" s="932"/>
      <c r="T46" s="933" t="s">
        <v>535</v>
      </c>
      <c r="U46" s="297"/>
      <c r="V46" s="297"/>
      <c r="W46" s="297"/>
      <c r="X46" s="297"/>
      <c r="Y46" s="297"/>
      <c r="Z46" s="297"/>
      <c r="AA46" s="297"/>
      <c r="AB46" s="297"/>
      <c r="AC46" s="297"/>
      <c r="AD46" s="297"/>
      <c r="AE46" s="297"/>
      <c r="AF46" s="297"/>
      <c r="AG46" s="297"/>
      <c r="AH46" s="297"/>
      <c r="AI46" s="253"/>
      <c r="AJ46" s="297"/>
      <c r="AK46" s="297"/>
      <c r="AL46" s="297"/>
      <c r="AM46" s="297"/>
      <c r="AN46" s="297"/>
      <c r="AO46" s="297"/>
      <c r="AP46" s="297"/>
    </row>
    <row r="47" spans="1:42" ht="25.5" customHeight="1" thickBot="1">
      <c r="A47" s="302" t="s">
        <v>497</v>
      </c>
      <c r="B47" s="303" t="s">
        <v>258</v>
      </c>
      <c r="C47" s="304" t="s">
        <v>77</v>
      </c>
      <c r="D47" s="304" t="s">
        <v>399</v>
      </c>
      <c r="E47" s="305" t="s">
        <v>490</v>
      </c>
      <c r="F47" s="305" t="s">
        <v>491</v>
      </c>
      <c r="G47" s="305" t="s">
        <v>259</v>
      </c>
      <c r="H47" s="306" t="s">
        <v>495</v>
      </c>
      <c r="I47" s="306" t="s">
        <v>249</v>
      </c>
      <c r="J47" s="297"/>
      <c r="K47" s="307" t="s">
        <v>497</v>
      </c>
      <c r="L47" s="308" t="s">
        <v>258</v>
      </c>
      <c r="M47" s="309" t="s">
        <v>77</v>
      </c>
      <c r="N47" s="309" t="s">
        <v>399</v>
      </c>
      <c r="O47" s="310" t="s">
        <v>490</v>
      </c>
      <c r="P47" s="310" t="s">
        <v>491</v>
      </c>
      <c r="Q47" s="310" t="s">
        <v>259</v>
      </c>
      <c r="R47" s="311" t="s">
        <v>495</v>
      </c>
      <c r="S47" s="311" t="s">
        <v>249</v>
      </c>
      <c r="T47" s="934"/>
      <c r="U47" s="297"/>
      <c r="V47" s="297"/>
      <c r="W47" s="297"/>
      <c r="X47" s="297"/>
      <c r="Y47" s="297"/>
      <c r="Z47" s="297"/>
      <c r="AA47" s="297"/>
      <c r="AB47" s="297"/>
      <c r="AC47" s="297"/>
      <c r="AD47" s="297"/>
      <c r="AE47" s="297"/>
      <c r="AF47" s="297"/>
      <c r="AG47" s="297"/>
      <c r="AH47" s="297"/>
      <c r="AI47" s="253"/>
      <c r="AJ47" s="297"/>
      <c r="AK47" s="297"/>
      <c r="AL47" s="297"/>
      <c r="AM47" s="297"/>
      <c r="AN47" s="297"/>
      <c r="AO47" s="297"/>
      <c r="AP47" s="297"/>
    </row>
    <row r="48" spans="1:42" ht="12.75">
      <c r="A48" s="312">
        <v>1</v>
      </c>
      <c r="B48" s="313">
        <f>PHF!F8</f>
        <v>-379546.1865092338</v>
      </c>
      <c r="C48" s="314">
        <f>Roads!G8</f>
        <v>-2621004.63317605</v>
      </c>
      <c r="D48" s="314">
        <f>Roads!H8</f>
        <v>-8685480.547791952</v>
      </c>
      <c r="E48" s="314">
        <f>Water!F8</f>
        <v>-1206542.8097365112</v>
      </c>
      <c r="F48" s="314">
        <f>Water!G8</f>
        <v>-1373796.0992638976</v>
      </c>
      <c r="G48" s="314">
        <f>BHS!F8</f>
        <v>-1105575.3402723912</v>
      </c>
      <c r="H48" s="314">
        <f>School!L9</f>
        <v>-1520583.6636786922</v>
      </c>
      <c r="I48" s="314">
        <f>'Day Care'!K9</f>
        <v>-1983478.648911191</v>
      </c>
      <c r="J48" s="297"/>
      <c r="K48" s="312">
        <v>1</v>
      </c>
      <c r="L48" s="315">
        <f>PHF!H8</f>
        <v>0</v>
      </c>
      <c r="M48" s="315">
        <f>Roads!J8</f>
        <v>0</v>
      </c>
      <c r="N48" s="315">
        <f>Roads!K8</f>
        <v>0</v>
      </c>
      <c r="O48" s="316">
        <f>Water!I8</f>
        <v>0</v>
      </c>
      <c r="P48" s="315">
        <f>Water!J8</f>
        <v>0</v>
      </c>
      <c r="Q48" s="316">
        <f>BHS!H8</f>
        <v>0</v>
      </c>
      <c r="R48" s="315">
        <f>School!N9</f>
        <v>0</v>
      </c>
      <c r="S48" s="316">
        <f>'Day Care'!M9</f>
        <v>0</v>
      </c>
      <c r="T48" s="251">
        <f>SUMPRODUCT(L48:S48,$L$68:$S$68)</f>
        <v>0</v>
      </c>
      <c r="U48" s="297"/>
      <c r="V48" s="297"/>
      <c r="W48" s="297"/>
      <c r="X48" s="297"/>
      <c r="Y48" s="297"/>
      <c r="Z48" s="297"/>
      <c r="AA48" s="297"/>
      <c r="AB48" s="297"/>
      <c r="AC48" s="297"/>
      <c r="AD48" s="297"/>
      <c r="AE48" s="297"/>
      <c r="AF48" s="297"/>
      <c r="AG48" s="297"/>
      <c r="AH48" s="297"/>
      <c r="AI48" s="253"/>
      <c r="AJ48" s="297"/>
      <c r="AK48" s="297"/>
      <c r="AL48" s="297"/>
      <c r="AM48" s="297"/>
      <c r="AN48" s="297"/>
      <c r="AO48" s="297"/>
      <c r="AP48" s="297"/>
    </row>
    <row r="49" spans="1:42" ht="12.75">
      <c r="A49" s="312">
        <v>2</v>
      </c>
      <c r="B49" s="317">
        <f>PHF!F9</f>
        <v>248817.4999735912</v>
      </c>
      <c r="C49" s="318">
        <f>Roads!G9</f>
        <v>1306497.2687499996</v>
      </c>
      <c r="D49" s="318">
        <f>Roads!H9</f>
        <v>1473229.2437499997</v>
      </c>
      <c r="E49" s="318">
        <f>Water!F9</f>
        <v>313101.4235505708</v>
      </c>
      <c r="F49" s="318">
        <f>Water!G9</f>
        <v>296032.30200699874</v>
      </c>
      <c r="G49" s="318">
        <f>BHS!F9</f>
        <v>177604.57173314225</v>
      </c>
      <c r="H49" s="318">
        <f>School!L10</f>
        <v>-9825.334222697342</v>
      </c>
      <c r="I49" s="318">
        <f>'Day Care'!K10</f>
        <v>103990.34048083895</v>
      </c>
      <c r="J49" s="297"/>
      <c r="K49" s="312">
        <v>2</v>
      </c>
      <c r="L49" s="319">
        <f>PHF!H9</f>
        <v>248817.4999735912</v>
      </c>
      <c r="M49" s="319">
        <f>Roads!J9</f>
        <v>1306497.2687499996</v>
      </c>
      <c r="N49" s="319">
        <f>Roads!K9</f>
        <v>1473229.2437499997</v>
      </c>
      <c r="O49" s="316">
        <f>Water!I9</f>
        <v>313101.4235505708</v>
      </c>
      <c r="P49" s="319">
        <f>Water!J9</f>
        <v>296032.30200699874</v>
      </c>
      <c r="Q49" s="316">
        <f>BHS!H9</f>
        <v>177604.57173314225</v>
      </c>
      <c r="R49" s="319">
        <f>School!N10</f>
        <v>0</v>
      </c>
      <c r="S49" s="316">
        <f>'Day Care'!M10</f>
        <v>103990.34048083895</v>
      </c>
      <c r="T49" s="248">
        <f aca="true" t="shared" si="34" ref="T49:T67">SUMPRODUCT(L49:S49,$L$68:$S$68)</f>
        <v>530055.5958011202</v>
      </c>
      <c r="U49" s="297"/>
      <c r="V49" s="297"/>
      <c r="W49" s="297"/>
      <c r="X49" s="297"/>
      <c r="Y49" s="297"/>
      <c r="Z49" s="297"/>
      <c r="AA49" s="297"/>
      <c r="AB49" s="297"/>
      <c r="AC49" s="297"/>
      <c r="AD49" s="297"/>
      <c r="AE49" s="297"/>
      <c r="AF49" s="297"/>
      <c r="AG49" s="297"/>
      <c r="AH49" s="297"/>
      <c r="AI49" s="253"/>
      <c r="AJ49" s="297"/>
      <c r="AK49" s="297"/>
      <c r="AL49" s="297"/>
      <c r="AM49" s="297"/>
      <c r="AN49" s="297"/>
      <c r="AO49" s="297"/>
      <c r="AP49" s="297"/>
    </row>
    <row r="50" spans="1:42" ht="12.75">
      <c r="A50" s="312">
        <v>3</v>
      </c>
      <c r="B50" s="317">
        <f>PHF!F10</f>
        <v>248817.4999735912</v>
      </c>
      <c r="C50" s="318">
        <f>Roads!G10</f>
        <v>1306497.2687499996</v>
      </c>
      <c r="D50" s="318">
        <f>Roads!H10</f>
        <v>1473229.2437499997</v>
      </c>
      <c r="E50" s="318">
        <f>Water!F10</f>
        <v>313101.4235505708</v>
      </c>
      <c r="F50" s="318">
        <f>Water!G10</f>
        <v>296032.30200699874</v>
      </c>
      <c r="G50" s="318">
        <f>BHS!F10</f>
        <v>177604.57173314225</v>
      </c>
      <c r="H50" s="318">
        <f>School!L11</f>
        <v>-9825.334222697342</v>
      </c>
      <c r="I50" s="318">
        <f>'Day Care'!K11</f>
        <v>103990.34048083895</v>
      </c>
      <c r="J50" s="297"/>
      <c r="K50" s="312">
        <v>3</v>
      </c>
      <c r="L50" s="319">
        <f>PHF!H10</f>
        <v>248817.4999735912</v>
      </c>
      <c r="M50" s="319">
        <f>Roads!J10</f>
        <v>1306497.2687499996</v>
      </c>
      <c r="N50" s="319">
        <f>Roads!K10</f>
        <v>1473229.2437499997</v>
      </c>
      <c r="O50" s="316">
        <f>Water!I10</f>
        <v>313101.4235505708</v>
      </c>
      <c r="P50" s="319">
        <f>Water!J10</f>
        <v>296032.30200699874</v>
      </c>
      <c r="Q50" s="316">
        <f>BHS!H10</f>
        <v>177604.57173314225</v>
      </c>
      <c r="R50" s="319">
        <f>School!N11</f>
        <v>0</v>
      </c>
      <c r="S50" s="316">
        <f>'Day Care'!M11</f>
        <v>103990.34048083895</v>
      </c>
      <c r="T50" s="248">
        <f t="shared" si="34"/>
        <v>530055.5958011202</v>
      </c>
      <c r="U50" s="297"/>
      <c r="V50" s="297"/>
      <c r="W50" s="297"/>
      <c r="X50" s="297"/>
      <c r="Y50" s="297"/>
      <c r="Z50" s="297"/>
      <c r="AA50" s="297"/>
      <c r="AB50" s="297"/>
      <c r="AC50" s="297"/>
      <c r="AD50" s="297"/>
      <c r="AE50" s="297"/>
      <c r="AF50" s="297"/>
      <c r="AG50" s="297"/>
      <c r="AH50" s="297"/>
      <c r="AI50" s="253"/>
      <c r="AJ50" s="297"/>
      <c r="AK50" s="297"/>
      <c r="AL50" s="297"/>
      <c r="AM50" s="297"/>
      <c r="AN50" s="297"/>
      <c r="AO50" s="297"/>
      <c r="AP50" s="297"/>
    </row>
    <row r="51" spans="1:42" ht="12.75">
      <c r="A51" s="312">
        <v>4</v>
      </c>
      <c r="B51" s="317">
        <f>PHF!F11</f>
        <v>248817.4999735912</v>
      </c>
      <c r="C51" s="318">
        <f>Roads!G11</f>
        <v>1306497.2687499996</v>
      </c>
      <c r="D51" s="318">
        <f>Roads!H11</f>
        <v>1473229.2437499997</v>
      </c>
      <c r="E51" s="318">
        <f>Water!F11</f>
        <v>313101.4235505708</v>
      </c>
      <c r="F51" s="318">
        <f>Water!G11</f>
        <v>296032.30200699874</v>
      </c>
      <c r="G51" s="318">
        <f>BHS!F11</f>
        <v>177604.57173314225</v>
      </c>
      <c r="H51" s="318">
        <f>School!L12</f>
        <v>-9825.334222697342</v>
      </c>
      <c r="I51" s="318">
        <f>'Day Care'!K12</f>
        <v>103990.34048083895</v>
      </c>
      <c r="J51" s="297"/>
      <c r="K51" s="312">
        <v>4</v>
      </c>
      <c r="L51" s="319">
        <f>PHF!H11</f>
        <v>248817.4999735912</v>
      </c>
      <c r="M51" s="319">
        <f>Roads!J11</f>
        <v>1306497.2687499996</v>
      </c>
      <c r="N51" s="319">
        <f>Roads!K11</f>
        <v>1473229.2437499997</v>
      </c>
      <c r="O51" s="316">
        <f>Water!I11</f>
        <v>313101.4235505708</v>
      </c>
      <c r="P51" s="319">
        <f>Water!J11</f>
        <v>296032.30200699874</v>
      </c>
      <c r="Q51" s="316">
        <f>BHS!H11</f>
        <v>177604.57173314225</v>
      </c>
      <c r="R51" s="319">
        <f>School!N12</f>
        <v>0</v>
      </c>
      <c r="S51" s="316">
        <f>'Day Care'!M12</f>
        <v>103990.34048083895</v>
      </c>
      <c r="T51" s="248">
        <f t="shared" si="34"/>
        <v>530055.5958011202</v>
      </c>
      <c r="U51" s="297"/>
      <c r="V51" s="297"/>
      <c r="W51" s="297"/>
      <c r="X51" s="297"/>
      <c r="Y51" s="297"/>
      <c r="Z51" s="297"/>
      <c r="AA51" s="297"/>
      <c r="AB51" s="297"/>
      <c r="AC51" s="297"/>
      <c r="AD51" s="297"/>
      <c r="AE51" s="297"/>
      <c r="AF51" s="297"/>
      <c r="AG51" s="297"/>
      <c r="AH51" s="297"/>
      <c r="AI51" s="253"/>
      <c r="AJ51" s="297"/>
      <c r="AK51" s="297"/>
      <c r="AL51" s="297"/>
      <c r="AM51" s="297"/>
      <c r="AN51" s="297"/>
      <c r="AO51" s="297"/>
      <c r="AP51" s="297"/>
    </row>
    <row r="52" spans="1:42" ht="12.75">
      <c r="A52" s="312">
        <v>5</v>
      </c>
      <c r="B52" s="317">
        <f>PHF!F12</f>
        <v>248817.4999735912</v>
      </c>
      <c r="C52" s="318">
        <f>Roads!G12</f>
        <v>1306497.2687499996</v>
      </c>
      <c r="D52" s="318">
        <f>Roads!H12</f>
        <v>1473229.2437499997</v>
      </c>
      <c r="E52" s="318">
        <f>Water!F12</f>
        <v>313101.4235505708</v>
      </c>
      <c r="F52" s="318">
        <f>Water!G12</f>
        <v>296032.30200699874</v>
      </c>
      <c r="G52" s="318">
        <f>BHS!F12</f>
        <v>177604.57173314225</v>
      </c>
      <c r="H52" s="318">
        <f>School!L13</f>
        <v>-9825.334222697342</v>
      </c>
      <c r="I52" s="318">
        <f>'Day Care'!K13</f>
        <v>103990.34048083895</v>
      </c>
      <c r="J52" s="297"/>
      <c r="K52" s="312">
        <v>5</v>
      </c>
      <c r="L52" s="319">
        <f>PHF!H12</f>
        <v>248817.4999735912</v>
      </c>
      <c r="M52" s="319">
        <f>Roads!J12</f>
        <v>1306497.2687499996</v>
      </c>
      <c r="N52" s="319">
        <f>Roads!K12</f>
        <v>1473229.2437499997</v>
      </c>
      <c r="O52" s="316">
        <f>Water!I12</f>
        <v>313101.4235505708</v>
      </c>
      <c r="P52" s="319">
        <f>Water!J12</f>
        <v>296032.30200699874</v>
      </c>
      <c r="Q52" s="316">
        <f>BHS!H12</f>
        <v>177604.57173314225</v>
      </c>
      <c r="R52" s="319">
        <f>School!N13</f>
        <v>0</v>
      </c>
      <c r="S52" s="316">
        <f>'Day Care'!M13</f>
        <v>103990.34048083895</v>
      </c>
      <c r="T52" s="248">
        <f t="shared" si="34"/>
        <v>530055.5958011202</v>
      </c>
      <c r="U52" s="297"/>
      <c r="V52" s="297"/>
      <c r="W52" s="297"/>
      <c r="X52" s="297"/>
      <c r="Y52" s="297"/>
      <c r="Z52" s="297"/>
      <c r="AA52" s="297"/>
      <c r="AB52" s="297"/>
      <c r="AC52" s="297"/>
      <c r="AD52" s="297"/>
      <c r="AE52" s="297"/>
      <c r="AF52" s="297"/>
      <c r="AG52" s="297"/>
      <c r="AH52" s="297"/>
      <c r="AI52" s="253"/>
      <c r="AJ52" s="297"/>
      <c r="AK52" s="297"/>
      <c r="AL52" s="297"/>
      <c r="AM52" s="297"/>
      <c r="AN52" s="297"/>
      <c r="AO52" s="297"/>
      <c r="AP52" s="297"/>
    </row>
    <row r="53" spans="1:42" ht="12.75">
      <c r="A53" s="312">
        <v>6</v>
      </c>
      <c r="B53" s="317">
        <f>PHF!F13</f>
        <v>248817.4999735912</v>
      </c>
      <c r="C53" s="318">
        <f>Roads!G13</f>
        <v>1306497.2687499996</v>
      </c>
      <c r="D53" s="318">
        <f>Roads!H13</f>
        <v>1473229.2437499997</v>
      </c>
      <c r="E53" s="318">
        <f>Water!F13</f>
        <v>313101.4235505708</v>
      </c>
      <c r="F53" s="318">
        <f>Water!G13</f>
        <v>296032.30200699874</v>
      </c>
      <c r="G53" s="318">
        <f>BHS!F13</f>
        <v>177604.57173314225</v>
      </c>
      <c r="H53" s="318">
        <f>School!L14</f>
        <v>17671.958932125206</v>
      </c>
      <c r="I53" s="318">
        <f>'Day Care'!K14</f>
        <v>103990.34048083895</v>
      </c>
      <c r="J53" s="297"/>
      <c r="K53" s="312">
        <v>6</v>
      </c>
      <c r="L53" s="319">
        <f>PHF!H13</f>
        <v>248817.4999735912</v>
      </c>
      <c r="M53" s="319">
        <f>Roads!J13</f>
        <v>1306497.2687499996</v>
      </c>
      <c r="N53" s="319">
        <f>Roads!K13</f>
        <v>1473229.2437499997</v>
      </c>
      <c r="O53" s="316">
        <f>Water!I13</f>
        <v>313101.4235505708</v>
      </c>
      <c r="P53" s="319">
        <f>Water!J13</f>
        <v>296032.30200699874</v>
      </c>
      <c r="Q53" s="316">
        <f>BHS!H13</f>
        <v>177604.57173314225</v>
      </c>
      <c r="R53" s="319">
        <f>School!N14</f>
        <v>17671.958932125206</v>
      </c>
      <c r="S53" s="316">
        <f>'Day Care'!M14</f>
        <v>103990.34048083895</v>
      </c>
      <c r="T53" s="248">
        <f t="shared" si="34"/>
        <v>532507.0176723017</v>
      </c>
      <c r="U53" s="297"/>
      <c r="V53" s="297"/>
      <c r="W53" s="297"/>
      <c r="X53" s="297"/>
      <c r="Y53" s="297"/>
      <c r="Z53" s="297"/>
      <c r="AA53" s="297"/>
      <c r="AB53" s="297"/>
      <c r="AC53" s="297"/>
      <c r="AD53" s="297"/>
      <c r="AE53" s="297"/>
      <c r="AF53" s="297"/>
      <c r="AG53" s="297"/>
      <c r="AH53" s="297"/>
      <c r="AI53" s="253"/>
      <c r="AJ53" s="297"/>
      <c r="AK53" s="297"/>
      <c r="AL53" s="297"/>
      <c r="AM53" s="297"/>
      <c r="AN53" s="297"/>
      <c r="AO53" s="297"/>
      <c r="AP53" s="297"/>
    </row>
    <row r="54" spans="1:42" ht="12.75">
      <c r="A54" s="312">
        <v>7</v>
      </c>
      <c r="B54" s="317">
        <f>PHF!F14</f>
        <v>248817.4999735912</v>
      </c>
      <c r="C54" s="318">
        <f>Roads!G14</f>
        <v>1306497.2687499996</v>
      </c>
      <c r="D54" s="318">
        <f>Roads!H14</f>
        <v>1473229.2437499997</v>
      </c>
      <c r="E54" s="318">
        <f>Water!F14</f>
        <v>313101.4235505708</v>
      </c>
      <c r="F54" s="318">
        <f>Water!G14</f>
        <v>296032.30200699874</v>
      </c>
      <c r="G54" s="318">
        <f>BHS!F14</f>
        <v>177604.57173314225</v>
      </c>
      <c r="H54" s="318">
        <f>School!L15</f>
        <v>54335.0164718886</v>
      </c>
      <c r="I54" s="318">
        <f>'Day Care'!K15</f>
        <v>103990.34048083895</v>
      </c>
      <c r="J54" s="297"/>
      <c r="K54" s="312">
        <v>7</v>
      </c>
      <c r="L54" s="319">
        <f>PHF!H14</f>
        <v>248817.4999735912</v>
      </c>
      <c r="M54" s="319">
        <f>Roads!J14</f>
        <v>1306497.2687499996</v>
      </c>
      <c r="N54" s="319">
        <f>Roads!K14</f>
        <v>1473229.2437499997</v>
      </c>
      <c r="O54" s="316">
        <f>Water!I14</f>
        <v>313101.4235505708</v>
      </c>
      <c r="P54" s="319">
        <f>Water!J14</f>
        <v>296032.30200699874</v>
      </c>
      <c r="Q54" s="316">
        <f>BHS!H14</f>
        <v>177604.57173314225</v>
      </c>
      <c r="R54" s="319">
        <f>School!N15</f>
        <v>54335.0164718886</v>
      </c>
      <c r="S54" s="316">
        <f>'Day Care'!M15</f>
        <v>103990.34048083895</v>
      </c>
      <c r="T54" s="248">
        <f t="shared" si="34"/>
        <v>537592.8500614875</v>
      </c>
      <c r="U54" s="297"/>
      <c r="V54" s="297"/>
      <c r="W54" s="297"/>
      <c r="X54" s="297"/>
      <c r="Y54" s="297"/>
      <c r="Z54" s="297"/>
      <c r="AA54" s="297"/>
      <c r="AB54" s="297"/>
      <c r="AC54" s="297"/>
      <c r="AD54" s="297"/>
      <c r="AE54" s="297"/>
      <c r="AF54" s="297"/>
      <c r="AG54" s="297"/>
      <c r="AH54" s="297"/>
      <c r="AI54" s="253"/>
      <c r="AJ54" s="297"/>
      <c r="AK54" s="297"/>
      <c r="AL54" s="297"/>
      <c r="AM54" s="297"/>
      <c r="AN54" s="297"/>
      <c r="AO54" s="297"/>
      <c r="AP54" s="297"/>
    </row>
    <row r="55" spans="1:42" ht="12.75">
      <c r="A55" s="312">
        <v>8</v>
      </c>
      <c r="B55" s="317">
        <f>PHF!F15</f>
        <v>248817.4999735912</v>
      </c>
      <c r="C55" s="318">
        <f>Roads!G15</f>
        <v>1306497.2687499996</v>
      </c>
      <c r="D55" s="318">
        <f>Roads!H15</f>
        <v>1473229.2437499997</v>
      </c>
      <c r="E55" s="318">
        <f>Water!F15</f>
        <v>313101.4235505708</v>
      </c>
      <c r="F55" s="318">
        <f>Water!G15</f>
        <v>296032.30200699874</v>
      </c>
      <c r="G55" s="318">
        <f>BHS!F15</f>
        <v>177604.57173314225</v>
      </c>
      <c r="H55" s="318">
        <f>School!L16</f>
        <v>100163.83839659284</v>
      </c>
      <c r="I55" s="318">
        <f>'Day Care'!K16</f>
        <v>103990.34048083895</v>
      </c>
      <c r="J55" s="297"/>
      <c r="K55" s="312">
        <v>8</v>
      </c>
      <c r="L55" s="319">
        <f>PHF!H15</f>
        <v>248817.4999735912</v>
      </c>
      <c r="M55" s="319">
        <f>Roads!J15</f>
        <v>1306497.2687499996</v>
      </c>
      <c r="N55" s="319">
        <f>Roads!K15</f>
        <v>1473229.2437499997</v>
      </c>
      <c r="O55" s="316">
        <f>Water!I15</f>
        <v>313101.4235505708</v>
      </c>
      <c r="P55" s="319">
        <f>Water!J15</f>
        <v>296032.30200699874</v>
      </c>
      <c r="Q55" s="316">
        <f>BHS!H15</f>
        <v>177604.57173314225</v>
      </c>
      <c r="R55" s="319">
        <f>School!N16</f>
        <v>100163.83839659284</v>
      </c>
      <c r="S55" s="316">
        <f>'Day Care'!M16</f>
        <v>103990.34048083895</v>
      </c>
      <c r="T55" s="248">
        <f t="shared" si="34"/>
        <v>543950.1405479697</v>
      </c>
      <c r="U55" s="297"/>
      <c r="V55" s="297"/>
      <c r="W55" s="297"/>
      <c r="X55" s="297"/>
      <c r="Y55" s="297"/>
      <c r="Z55" s="297"/>
      <c r="AA55" s="297"/>
      <c r="AB55" s="297"/>
      <c r="AC55" s="297"/>
      <c r="AD55" s="297"/>
      <c r="AE55" s="297"/>
      <c r="AF55" s="297"/>
      <c r="AG55" s="297"/>
      <c r="AH55" s="297"/>
      <c r="AI55" s="253"/>
      <c r="AJ55" s="297"/>
      <c r="AK55" s="297"/>
      <c r="AL55" s="297"/>
      <c r="AM55" s="297"/>
      <c r="AN55" s="297"/>
      <c r="AO55" s="297"/>
      <c r="AP55" s="297"/>
    </row>
    <row r="56" spans="1:42" ht="12.75">
      <c r="A56" s="312">
        <v>9</v>
      </c>
      <c r="B56" s="317">
        <f>PHF!F16</f>
        <v>248817.4999735912</v>
      </c>
      <c r="C56" s="318">
        <f>Roads!G16</f>
        <v>1306497.2687499996</v>
      </c>
      <c r="D56" s="318">
        <f>Roads!H16</f>
        <v>1473229.2437499997</v>
      </c>
      <c r="E56" s="318">
        <f>Water!F16</f>
        <v>313101.4235505708</v>
      </c>
      <c r="F56" s="318">
        <f>Water!G16</f>
        <v>296032.30200699874</v>
      </c>
      <c r="G56" s="318">
        <f>BHS!F16</f>
        <v>177604.57173314225</v>
      </c>
      <c r="H56" s="318">
        <f>School!L17</f>
        <v>155158.42470623794</v>
      </c>
      <c r="I56" s="318">
        <f>'Day Care'!K17</f>
        <v>103990.34048083895</v>
      </c>
      <c r="J56" s="297"/>
      <c r="K56" s="312">
        <v>9</v>
      </c>
      <c r="L56" s="319">
        <f>PHF!H16</f>
        <v>248817.4999735912</v>
      </c>
      <c r="M56" s="319">
        <f>Roads!J16</f>
        <v>1306497.2687499996</v>
      </c>
      <c r="N56" s="319">
        <f>Roads!K16</f>
        <v>1473229.2437499997</v>
      </c>
      <c r="O56" s="316">
        <f>Water!I16</f>
        <v>313101.4235505708</v>
      </c>
      <c r="P56" s="319">
        <f>Water!J16</f>
        <v>296032.30200699874</v>
      </c>
      <c r="Q56" s="316">
        <f>BHS!H16</f>
        <v>177604.57173314225</v>
      </c>
      <c r="R56" s="319">
        <f>School!N17</f>
        <v>155158.42470623794</v>
      </c>
      <c r="S56" s="316">
        <f>'Day Care'!M17</f>
        <v>103990.34048083895</v>
      </c>
      <c r="T56" s="248">
        <f>SUMPRODUCT(L56:S56,$L$68:$S$68)</f>
        <v>551578.8891317485</v>
      </c>
      <c r="U56" s="297"/>
      <c r="V56" s="297"/>
      <c r="W56" s="297"/>
      <c r="X56" s="297"/>
      <c r="Y56" s="297"/>
      <c r="Z56" s="297"/>
      <c r="AA56" s="297"/>
      <c r="AB56" s="297"/>
      <c r="AC56" s="297"/>
      <c r="AD56" s="297"/>
      <c r="AE56" s="297"/>
      <c r="AF56" s="297"/>
      <c r="AG56" s="297"/>
      <c r="AH56" s="297"/>
      <c r="AI56" s="253"/>
      <c r="AJ56" s="297"/>
      <c r="AK56" s="297"/>
      <c r="AL56" s="297"/>
      <c r="AM56" s="297"/>
      <c r="AN56" s="297"/>
      <c r="AO56" s="297"/>
      <c r="AP56" s="297"/>
    </row>
    <row r="57" spans="1:42" ht="12.75">
      <c r="A57" s="312">
        <v>10</v>
      </c>
      <c r="B57" s="317">
        <f>PHF!F17</f>
        <v>248817.4999735912</v>
      </c>
      <c r="C57" s="318">
        <f>Roads!G17</f>
        <v>1306497.2687499996</v>
      </c>
      <c r="D57" s="318">
        <f>Roads!H17</f>
        <v>1473229.2437499997</v>
      </c>
      <c r="E57" s="318">
        <f>Water!F17</f>
        <v>313101.4235505708</v>
      </c>
      <c r="F57" s="318">
        <f>Water!G17</f>
        <v>296032.30200699874</v>
      </c>
      <c r="G57" s="318">
        <f>BHS!F17</f>
        <v>177604.57173314225</v>
      </c>
      <c r="H57" s="318">
        <f>School!L18</f>
        <v>219318.77540082388</v>
      </c>
      <c r="I57" s="318">
        <f>'Day Care'!K18</f>
        <v>103990.34048083895</v>
      </c>
      <c r="J57" s="297"/>
      <c r="K57" s="312">
        <v>10</v>
      </c>
      <c r="L57" s="319">
        <f>PHF!H17</f>
        <v>248817.4999735912</v>
      </c>
      <c r="M57" s="319">
        <f>Roads!J17</f>
        <v>1306497.2687499996</v>
      </c>
      <c r="N57" s="319">
        <f>Roads!K17</f>
        <v>1473229.2437499997</v>
      </c>
      <c r="O57" s="316">
        <f>Water!I17</f>
        <v>313101.4235505708</v>
      </c>
      <c r="P57" s="319">
        <f>Water!J17</f>
        <v>296032.30200699874</v>
      </c>
      <c r="Q57" s="316">
        <f>BHS!H17</f>
        <v>177604.57173314225</v>
      </c>
      <c r="R57" s="319">
        <f>School!N18</f>
        <v>219318.77540082388</v>
      </c>
      <c r="S57" s="316">
        <f>'Day Care'!M18</f>
        <v>103990.34048083895</v>
      </c>
      <c r="T57" s="248">
        <f t="shared" si="34"/>
        <v>560479.0958128236</v>
      </c>
      <c r="U57" s="297"/>
      <c r="V57" s="297"/>
      <c r="W57" s="297"/>
      <c r="X57" s="297"/>
      <c r="Y57" s="297"/>
      <c r="Z57" s="297"/>
      <c r="AA57" s="297"/>
      <c r="AB57" s="297"/>
      <c r="AC57" s="297"/>
      <c r="AD57" s="297"/>
      <c r="AE57" s="297"/>
      <c r="AF57" s="297"/>
      <c r="AG57" s="297"/>
      <c r="AH57" s="297"/>
      <c r="AI57" s="253"/>
      <c r="AJ57" s="297"/>
      <c r="AK57" s="297"/>
      <c r="AL57" s="297"/>
      <c r="AM57" s="297"/>
      <c r="AN57" s="297"/>
      <c r="AO57" s="297"/>
      <c r="AP57" s="297"/>
    </row>
    <row r="58" spans="1:42" ht="12.75">
      <c r="A58" s="312">
        <v>11</v>
      </c>
      <c r="B58" s="317">
        <f>PHF!F18</f>
        <v>248817.4999735912</v>
      </c>
      <c r="C58" s="318">
        <f>Roads!G18</f>
        <v>0</v>
      </c>
      <c r="D58" s="318">
        <f>Roads!H18</f>
        <v>0</v>
      </c>
      <c r="E58" s="318">
        <f>Water!F18</f>
        <v>0</v>
      </c>
      <c r="F58" s="318">
        <f>Water!G18</f>
        <v>0</v>
      </c>
      <c r="G58" s="318">
        <f>BHS!F18</f>
        <v>177604.57173314225</v>
      </c>
      <c r="H58" s="318">
        <f>School!L19</f>
        <v>283479.1260954098</v>
      </c>
      <c r="I58" s="318">
        <f>'Day Care'!K19</f>
        <v>139932.88611983965</v>
      </c>
      <c r="J58" s="297"/>
      <c r="K58" s="312">
        <v>11</v>
      </c>
      <c r="L58" s="319">
        <f>PHF!H18</f>
        <v>248817.4999735912</v>
      </c>
      <c r="M58" s="319">
        <f>Roads!J18</f>
        <v>0</v>
      </c>
      <c r="N58" s="319">
        <f>Roads!K18</f>
        <v>0</v>
      </c>
      <c r="O58" s="316">
        <f>Water!I18</f>
        <v>0</v>
      </c>
      <c r="P58" s="319">
        <f>Water!J18</f>
        <v>0</v>
      </c>
      <c r="Q58" s="316">
        <f>BHS!H18</f>
        <v>177604.57173314225</v>
      </c>
      <c r="R58" s="319">
        <f>School!N19</f>
        <v>283479.1260954098</v>
      </c>
      <c r="S58" s="316">
        <f>'Day Care'!M19</f>
        <v>139932.88611983965</v>
      </c>
      <c r="T58" s="248">
        <f t="shared" si="34"/>
        <v>86199.03121626827</v>
      </c>
      <c r="U58" s="297"/>
      <c r="V58" s="297"/>
      <c r="W58" s="297"/>
      <c r="X58" s="297"/>
      <c r="Y58" s="297"/>
      <c r="Z58" s="297"/>
      <c r="AA58" s="297"/>
      <c r="AB58" s="297"/>
      <c r="AC58" s="297"/>
      <c r="AD58" s="297"/>
      <c r="AE58" s="297"/>
      <c r="AF58" s="297"/>
      <c r="AG58" s="297"/>
      <c r="AH58" s="297"/>
      <c r="AI58" s="253"/>
      <c r="AJ58" s="297"/>
      <c r="AK58" s="297"/>
      <c r="AL58" s="297"/>
      <c r="AM58" s="297"/>
      <c r="AN58" s="297"/>
      <c r="AO58" s="297"/>
      <c r="AP58" s="297"/>
    </row>
    <row r="59" spans="1:42" ht="12.75">
      <c r="A59" s="312">
        <v>12</v>
      </c>
      <c r="B59" s="317">
        <f>PHF!F19</f>
        <v>248817.4999735912</v>
      </c>
      <c r="C59" s="318">
        <f>Roads!G19</f>
        <v>0</v>
      </c>
      <c r="D59" s="318">
        <f>Roads!H19</f>
        <v>0</v>
      </c>
      <c r="E59" s="318">
        <f>Water!F19</f>
        <v>0</v>
      </c>
      <c r="F59" s="318">
        <f>Water!G19</f>
        <v>0</v>
      </c>
      <c r="G59" s="318">
        <f>BHS!F19</f>
        <v>177604.57173314225</v>
      </c>
      <c r="H59" s="318">
        <f>School!L20</f>
        <v>347639.47678999574</v>
      </c>
      <c r="I59" s="318">
        <f>'Day Care'!K20</f>
        <v>175875.43175884034</v>
      </c>
      <c r="J59" s="297"/>
      <c r="K59" s="312">
        <v>12</v>
      </c>
      <c r="L59" s="319">
        <f>PHF!H19</f>
        <v>248817.4999735912</v>
      </c>
      <c r="M59" s="319">
        <f>Roads!J19</f>
        <v>0</v>
      </c>
      <c r="N59" s="319">
        <f>Roads!K19</f>
        <v>0</v>
      </c>
      <c r="O59" s="316">
        <f>Water!I19</f>
        <v>0</v>
      </c>
      <c r="P59" s="319">
        <f>Water!J19</f>
        <v>0</v>
      </c>
      <c r="Q59" s="316">
        <f>BHS!H19</f>
        <v>177604.57173314225</v>
      </c>
      <c r="R59" s="319">
        <f>School!N20</f>
        <v>347639.47678999574</v>
      </c>
      <c r="S59" s="316">
        <f>'Day Care'!M20</f>
        <v>175875.43175884034</v>
      </c>
      <c r="T59" s="248">
        <f t="shared" si="34"/>
        <v>99091.10095558187</v>
      </c>
      <c r="U59" s="297"/>
      <c r="V59" s="297"/>
      <c r="W59" s="297"/>
      <c r="X59" s="297"/>
      <c r="Y59" s="297"/>
      <c r="Z59" s="297"/>
      <c r="AA59" s="297"/>
      <c r="AB59" s="297"/>
      <c r="AC59" s="297"/>
      <c r="AD59" s="297"/>
      <c r="AE59" s="297"/>
      <c r="AF59" s="297"/>
      <c r="AG59" s="297"/>
      <c r="AH59" s="297"/>
      <c r="AI59" s="253"/>
      <c r="AJ59" s="297"/>
      <c r="AK59" s="297"/>
      <c r="AL59" s="297"/>
      <c r="AM59" s="297"/>
      <c r="AN59" s="297"/>
      <c r="AO59" s="297"/>
      <c r="AP59" s="297"/>
    </row>
    <row r="60" spans="1:42" ht="12.75">
      <c r="A60" s="312">
        <v>13</v>
      </c>
      <c r="B60" s="317">
        <f>PHF!F20</f>
        <v>248817.4999735912</v>
      </c>
      <c r="C60" s="318">
        <f>Roads!G20</f>
        <v>0</v>
      </c>
      <c r="D60" s="318">
        <f>Roads!H20</f>
        <v>0</v>
      </c>
      <c r="E60" s="318">
        <f>Water!F20</f>
        <v>0</v>
      </c>
      <c r="F60" s="318">
        <f>Water!G20</f>
        <v>0</v>
      </c>
      <c r="G60" s="318">
        <f>BHS!F20</f>
        <v>177604.57173314225</v>
      </c>
      <c r="H60" s="318">
        <f>School!L21</f>
        <v>411799.8274845817</v>
      </c>
      <c r="I60" s="318">
        <f>'Day Care'!K21</f>
        <v>211817.97739784105</v>
      </c>
      <c r="J60" s="297"/>
      <c r="K60" s="312">
        <v>13</v>
      </c>
      <c r="L60" s="319">
        <f>PHF!H20</f>
        <v>248817.4999735912</v>
      </c>
      <c r="M60" s="319">
        <f>Roads!J20</f>
        <v>0</v>
      </c>
      <c r="N60" s="319">
        <f>Roads!K20</f>
        <v>0</v>
      </c>
      <c r="O60" s="316">
        <f>Water!I20</f>
        <v>0</v>
      </c>
      <c r="P60" s="319">
        <f>Water!J20</f>
        <v>0</v>
      </c>
      <c r="Q60" s="316">
        <f>BHS!H20</f>
        <v>177604.57173314225</v>
      </c>
      <c r="R60" s="319">
        <f>School!N21</f>
        <v>411799.8274845817</v>
      </c>
      <c r="S60" s="316">
        <f>'Day Care'!M21</f>
        <v>211817.97739784105</v>
      </c>
      <c r="T60" s="248">
        <f t="shared" si="34"/>
        <v>111983.17069489544</v>
      </c>
      <c r="U60" s="297"/>
      <c r="V60" s="297"/>
      <c r="W60" s="297"/>
      <c r="X60" s="297"/>
      <c r="Y60" s="297"/>
      <c r="Z60" s="297"/>
      <c r="AA60" s="297"/>
      <c r="AB60" s="297"/>
      <c r="AC60" s="297"/>
      <c r="AD60" s="297"/>
      <c r="AE60" s="297"/>
      <c r="AF60" s="297"/>
      <c r="AG60" s="297"/>
      <c r="AH60" s="297"/>
      <c r="AI60" s="253"/>
      <c r="AJ60" s="297"/>
      <c r="AK60" s="297"/>
      <c r="AL60" s="297"/>
      <c r="AM60" s="297"/>
      <c r="AN60" s="297"/>
      <c r="AO60" s="297"/>
      <c r="AP60" s="297"/>
    </row>
    <row r="61" spans="1:42" ht="12.75">
      <c r="A61" s="312">
        <v>14</v>
      </c>
      <c r="B61" s="317">
        <f>PHF!F21</f>
        <v>248817.4999735912</v>
      </c>
      <c r="C61" s="318">
        <f>Roads!G21</f>
        <v>0</v>
      </c>
      <c r="D61" s="318">
        <f>Roads!H21</f>
        <v>0</v>
      </c>
      <c r="E61" s="318">
        <f>Water!F21</f>
        <v>0</v>
      </c>
      <c r="F61" s="318">
        <f>Water!G21</f>
        <v>0</v>
      </c>
      <c r="G61" s="318">
        <f>BHS!F21</f>
        <v>177604.57173314225</v>
      </c>
      <c r="H61" s="318">
        <f>School!L22</f>
        <v>475960.1781791677</v>
      </c>
      <c r="I61" s="318">
        <f>'Day Care'!K22</f>
        <v>247760.5230368417</v>
      </c>
      <c r="J61" s="297"/>
      <c r="K61" s="312">
        <v>14</v>
      </c>
      <c r="L61" s="319">
        <f>PHF!H21</f>
        <v>248817.4999735912</v>
      </c>
      <c r="M61" s="319">
        <f>Roads!J21</f>
        <v>0</v>
      </c>
      <c r="N61" s="319">
        <f>Roads!K21</f>
        <v>0</v>
      </c>
      <c r="O61" s="316">
        <f>Water!I21</f>
        <v>0</v>
      </c>
      <c r="P61" s="319">
        <f>Water!J21</f>
        <v>0</v>
      </c>
      <c r="Q61" s="316">
        <f>BHS!H21</f>
        <v>177604.57173314225</v>
      </c>
      <c r="R61" s="319">
        <f>School!N22</f>
        <v>475960.1781791677</v>
      </c>
      <c r="S61" s="316">
        <f>'Day Care'!M22</f>
        <v>247760.5230368417</v>
      </c>
      <c r="T61" s="248">
        <f t="shared" si="34"/>
        <v>124875.24043420904</v>
      </c>
      <c r="U61" s="297"/>
      <c r="V61" s="297"/>
      <c r="W61" s="297"/>
      <c r="X61" s="297"/>
      <c r="Y61" s="297"/>
      <c r="Z61" s="297"/>
      <c r="AA61" s="297"/>
      <c r="AB61" s="297"/>
      <c r="AC61" s="297"/>
      <c r="AD61" s="297"/>
      <c r="AE61" s="297"/>
      <c r="AF61" s="297"/>
      <c r="AG61" s="297"/>
      <c r="AH61" s="297"/>
      <c r="AI61" s="253"/>
      <c r="AJ61" s="297"/>
      <c r="AK61" s="297"/>
      <c r="AL61" s="297"/>
      <c r="AM61" s="297"/>
      <c r="AN61" s="297"/>
      <c r="AO61" s="297"/>
      <c r="AP61" s="297"/>
    </row>
    <row r="62" spans="1:42" ht="12.75">
      <c r="A62" s="312">
        <v>15</v>
      </c>
      <c r="B62" s="317">
        <f>PHF!F22</f>
        <v>248817.4999735912</v>
      </c>
      <c r="C62" s="318">
        <f>Roads!G22</f>
        <v>0</v>
      </c>
      <c r="D62" s="318">
        <f>Roads!H22</f>
        <v>0</v>
      </c>
      <c r="E62" s="318">
        <f>Water!F22</f>
        <v>0</v>
      </c>
      <c r="F62" s="318">
        <f>Water!G22</f>
        <v>0</v>
      </c>
      <c r="G62" s="318">
        <f>BHS!F22</f>
        <v>177604.57173314225</v>
      </c>
      <c r="H62" s="318">
        <f>School!L23</f>
        <v>540120.5288737536</v>
      </c>
      <c r="I62" s="318">
        <f>'Day Care'!K23</f>
        <v>283703.0686758424</v>
      </c>
      <c r="J62" s="297"/>
      <c r="K62" s="312">
        <v>15</v>
      </c>
      <c r="L62" s="319">
        <f>PHF!H22</f>
        <v>248817.4999735912</v>
      </c>
      <c r="M62" s="319">
        <f>Roads!J22</f>
        <v>0</v>
      </c>
      <c r="N62" s="319">
        <f>Roads!K22</f>
        <v>0</v>
      </c>
      <c r="O62" s="316">
        <f>Water!I22</f>
        <v>0</v>
      </c>
      <c r="P62" s="319">
        <f>Water!J22</f>
        <v>0</v>
      </c>
      <c r="Q62" s="316">
        <f>BHS!H22</f>
        <v>177604.57173314225</v>
      </c>
      <c r="R62" s="319">
        <f>School!N23</f>
        <v>540120.5288737536</v>
      </c>
      <c r="S62" s="316">
        <f>'Day Care'!M23</f>
        <v>283703.0686758424</v>
      </c>
      <c r="T62" s="248">
        <f t="shared" si="34"/>
        <v>137767.31017352262</v>
      </c>
      <c r="U62" s="297"/>
      <c r="V62" s="297"/>
      <c r="W62" s="297"/>
      <c r="X62" s="297"/>
      <c r="Y62" s="297"/>
      <c r="Z62" s="297"/>
      <c r="AA62" s="297"/>
      <c r="AB62" s="297"/>
      <c r="AC62" s="297"/>
      <c r="AD62" s="297"/>
      <c r="AE62" s="297"/>
      <c r="AF62" s="297"/>
      <c r="AG62" s="297"/>
      <c r="AH62" s="297"/>
      <c r="AI62" s="253"/>
      <c r="AJ62" s="297"/>
      <c r="AK62" s="297"/>
      <c r="AL62" s="297"/>
      <c r="AM62" s="297"/>
      <c r="AN62" s="297"/>
      <c r="AO62" s="297"/>
      <c r="AP62" s="297"/>
    </row>
    <row r="63" spans="1:42" ht="12.75">
      <c r="A63" s="312">
        <v>16</v>
      </c>
      <c r="B63" s="317">
        <f>PHF!F23</f>
        <v>248817.4999735912</v>
      </c>
      <c r="C63" s="318">
        <f>Roads!G23</f>
        <v>0</v>
      </c>
      <c r="D63" s="318">
        <f>Roads!H23</f>
        <v>0</v>
      </c>
      <c r="E63" s="318">
        <f>Water!F23</f>
        <v>0</v>
      </c>
      <c r="F63" s="318">
        <f>Water!G23</f>
        <v>0</v>
      </c>
      <c r="G63" s="318">
        <f>BHS!F23</f>
        <v>177604.57173314225</v>
      </c>
      <c r="H63" s="318">
        <f>School!L24</f>
        <v>604280.8795683396</v>
      </c>
      <c r="I63" s="318">
        <f>'Day Care'!K24</f>
        <v>319645.61431484314</v>
      </c>
      <c r="J63" s="297"/>
      <c r="K63" s="312">
        <v>16</v>
      </c>
      <c r="L63" s="319">
        <f>PHF!H23</f>
        <v>248817.4999735912</v>
      </c>
      <c r="M63" s="319">
        <f>Roads!J23</f>
        <v>0</v>
      </c>
      <c r="N63" s="319">
        <f>Roads!K23</f>
        <v>0</v>
      </c>
      <c r="O63" s="316">
        <f>Water!I23</f>
        <v>0</v>
      </c>
      <c r="P63" s="319">
        <f>Water!J23</f>
        <v>0</v>
      </c>
      <c r="Q63" s="316">
        <f>BHS!H23</f>
        <v>177604.57173314225</v>
      </c>
      <c r="R63" s="319">
        <f>School!N24</f>
        <v>604280.8795683396</v>
      </c>
      <c r="S63" s="316">
        <f>'Day Care'!M24</f>
        <v>319645.61431484314</v>
      </c>
      <c r="T63" s="248">
        <f t="shared" si="34"/>
        <v>150659.37991283622</v>
      </c>
      <c r="U63" s="297"/>
      <c r="V63" s="297"/>
      <c r="W63" s="297"/>
      <c r="X63" s="297"/>
      <c r="Y63" s="297"/>
      <c r="Z63" s="297"/>
      <c r="AA63" s="297"/>
      <c r="AB63" s="297"/>
      <c r="AC63" s="297"/>
      <c r="AD63" s="297"/>
      <c r="AE63" s="297"/>
      <c r="AF63" s="297"/>
      <c r="AG63" s="297"/>
      <c r="AH63" s="297"/>
      <c r="AI63" s="253"/>
      <c r="AJ63" s="297"/>
      <c r="AK63" s="297"/>
      <c r="AL63" s="297"/>
      <c r="AM63" s="297"/>
      <c r="AN63" s="297"/>
      <c r="AO63" s="297"/>
      <c r="AP63" s="297"/>
    </row>
    <row r="64" spans="1:42" ht="12.75">
      <c r="A64" s="312">
        <v>17</v>
      </c>
      <c r="B64" s="317">
        <f>PHF!F24</f>
        <v>248817.4999735912</v>
      </c>
      <c r="C64" s="318">
        <f>Roads!G24</f>
        <v>0</v>
      </c>
      <c r="D64" s="318">
        <f>Roads!H24</f>
        <v>0</v>
      </c>
      <c r="E64" s="318">
        <f>Water!F24</f>
        <v>0</v>
      </c>
      <c r="F64" s="318">
        <f>Water!G24</f>
        <v>0</v>
      </c>
      <c r="G64" s="318">
        <f>BHS!F24</f>
        <v>177604.57173314225</v>
      </c>
      <c r="H64" s="318">
        <f>School!L25</f>
        <v>668441.2302629255</v>
      </c>
      <c r="I64" s="318">
        <f>'Day Care'!K25</f>
        <v>355588.1599538438</v>
      </c>
      <c r="J64" s="297"/>
      <c r="K64" s="312">
        <v>17</v>
      </c>
      <c r="L64" s="319">
        <f>PHF!H24</f>
        <v>248817.4999735912</v>
      </c>
      <c r="M64" s="319">
        <f>Roads!J24</f>
        <v>0</v>
      </c>
      <c r="N64" s="319">
        <f>Roads!K24</f>
        <v>0</v>
      </c>
      <c r="O64" s="316">
        <f>Water!I24</f>
        <v>0</v>
      </c>
      <c r="P64" s="319">
        <f>Water!J24</f>
        <v>0</v>
      </c>
      <c r="Q64" s="316">
        <f>BHS!H24</f>
        <v>177604.57173314225</v>
      </c>
      <c r="R64" s="319">
        <f>School!N25</f>
        <v>668441.2302629255</v>
      </c>
      <c r="S64" s="316">
        <f>'Day Care'!M25</f>
        <v>355588.1599538438</v>
      </c>
      <c r="T64" s="248">
        <f t="shared" si="34"/>
        <v>163551.4496521498</v>
      </c>
      <c r="U64" s="297"/>
      <c r="V64" s="297"/>
      <c r="W64" s="297"/>
      <c r="X64" s="297"/>
      <c r="Y64" s="297"/>
      <c r="Z64" s="297"/>
      <c r="AA64" s="297"/>
      <c r="AB64" s="297"/>
      <c r="AC64" s="297"/>
      <c r="AD64" s="297"/>
      <c r="AE64" s="297"/>
      <c r="AF64" s="297"/>
      <c r="AG64" s="297"/>
      <c r="AH64" s="297"/>
      <c r="AI64" s="253"/>
      <c r="AJ64" s="297"/>
      <c r="AK64" s="297"/>
      <c r="AL64" s="297"/>
      <c r="AM64" s="297"/>
      <c r="AN64" s="297"/>
      <c r="AO64" s="297"/>
      <c r="AP64" s="297"/>
    </row>
    <row r="65" spans="1:42" ht="12.75">
      <c r="A65" s="312">
        <v>18</v>
      </c>
      <c r="B65" s="317">
        <f>PHF!F25</f>
        <v>248817.4999735912</v>
      </c>
      <c r="C65" s="318">
        <f>Roads!G25</f>
        <v>0</v>
      </c>
      <c r="D65" s="318">
        <f>Roads!H25</f>
        <v>0</v>
      </c>
      <c r="E65" s="318">
        <f>Water!F25</f>
        <v>0</v>
      </c>
      <c r="F65" s="318">
        <f>Water!G25</f>
        <v>0</v>
      </c>
      <c r="G65" s="318">
        <f>BHS!F25</f>
        <v>177604.57173314225</v>
      </c>
      <c r="H65" s="318">
        <f>School!L26</f>
        <v>732601.5809575114</v>
      </c>
      <c r="I65" s="318">
        <f>'Day Care'!K26</f>
        <v>391530.7055928445</v>
      </c>
      <c r="J65" s="297"/>
      <c r="K65" s="312">
        <v>18</v>
      </c>
      <c r="L65" s="319">
        <f>PHF!H25</f>
        <v>248817.4999735912</v>
      </c>
      <c r="M65" s="319">
        <f>Roads!J25</f>
        <v>0</v>
      </c>
      <c r="N65" s="319">
        <f>Roads!K25</f>
        <v>0</v>
      </c>
      <c r="O65" s="316">
        <f>Water!I25</f>
        <v>0</v>
      </c>
      <c r="P65" s="319">
        <f>Water!J25</f>
        <v>0</v>
      </c>
      <c r="Q65" s="316">
        <f>BHS!H25</f>
        <v>177604.57173314225</v>
      </c>
      <c r="R65" s="319">
        <f>School!N26</f>
        <v>732601.5809575114</v>
      </c>
      <c r="S65" s="316">
        <f>'Day Care'!M26</f>
        <v>391530.7055928445</v>
      </c>
      <c r="T65" s="248">
        <f t="shared" si="34"/>
        <v>176443.5193914634</v>
      </c>
      <c r="U65" s="297"/>
      <c r="V65" s="297"/>
      <c r="W65" s="297"/>
      <c r="X65" s="297"/>
      <c r="Y65" s="297"/>
      <c r="Z65" s="297"/>
      <c r="AA65" s="297"/>
      <c r="AB65" s="297"/>
      <c r="AC65" s="297"/>
      <c r="AD65" s="297"/>
      <c r="AE65" s="297"/>
      <c r="AF65" s="297"/>
      <c r="AG65" s="297"/>
      <c r="AH65" s="297"/>
      <c r="AI65" s="253"/>
      <c r="AJ65" s="297"/>
      <c r="AK65" s="297"/>
      <c r="AL65" s="297"/>
      <c r="AM65" s="297"/>
      <c r="AN65" s="297"/>
      <c r="AO65" s="297"/>
      <c r="AP65" s="297"/>
    </row>
    <row r="66" spans="1:42" ht="12.75">
      <c r="A66" s="312">
        <v>19</v>
      </c>
      <c r="B66" s="317">
        <f>PHF!F26</f>
        <v>248817.4999735912</v>
      </c>
      <c r="C66" s="318">
        <f>Roads!G26</f>
        <v>0</v>
      </c>
      <c r="D66" s="318">
        <f>Roads!H26</f>
        <v>0</v>
      </c>
      <c r="E66" s="318">
        <f>Water!F26</f>
        <v>0</v>
      </c>
      <c r="F66" s="318">
        <f>Water!G26</f>
        <v>0</v>
      </c>
      <c r="G66" s="318">
        <f>BHS!F26</f>
        <v>177604.57173314225</v>
      </c>
      <c r="H66" s="318">
        <f>School!L27</f>
        <v>796761.9316520974</v>
      </c>
      <c r="I66" s="318">
        <f>'Day Care'!K27</f>
        <v>427473.25123184524</v>
      </c>
      <c r="J66" s="297"/>
      <c r="K66" s="312">
        <v>19</v>
      </c>
      <c r="L66" s="319">
        <f>PHF!H26</f>
        <v>248817.4999735912</v>
      </c>
      <c r="M66" s="319">
        <f>Roads!J26</f>
        <v>0</v>
      </c>
      <c r="N66" s="319">
        <f>Roads!K26</f>
        <v>0</v>
      </c>
      <c r="O66" s="316">
        <f>Water!I26</f>
        <v>0</v>
      </c>
      <c r="P66" s="319">
        <f>Water!J26</f>
        <v>0</v>
      </c>
      <c r="Q66" s="316">
        <f>BHS!H26</f>
        <v>177604.57173314225</v>
      </c>
      <c r="R66" s="319">
        <f>School!N27</f>
        <v>796761.9316520974</v>
      </c>
      <c r="S66" s="316">
        <f>'Day Care'!M27</f>
        <v>427473.25123184524</v>
      </c>
      <c r="T66" s="248">
        <f t="shared" si="34"/>
        <v>189335.58913077696</v>
      </c>
      <c r="U66" s="297"/>
      <c r="V66" s="297"/>
      <c r="W66" s="297"/>
      <c r="X66" s="297"/>
      <c r="Y66" s="297"/>
      <c r="Z66" s="297"/>
      <c r="AA66" s="297"/>
      <c r="AB66" s="297"/>
      <c r="AC66" s="297"/>
      <c r="AD66" s="297"/>
      <c r="AE66" s="297"/>
      <c r="AF66" s="297"/>
      <c r="AG66" s="297"/>
      <c r="AH66" s="297"/>
      <c r="AI66" s="253"/>
      <c r="AJ66" s="297"/>
      <c r="AK66" s="297"/>
      <c r="AL66" s="297"/>
      <c r="AM66" s="297"/>
      <c r="AN66" s="297"/>
      <c r="AO66" s="297"/>
      <c r="AP66" s="297"/>
    </row>
    <row r="67" spans="1:42" ht="13.5" thickBot="1">
      <c r="A67" s="312">
        <v>20</v>
      </c>
      <c r="B67" s="320">
        <f>PHF!F27</f>
        <v>625910.2736676305</v>
      </c>
      <c r="C67" s="321">
        <f>Roads!G27</f>
        <v>0</v>
      </c>
      <c r="D67" s="321">
        <f>Roads!H27</f>
        <v>0</v>
      </c>
      <c r="E67" s="321">
        <f>Water!F27</f>
        <v>0</v>
      </c>
      <c r="F67" s="321">
        <f>Water!G27</f>
        <v>0</v>
      </c>
      <c r="G67" s="321">
        <f>BHS!F27</f>
        <v>177604.57173314225</v>
      </c>
      <c r="H67" s="321">
        <f>School!L28</f>
        <v>8525197.654517276</v>
      </c>
      <c r="I67" s="321">
        <f>'Day Care'!K28</f>
        <v>6524396.559089702</v>
      </c>
      <c r="J67" s="297"/>
      <c r="K67" s="312">
        <v>20</v>
      </c>
      <c r="L67" s="319">
        <f>PHF!H27</f>
        <v>625910.2736676305</v>
      </c>
      <c r="M67" s="319">
        <f>Roads!J27</f>
        <v>0</v>
      </c>
      <c r="N67" s="319">
        <f>Roads!K27</f>
        <v>0</v>
      </c>
      <c r="O67" s="316">
        <f>Water!I27</f>
        <v>0</v>
      </c>
      <c r="P67" s="319">
        <f>Water!J27</f>
        <v>0</v>
      </c>
      <c r="Q67" s="316">
        <f>BHS!H27</f>
        <v>177604.57173314225</v>
      </c>
      <c r="R67" s="319">
        <f>School!N28</f>
        <v>8525197.654517276</v>
      </c>
      <c r="S67" s="316">
        <f>'Day Care'!M28</f>
        <v>6524396.559089702</v>
      </c>
      <c r="T67" s="248">
        <f t="shared" si="34"/>
        <v>1955433.371496988</v>
      </c>
      <c r="U67" s="297"/>
      <c r="V67" s="297"/>
      <c r="W67" s="297"/>
      <c r="X67" s="297"/>
      <c r="Y67" s="297"/>
      <c r="Z67" s="297"/>
      <c r="AA67" s="297"/>
      <c r="AB67" s="297"/>
      <c r="AC67" s="297"/>
      <c r="AD67" s="297"/>
      <c r="AE67" s="297"/>
      <c r="AF67" s="297"/>
      <c r="AG67" s="297"/>
      <c r="AH67" s="297"/>
      <c r="AI67" s="253"/>
      <c r="AJ67" s="297"/>
      <c r="AK67" s="297"/>
      <c r="AL67" s="297"/>
      <c r="AM67" s="297"/>
      <c r="AN67" s="297"/>
      <c r="AO67" s="297"/>
      <c r="AP67" s="297"/>
    </row>
    <row r="68" spans="1:42" ht="12.75" customHeight="1">
      <c r="A68" s="322" t="s">
        <v>287</v>
      </c>
      <c r="B68" s="323">
        <f>IRR(B48:B67)</f>
        <v>0.6555655083171645</v>
      </c>
      <c r="C68" s="323">
        <f aca="true" t="shared" si="35" ref="C68:H68">IRR(C48:C67)</f>
        <v>0.4842098605231071</v>
      </c>
      <c r="D68" s="323">
        <f t="shared" si="35"/>
        <v>0.09414466093045548</v>
      </c>
      <c r="E68" s="323">
        <f t="shared" si="35"/>
        <v>0.21429349853429347</v>
      </c>
      <c r="F68" s="323">
        <f t="shared" si="35"/>
        <v>0.1578834834082079</v>
      </c>
      <c r="G68" s="323">
        <f t="shared" si="35"/>
        <v>0.14920801995057498</v>
      </c>
      <c r="H68" s="323">
        <f t="shared" si="35"/>
        <v>0.1442996055489949</v>
      </c>
      <c r="I68" s="323">
        <f>IRR(I48:I67)</f>
        <v>0.11210586940302725</v>
      </c>
      <c r="J68" s="297"/>
      <c r="K68" s="948" t="str">
        <f>J14</f>
        <v>SP portfolio shares:</v>
      </c>
      <c r="L68" s="885">
        <f>AF14</f>
        <v>0.0447761194029851</v>
      </c>
      <c r="M68" s="889">
        <f>Z14</f>
        <v>0.232660228270413</v>
      </c>
      <c r="N68" s="885">
        <f>AC14</f>
        <v>0.062774363476734</v>
      </c>
      <c r="O68" s="889">
        <f>T14</f>
        <v>0.175935579455663</v>
      </c>
      <c r="P68" s="885">
        <f>W14</f>
        <v>0.120376975417032</v>
      </c>
      <c r="Q68" s="889">
        <f>Q14</f>
        <v>0.11369622475856</v>
      </c>
      <c r="R68" s="885">
        <f>N14</f>
        <v>0.138718173836699</v>
      </c>
      <c r="S68" s="887">
        <f>K14</f>
        <v>0.111062335381914</v>
      </c>
      <c r="T68" s="885">
        <f>SUM(L68:S68)</f>
        <v>1</v>
      </c>
      <c r="U68" s="220"/>
      <c r="V68" s="297"/>
      <c r="W68" s="297"/>
      <c r="X68" s="297"/>
      <c r="Y68" s="297"/>
      <c r="Z68" s="297"/>
      <c r="AA68" s="297"/>
      <c r="AB68" s="297"/>
      <c r="AC68" s="297"/>
      <c r="AD68" s="297"/>
      <c r="AE68" s="297"/>
      <c r="AF68" s="297"/>
      <c r="AG68" s="297"/>
      <c r="AH68" s="297"/>
      <c r="AI68" s="253"/>
      <c r="AJ68" s="297"/>
      <c r="AK68" s="297"/>
      <c r="AL68" s="297"/>
      <c r="AM68" s="297"/>
      <c r="AN68" s="297"/>
      <c r="AO68" s="297"/>
      <c r="AP68" s="297"/>
    </row>
    <row r="69" spans="1:42" ht="12.75">
      <c r="A69" s="324"/>
      <c r="B69" s="325"/>
      <c r="C69" s="326"/>
      <c r="D69" s="325"/>
      <c r="E69" s="326"/>
      <c r="F69" s="326"/>
      <c r="G69" s="326"/>
      <c r="H69" s="326"/>
      <c r="I69" s="325"/>
      <c r="J69" s="297"/>
      <c r="K69" s="949"/>
      <c r="L69" s="886"/>
      <c r="M69" s="890"/>
      <c r="N69" s="886"/>
      <c r="O69" s="890"/>
      <c r="P69" s="886"/>
      <c r="Q69" s="890"/>
      <c r="R69" s="886"/>
      <c r="S69" s="888"/>
      <c r="T69" s="886"/>
      <c r="U69" s="297"/>
      <c r="V69" s="297"/>
      <c r="W69" s="297"/>
      <c r="X69" s="297"/>
      <c r="Y69" s="297"/>
      <c r="Z69" s="297"/>
      <c r="AA69" s="297"/>
      <c r="AB69" s="297"/>
      <c r="AC69" s="297"/>
      <c r="AD69" s="297"/>
      <c r="AE69" s="297"/>
      <c r="AF69" s="297"/>
      <c r="AG69" s="297"/>
      <c r="AH69" s="297"/>
      <c r="AI69" s="253"/>
      <c r="AJ69" s="297"/>
      <c r="AK69" s="297"/>
      <c r="AL69" s="297"/>
      <c r="AM69" s="297"/>
      <c r="AN69" s="297"/>
      <c r="AO69" s="297"/>
      <c r="AP69" s="297"/>
    </row>
    <row r="70" spans="1:42" ht="15">
      <c r="A70" s="923" t="s">
        <v>628</v>
      </c>
      <c r="B70" s="924"/>
      <c r="C70" s="924"/>
      <c r="D70" s="924"/>
      <c r="E70" s="924"/>
      <c r="F70" s="924"/>
      <c r="G70" s="924"/>
      <c r="H70" s="924"/>
      <c r="I70" s="924"/>
      <c r="J70" s="925"/>
      <c r="K70" s="327"/>
      <c r="L70" s="328"/>
      <c r="M70" s="328"/>
      <c r="N70" s="328"/>
      <c r="O70" s="328"/>
      <c r="P70" s="328"/>
      <c r="Q70" s="328"/>
      <c r="R70" s="328"/>
      <c r="S70" s="329"/>
      <c r="T70" s="328"/>
      <c r="U70" s="297"/>
      <c r="V70" s="297"/>
      <c r="W70" s="297"/>
      <c r="X70" s="297"/>
      <c r="Y70" s="297"/>
      <c r="Z70" s="297"/>
      <c r="AA70" s="297"/>
      <c r="AB70" s="297"/>
      <c r="AC70" s="297"/>
      <c r="AD70" s="297"/>
      <c r="AE70" s="297"/>
      <c r="AF70" s="297"/>
      <c r="AG70" s="297"/>
      <c r="AH70" s="297"/>
      <c r="AI70" s="253"/>
      <c r="AJ70" s="297"/>
      <c r="AK70" s="297"/>
      <c r="AL70" s="297"/>
      <c r="AM70" s="297"/>
      <c r="AN70" s="297"/>
      <c r="AO70" s="297"/>
      <c r="AP70" s="297"/>
    </row>
    <row r="71" spans="1:42" ht="12.75">
      <c r="A71" s="330"/>
      <c r="B71" s="914" t="s">
        <v>486</v>
      </c>
      <c r="C71" s="915"/>
      <c r="D71" s="915"/>
      <c r="E71" s="915"/>
      <c r="F71" s="915"/>
      <c r="G71" s="915"/>
      <c r="H71" s="915"/>
      <c r="I71" s="915"/>
      <c r="J71" s="919" t="s">
        <v>536</v>
      </c>
      <c r="K71" s="331"/>
      <c r="L71" s="297"/>
      <c r="M71" s="297"/>
      <c r="N71" s="332"/>
      <c r="O71" s="332"/>
      <c r="P71" s="297"/>
      <c r="Q71" s="332"/>
      <c r="R71" s="332"/>
      <c r="S71" s="209"/>
      <c r="T71" s="297"/>
      <c r="U71" s="297"/>
      <c r="V71" s="297"/>
      <c r="W71" s="297"/>
      <c r="X71" s="297"/>
      <c r="Y71" s="297"/>
      <c r="Z71" s="297"/>
      <c r="AA71" s="297"/>
      <c r="AB71" s="297"/>
      <c r="AC71" s="297"/>
      <c r="AD71" s="297"/>
      <c r="AE71" s="297"/>
      <c r="AF71" s="297"/>
      <c r="AG71" s="297"/>
      <c r="AH71" s="297"/>
      <c r="AI71" s="253"/>
      <c r="AJ71" s="297"/>
      <c r="AK71" s="297"/>
      <c r="AL71" s="297"/>
      <c r="AM71" s="297"/>
      <c r="AN71" s="297"/>
      <c r="AO71" s="297"/>
      <c r="AP71" s="297"/>
    </row>
    <row r="72" spans="1:42" ht="38.25">
      <c r="A72" s="333" t="s">
        <v>504</v>
      </c>
      <c r="B72" s="308" t="s">
        <v>258</v>
      </c>
      <c r="C72" s="309" t="s">
        <v>77</v>
      </c>
      <c r="D72" s="309" t="s">
        <v>399</v>
      </c>
      <c r="E72" s="240" t="s">
        <v>490</v>
      </c>
      <c r="F72" s="310" t="s">
        <v>491</v>
      </c>
      <c r="G72" s="241" t="s">
        <v>259</v>
      </c>
      <c r="H72" s="311" t="s">
        <v>495</v>
      </c>
      <c r="I72" s="334" t="s">
        <v>249</v>
      </c>
      <c r="J72" s="920"/>
      <c r="K72" s="297"/>
      <c r="L72" s="297"/>
      <c r="M72" s="297"/>
      <c r="N72" s="332"/>
      <c r="O72" s="332"/>
      <c r="P72" s="297"/>
      <c r="Q72" s="332"/>
      <c r="R72" s="332"/>
      <c r="S72" s="209"/>
      <c r="T72" s="297"/>
      <c r="U72" s="297"/>
      <c r="V72" s="297"/>
      <c r="W72" s="297"/>
      <c r="X72" s="297"/>
      <c r="Y72" s="297"/>
      <c r="Z72" s="297"/>
      <c r="AA72" s="297"/>
      <c r="AB72" s="297"/>
      <c r="AC72" s="297"/>
      <c r="AD72" s="297"/>
      <c r="AE72" s="297"/>
      <c r="AF72" s="297"/>
      <c r="AG72" s="297"/>
      <c r="AH72" s="297"/>
      <c r="AI72" s="253"/>
      <c r="AJ72" s="297"/>
      <c r="AK72" s="297"/>
      <c r="AL72" s="297"/>
      <c r="AM72" s="297"/>
      <c r="AN72" s="297"/>
      <c r="AO72" s="297"/>
      <c r="AP72" s="297"/>
    </row>
    <row r="73" spans="1:42" ht="12.75">
      <c r="A73" s="335">
        <v>2012</v>
      </c>
      <c r="B73" s="315">
        <f>B67/(1+B68)</f>
        <v>378064.33543294255</v>
      </c>
      <c r="C73" s="336"/>
      <c r="D73" s="337"/>
      <c r="E73" s="338"/>
      <c r="F73" s="339"/>
      <c r="G73" s="340">
        <f>G67/(1+G68)</f>
        <v>154545.18994810065</v>
      </c>
      <c r="H73" s="315">
        <f>H67/(1+H68)</f>
        <v>7450144.711381933</v>
      </c>
      <c r="I73" s="341">
        <f>I67/(1+I68)</f>
        <v>5866704.54548717</v>
      </c>
      <c r="J73" s="342">
        <f>SUMPRODUCT(B73:I73,$B$75:$I$75)</f>
        <v>1719539.835476587</v>
      </c>
      <c r="K73" s="297"/>
      <c r="L73" s="297"/>
      <c r="M73" s="297"/>
      <c r="N73" s="332"/>
      <c r="O73" s="332"/>
      <c r="P73" s="297"/>
      <c r="Q73" s="332"/>
      <c r="R73" s="332"/>
      <c r="S73" s="209"/>
      <c r="T73" s="297"/>
      <c r="U73" s="297"/>
      <c r="V73" s="297"/>
      <c r="W73" s="297"/>
      <c r="X73" s="297"/>
      <c r="Y73" s="297"/>
      <c r="Z73" s="297"/>
      <c r="AA73" s="297"/>
      <c r="AB73" s="297"/>
      <c r="AC73" s="297"/>
      <c r="AD73" s="297"/>
      <c r="AE73" s="297"/>
      <c r="AF73" s="297"/>
      <c r="AG73" s="297"/>
      <c r="AH73" s="297"/>
      <c r="AI73" s="253"/>
      <c r="AJ73" s="297"/>
      <c r="AK73" s="297"/>
      <c r="AL73" s="297"/>
      <c r="AM73" s="297"/>
      <c r="AN73" s="297"/>
      <c r="AO73" s="297"/>
      <c r="AP73" s="297"/>
    </row>
    <row r="74" spans="1:42" ht="12.75">
      <c r="A74" s="343">
        <v>2013</v>
      </c>
      <c r="B74" s="344">
        <f>B66/(1+B68)+B67/(1+B68)^2</f>
        <v>378651.18127747264</v>
      </c>
      <c r="C74" s="345"/>
      <c r="D74" s="346"/>
      <c r="E74" s="347"/>
      <c r="F74" s="348"/>
      <c r="G74" s="349">
        <f>G66/(1+G68)+G67/(1+G68)^2</f>
        <v>289024.9249178821</v>
      </c>
      <c r="H74" s="344">
        <f>H66/(1+H68)+H67/(1+H68)^2</f>
        <v>7206947.029469134</v>
      </c>
      <c r="I74" s="350">
        <f>I66/(1+I68)+I67/(1+I68)^2</f>
        <v>5659692.993165928</v>
      </c>
      <c r="J74" s="351">
        <f>SUMPRODUCT(B74:I74,$B$75:$I$75)</f>
        <v>1678128.8255606948</v>
      </c>
      <c r="K74" s="297"/>
      <c r="L74" s="297"/>
      <c r="M74" s="297"/>
      <c r="N74" s="332"/>
      <c r="O74" s="332"/>
      <c r="P74" s="297"/>
      <c r="Q74" s="332"/>
      <c r="R74" s="332"/>
      <c r="S74" s="209"/>
      <c r="T74" s="297"/>
      <c r="U74" s="297"/>
      <c r="V74" s="297"/>
      <c r="W74" s="297"/>
      <c r="X74" s="297"/>
      <c r="Y74" s="297"/>
      <c r="Z74" s="297"/>
      <c r="AA74" s="297"/>
      <c r="AB74" s="297"/>
      <c r="AC74" s="297"/>
      <c r="AD74" s="297"/>
      <c r="AE74" s="297"/>
      <c r="AF74" s="297"/>
      <c r="AG74" s="297"/>
      <c r="AH74" s="297"/>
      <c r="AI74" s="253"/>
      <c r="AJ74" s="297"/>
      <c r="AK74" s="297"/>
      <c r="AL74" s="297"/>
      <c r="AM74" s="297"/>
      <c r="AN74" s="297"/>
      <c r="AO74" s="297"/>
      <c r="AP74" s="297"/>
    </row>
    <row r="75" spans="1:42" ht="12.75">
      <c r="A75" s="899" t="s">
        <v>629</v>
      </c>
      <c r="B75" s="901">
        <f aca="true" t="shared" si="36" ref="B75:J75">L68</f>
        <v>0.0447761194029851</v>
      </c>
      <c r="C75" s="903">
        <f t="shared" si="36"/>
        <v>0.232660228270413</v>
      </c>
      <c r="D75" s="901">
        <f t="shared" si="36"/>
        <v>0.062774363476734</v>
      </c>
      <c r="E75" s="903">
        <f t="shared" si="36"/>
        <v>0.175935579455663</v>
      </c>
      <c r="F75" s="901">
        <f t="shared" si="36"/>
        <v>0.120376975417032</v>
      </c>
      <c r="G75" s="903">
        <f t="shared" si="36"/>
        <v>0.11369622475856</v>
      </c>
      <c r="H75" s="901">
        <f t="shared" si="36"/>
        <v>0.138718173836699</v>
      </c>
      <c r="I75" s="905">
        <f t="shared" si="36"/>
        <v>0.111062335381914</v>
      </c>
      <c r="J75" s="901">
        <f t="shared" si="36"/>
        <v>1</v>
      </c>
      <c r="K75" s="297"/>
      <c r="L75" s="297"/>
      <c r="M75" s="297"/>
      <c r="N75" s="332"/>
      <c r="O75" s="332"/>
      <c r="P75" s="297"/>
      <c r="Q75" s="332"/>
      <c r="R75" s="332"/>
      <c r="S75" s="209"/>
      <c r="T75" s="297"/>
      <c r="U75" s="297"/>
      <c r="V75" s="297"/>
      <c r="W75" s="297"/>
      <c r="X75" s="297"/>
      <c r="Y75" s="297"/>
      <c r="Z75" s="297"/>
      <c r="AA75" s="297"/>
      <c r="AB75" s="297"/>
      <c r="AC75" s="297"/>
      <c r="AD75" s="297"/>
      <c r="AE75" s="297"/>
      <c r="AF75" s="297"/>
      <c r="AG75" s="297"/>
      <c r="AH75" s="297"/>
      <c r="AI75" s="253"/>
      <c r="AJ75" s="297"/>
      <c r="AK75" s="297"/>
      <c r="AL75" s="297"/>
      <c r="AM75" s="297"/>
      <c r="AN75" s="297"/>
      <c r="AO75" s="297"/>
      <c r="AP75" s="297"/>
    </row>
    <row r="76" spans="1:42" ht="12.75">
      <c r="A76" s="899"/>
      <c r="B76" s="901"/>
      <c r="C76" s="903"/>
      <c r="D76" s="901"/>
      <c r="E76" s="903"/>
      <c r="F76" s="901"/>
      <c r="G76" s="903"/>
      <c r="H76" s="901"/>
      <c r="I76" s="905"/>
      <c r="J76" s="901"/>
      <c r="K76" s="297"/>
      <c r="L76" s="297"/>
      <c r="M76" s="297"/>
      <c r="N76" s="332"/>
      <c r="O76" s="332"/>
      <c r="P76" s="297"/>
      <c r="Q76" s="332"/>
      <c r="R76" s="332"/>
      <c r="S76" s="209"/>
      <c r="T76" s="297"/>
      <c r="U76" s="297"/>
      <c r="V76" s="297"/>
      <c r="W76" s="297"/>
      <c r="X76" s="297"/>
      <c r="Y76" s="297"/>
      <c r="Z76" s="297"/>
      <c r="AA76" s="297"/>
      <c r="AB76" s="297"/>
      <c r="AC76" s="297"/>
      <c r="AD76" s="297"/>
      <c r="AE76" s="297"/>
      <c r="AF76" s="297"/>
      <c r="AG76" s="297"/>
      <c r="AH76" s="297"/>
      <c r="AI76" s="253"/>
      <c r="AJ76" s="297"/>
      <c r="AK76" s="297"/>
      <c r="AL76" s="297"/>
      <c r="AM76" s="297"/>
      <c r="AN76" s="297"/>
      <c r="AO76" s="297"/>
      <c r="AP76" s="297"/>
    </row>
    <row r="77" spans="1:42" ht="12.75">
      <c r="A77" s="900"/>
      <c r="B77" s="902"/>
      <c r="C77" s="904"/>
      <c r="D77" s="902"/>
      <c r="E77" s="904"/>
      <c r="F77" s="902"/>
      <c r="G77" s="904"/>
      <c r="H77" s="902"/>
      <c r="I77" s="906"/>
      <c r="J77" s="902"/>
      <c r="K77" s="297"/>
      <c r="L77" s="297"/>
      <c r="M77" s="297"/>
      <c r="N77" s="332"/>
      <c r="O77" s="332"/>
      <c r="P77" s="297"/>
      <c r="Q77" s="332"/>
      <c r="R77" s="332"/>
      <c r="S77" s="209"/>
      <c r="T77" s="297"/>
      <c r="U77" s="297"/>
      <c r="V77" s="297"/>
      <c r="W77" s="297"/>
      <c r="X77" s="297"/>
      <c r="Y77" s="297"/>
      <c r="Z77" s="297"/>
      <c r="AA77" s="297"/>
      <c r="AB77" s="297"/>
      <c r="AC77" s="297"/>
      <c r="AD77" s="297"/>
      <c r="AE77" s="297"/>
      <c r="AF77" s="297"/>
      <c r="AG77" s="297"/>
      <c r="AH77" s="297"/>
      <c r="AI77" s="253"/>
      <c r="AJ77" s="297"/>
      <c r="AK77" s="297"/>
      <c r="AL77" s="297"/>
      <c r="AM77" s="297"/>
      <c r="AN77" s="297"/>
      <c r="AO77" s="297"/>
      <c r="AP77" s="297"/>
    </row>
    <row r="78" spans="1:42" ht="12.75">
      <c r="A78" s="324"/>
      <c r="B78" s="352"/>
      <c r="C78" s="353"/>
      <c r="D78" s="353"/>
      <c r="E78" s="354"/>
      <c r="F78" s="354"/>
      <c r="G78" s="354"/>
      <c r="H78" s="355"/>
      <c r="I78" s="355"/>
      <c r="J78" s="297"/>
      <c r="K78" s="297"/>
      <c r="L78" s="297"/>
      <c r="M78" s="297"/>
      <c r="N78" s="332"/>
      <c r="O78" s="332"/>
      <c r="P78" s="297"/>
      <c r="Q78" s="332"/>
      <c r="R78" s="332"/>
      <c r="S78" s="209"/>
      <c r="T78" s="297"/>
      <c r="U78" s="297"/>
      <c r="V78" s="297"/>
      <c r="W78" s="297"/>
      <c r="X78" s="297"/>
      <c r="Y78" s="297"/>
      <c r="Z78" s="297"/>
      <c r="AA78" s="297"/>
      <c r="AB78" s="297"/>
      <c r="AC78" s="297"/>
      <c r="AD78" s="297"/>
      <c r="AE78" s="297"/>
      <c r="AF78" s="297"/>
      <c r="AG78" s="297"/>
      <c r="AH78" s="297"/>
      <c r="AI78" s="253"/>
      <c r="AJ78" s="297"/>
      <c r="AK78" s="297"/>
      <c r="AL78" s="297"/>
      <c r="AM78" s="297"/>
      <c r="AN78" s="297"/>
      <c r="AO78" s="297"/>
      <c r="AP78" s="297"/>
    </row>
    <row r="79" spans="1:42" ht="15">
      <c r="A79" s="897" t="s">
        <v>627</v>
      </c>
      <c r="B79" s="898"/>
      <c r="C79" s="898"/>
      <c r="D79" s="898"/>
      <c r="E79" s="898"/>
      <c r="F79" s="356" t="str">
        <f>'Assumptions &amp; Data'!I8</f>
        <v>Units</v>
      </c>
      <c r="G79" s="357" t="s">
        <v>624</v>
      </c>
      <c r="I79" s="358"/>
      <c r="J79" s="358"/>
      <c r="K79" s="220"/>
      <c r="L79" s="297"/>
      <c r="M79" s="297"/>
      <c r="N79" s="332"/>
      <c r="O79" s="332"/>
      <c r="P79" s="297"/>
      <c r="Q79" s="332"/>
      <c r="R79" s="332"/>
      <c r="S79" s="209"/>
      <c r="T79" s="297"/>
      <c r="U79" s="297"/>
      <c r="V79" s="297"/>
      <c r="W79" s="297"/>
      <c r="X79" s="297"/>
      <c r="Y79" s="297"/>
      <c r="Z79" s="297"/>
      <c r="AA79" s="297"/>
      <c r="AB79" s="297"/>
      <c r="AC79" s="297"/>
      <c r="AD79" s="297"/>
      <c r="AE79" s="297"/>
      <c r="AF79" s="297"/>
      <c r="AG79" s="297"/>
      <c r="AH79" s="297"/>
      <c r="AI79" s="253"/>
      <c r="AJ79" s="297"/>
      <c r="AK79" s="297"/>
      <c r="AL79" s="297"/>
      <c r="AM79" s="297"/>
      <c r="AN79" s="297"/>
      <c r="AO79" s="297"/>
      <c r="AP79" s="297"/>
    </row>
    <row r="80" spans="1:42" ht="13.5" thickBot="1">
      <c r="A80" s="359" t="s">
        <v>262</v>
      </c>
      <c r="B80" s="360"/>
      <c r="C80" s="360"/>
      <c r="D80" s="360"/>
      <c r="E80" s="211"/>
      <c r="F80" s="360"/>
      <c r="G80" s="361"/>
      <c r="I80" s="210"/>
      <c r="J80" s="210"/>
      <c r="K80" s="297"/>
      <c r="L80" s="297"/>
      <c r="M80" s="297"/>
      <c r="N80" s="332"/>
      <c r="O80" s="332"/>
      <c r="P80" s="297"/>
      <c r="Q80" s="332"/>
      <c r="R80" s="332"/>
      <c r="S80" s="209"/>
      <c r="T80" s="297"/>
      <c r="U80" s="297"/>
      <c r="V80" s="297"/>
      <c r="W80" s="297"/>
      <c r="X80" s="297"/>
      <c r="Y80" s="297"/>
      <c r="Z80" s="297"/>
      <c r="AA80" s="297"/>
      <c r="AB80" s="297"/>
      <c r="AC80" s="297"/>
      <c r="AD80" s="297"/>
      <c r="AE80" s="297"/>
      <c r="AF80" s="297"/>
      <c r="AG80" s="297"/>
      <c r="AH80" s="297"/>
      <c r="AI80" s="253"/>
      <c r="AJ80" s="297"/>
      <c r="AK80" s="297"/>
      <c r="AL80" s="297"/>
      <c r="AM80" s="297"/>
      <c r="AN80" s="297"/>
      <c r="AO80" s="297"/>
      <c r="AP80" s="297"/>
    </row>
    <row r="81" spans="1:42" ht="13.5" thickBot="1">
      <c r="A81" s="359"/>
      <c r="B81" s="360" t="s">
        <v>263</v>
      </c>
      <c r="C81" s="360"/>
      <c r="D81" s="360"/>
      <c r="E81" s="211"/>
      <c r="F81" s="362" t="s">
        <v>211</v>
      </c>
      <c r="G81" s="363">
        <f>'Assumptions &amp; Data'!J10</f>
        <v>1.4029987187133832</v>
      </c>
      <c r="K81" s="297"/>
      <c r="L81" s="297"/>
      <c r="M81" s="297"/>
      <c r="N81" s="297"/>
      <c r="O81" s="297"/>
      <c r="P81" s="297"/>
      <c r="Q81" s="297"/>
      <c r="R81" s="297"/>
      <c r="S81" s="209"/>
      <c r="T81" s="297"/>
      <c r="U81" s="297"/>
      <c r="V81" s="297"/>
      <c r="W81" s="297"/>
      <c r="X81" s="297"/>
      <c r="Y81" s="297"/>
      <c r="Z81" s="297"/>
      <c r="AA81" s="297"/>
      <c r="AB81" s="297"/>
      <c r="AC81" s="297"/>
      <c r="AD81" s="297"/>
      <c r="AE81" s="297"/>
      <c r="AF81" s="297"/>
      <c r="AG81" s="297"/>
      <c r="AH81" s="297"/>
      <c r="AI81" s="253"/>
      <c r="AJ81" s="297"/>
      <c r="AK81" s="297"/>
      <c r="AL81" s="297"/>
      <c r="AM81" s="297"/>
      <c r="AN81" s="297"/>
      <c r="AO81" s="297"/>
      <c r="AP81" s="297"/>
    </row>
    <row r="82" spans="1:42" ht="13.5" thickBot="1">
      <c r="A82" s="359"/>
      <c r="B82" s="360" t="s">
        <v>264</v>
      </c>
      <c r="C82" s="360"/>
      <c r="D82" s="360"/>
      <c r="E82" s="211"/>
      <c r="F82" s="362" t="s">
        <v>211</v>
      </c>
      <c r="G82" s="363">
        <f>'Assumptions &amp; Data'!J11</f>
        <v>1.3519277073511313</v>
      </c>
      <c r="K82" s="297"/>
      <c r="L82" s="297"/>
      <c r="M82" s="297"/>
      <c r="N82" s="297"/>
      <c r="O82" s="297"/>
      <c r="P82" s="297"/>
      <c r="Q82" s="297"/>
      <c r="R82" s="297"/>
      <c r="S82" s="209"/>
      <c r="T82" s="297"/>
      <c r="U82" s="297"/>
      <c r="V82" s="297"/>
      <c r="W82" s="297"/>
      <c r="X82" s="297"/>
      <c r="Y82" s="297"/>
      <c r="Z82" s="297"/>
      <c r="AA82" s="297"/>
      <c r="AB82" s="297"/>
      <c r="AC82" s="297"/>
      <c r="AD82" s="297"/>
      <c r="AE82" s="297"/>
      <c r="AF82" s="297"/>
      <c r="AG82" s="297"/>
      <c r="AH82" s="297"/>
      <c r="AI82" s="253"/>
      <c r="AJ82" s="297"/>
      <c r="AK82" s="297"/>
      <c r="AL82" s="297"/>
      <c r="AM82" s="297"/>
      <c r="AN82" s="297"/>
      <c r="AO82" s="297"/>
      <c r="AP82" s="297"/>
    </row>
    <row r="83" spans="1:42" ht="13.5" thickBot="1">
      <c r="A83" s="359"/>
      <c r="B83" s="360" t="s">
        <v>265</v>
      </c>
      <c r="C83" s="360"/>
      <c r="D83" s="360"/>
      <c r="E83" s="211"/>
      <c r="F83" s="362" t="s">
        <v>211</v>
      </c>
      <c r="G83" s="363">
        <f>'Assumptions &amp; Data'!J12</f>
        <v>1.2742828526095011</v>
      </c>
      <c r="K83" s="297"/>
      <c r="L83" s="297"/>
      <c r="M83" s="297"/>
      <c r="N83" s="297"/>
      <c r="O83" s="297"/>
      <c r="P83" s="297"/>
      <c r="Q83" s="297"/>
      <c r="R83" s="297"/>
      <c r="S83" s="209"/>
      <c r="T83" s="297"/>
      <c r="U83" s="297"/>
      <c r="V83" s="297"/>
      <c r="W83" s="297"/>
      <c r="X83" s="297"/>
      <c r="Y83" s="297"/>
      <c r="Z83" s="297"/>
      <c r="AA83" s="297"/>
      <c r="AB83" s="297"/>
      <c r="AC83" s="297"/>
      <c r="AD83" s="297"/>
      <c r="AE83" s="297"/>
      <c r="AF83" s="297"/>
      <c r="AG83" s="297"/>
      <c r="AH83" s="297"/>
      <c r="AI83" s="253"/>
      <c r="AJ83" s="297"/>
      <c r="AK83" s="297"/>
      <c r="AL83" s="297"/>
      <c r="AM83" s="297"/>
      <c r="AN83" s="297"/>
      <c r="AO83" s="297"/>
      <c r="AP83" s="297"/>
    </row>
    <row r="84" spans="1:42" ht="13.5" thickBot="1">
      <c r="A84" s="359"/>
      <c r="B84" s="360" t="s">
        <v>266</v>
      </c>
      <c r="C84" s="360"/>
      <c r="D84" s="360"/>
      <c r="E84" s="211"/>
      <c r="F84" s="362" t="s">
        <v>211</v>
      </c>
      <c r="G84" s="363">
        <f>'Assumptions &amp; Data'!J13</f>
        <v>1.1967469699765447</v>
      </c>
      <c r="K84" s="297"/>
      <c r="L84" s="297"/>
      <c r="M84" s="297"/>
      <c r="N84" s="297"/>
      <c r="O84" s="297"/>
      <c r="P84" s="297"/>
      <c r="Q84" s="297"/>
      <c r="R84" s="297"/>
      <c r="S84" s="209"/>
      <c r="T84" s="297"/>
      <c r="U84" s="297"/>
      <c r="V84" s="297"/>
      <c r="W84" s="297"/>
      <c r="X84" s="297"/>
      <c r="Y84" s="297"/>
      <c r="Z84" s="297"/>
      <c r="AA84" s="297"/>
      <c r="AB84" s="297"/>
      <c r="AC84" s="297"/>
      <c r="AD84" s="297"/>
      <c r="AE84" s="297"/>
      <c r="AF84" s="297"/>
      <c r="AG84" s="297"/>
      <c r="AH84" s="297"/>
      <c r="AI84" s="253"/>
      <c r="AJ84" s="297"/>
      <c r="AK84" s="297"/>
      <c r="AL84" s="297"/>
      <c r="AM84" s="297"/>
      <c r="AN84" s="297"/>
      <c r="AO84" s="297"/>
      <c r="AP84" s="297"/>
    </row>
    <row r="85" spans="1:42" ht="13.5" thickBot="1">
      <c r="A85" s="359"/>
      <c r="B85" s="360" t="s">
        <v>267</v>
      </c>
      <c r="C85" s="360"/>
      <c r="D85" s="360"/>
      <c r="E85" s="211"/>
      <c r="F85" s="362" t="s">
        <v>211</v>
      </c>
      <c r="G85" s="363">
        <f>'Assumptions &amp; Data'!J14</f>
        <v>1.1379414362381366</v>
      </c>
      <c r="K85" s="297"/>
      <c r="L85" s="297"/>
      <c r="M85" s="297"/>
      <c r="N85" s="297"/>
      <c r="O85" s="297"/>
      <c r="P85" s="297"/>
      <c r="Q85" s="297"/>
      <c r="R85" s="297"/>
      <c r="S85" s="209"/>
      <c r="T85" s="297"/>
      <c r="U85" s="297"/>
      <c r="V85" s="297"/>
      <c r="W85" s="297"/>
      <c r="X85" s="297"/>
      <c r="Y85" s="297"/>
      <c r="Z85" s="297"/>
      <c r="AA85" s="297"/>
      <c r="AB85" s="297"/>
      <c r="AC85" s="297"/>
      <c r="AD85" s="297"/>
      <c r="AE85" s="297"/>
      <c r="AF85" s="297"/>
      <c r="AG85" s="297"/>
      <c r="AH85" s="297"/>
      <c r="AI85" s="253"/>
      <c r="AJ85" s="297"/>
      <c r="AK85" s="297"/>
      <c r="AL85" s="297"/>
      <c r="AM85" s="297"/>
      <c r="AN85" s="297"/>
      <c r="AO85" s="297"/>
      <c r="AP85" s="297"/>
    </row>
    <row r="86" spans="1:42" ht="13.5" thickBot="1">
      <c r="A86" s="359"/>
      <c r="B86" s="360" t="s">
        <v>268</v>
      </c>
      <c r="C86" s="360"/>
      <c r="D86" s="360"/>
      <c r="E86" s="211"/>
      <c r="F86" s="362" t="s">
        <v>211</v>
      </c>
      <c r="G86" s="363">
        <f>'Assumptions &amp; Data'!J15</f>
        <v>1.10554605113744</v>
      </c>
      <c r="K86" s="297"/>
      <c r="L86" s="297"/>
      <c r="M86" s="297"/>
      <c r="N86" s="297"/>
      <c r="O86" s="297"/>
      <c r="P86" s="297"/>
      <c r="Q86" s="297"/>
      <c r="R86" s="297"/>
      <c r="S86" s="209"/>
      <c r="T86" s="297"/>
      <c r="U86" s="297"/>
      <c r="V86" s="297"/>
      <c r="W86" s="297"/>
      <c r="X86" s="297"/>
      <c r="Y86" s="297"/>
      <c r="Z86" s="297"/>
      <c r="AA86" s="297"/>
      <c r="AB86" s="297"/>
      <c r="AC86" s="297"/>
      <c r="AD86" s="297"/>
      <c r="AE86" s="297"/>
      <c r="AF86" s="297"/>
      <c r="AG86" s="297"/>
      <c r="AH86" s="297"/>
      <c r="AI86" s="253"/>
      <c r="AJ86" s="297"/>
      <c r="AK86" s="297"/>
      <c r="AL86" s="297"/>
      <c r="AM86" s="297"/>
      <c r="AN86" s="297"/>
      <c r="AO86" s="297"/>
      <c r="AP86" s="297"/>
    </row>
    <row r="87" spans="1:42" ht="13.5" thickBot="1">
      <c r="A87" s="359"/>
      <c r="B87" s="360" t="s">
        <v>269</v>
      </c>
      <c r="C87" s="360"/>
      <c r="D87" s="360"/>
      <c r="E87" s="211"/>
      <c r="F87" s="362" t="s">
        <v>211</v>
      </c>
      <c r="G87" s="363">
        <f>'Assumptions &amp; Data'!J16</f>
        <v>1.028</v>
      </c>
      <c r="K87" s="297"/>
      <c r="L87" s="297"/>
      <c r="M87" s="297"/>
      <c r="N87" s="297"/>
      <c r="O87" s="297"/>
      <c r="P87" s="297"/>
      <c r="Q87" s="297"/>
      <c r="R87" s="297"/>
      <c r="S87" s="209"/>
      <c r="T87" s="297"/>
      <c r="U87" s="297"/>
      <c r="V87" s="297"/>
      <c r="W87" s="297"/>
      <c r="X87" s="297"/>
      <c r="Y87" s="297"/>
      <c r="Z87" s="297"/>
      <c r="AA87" s="297"/>
      <c r="AB87" s="297"/>
      <c r="AC87" s="297"/>
      <c r="AD87" s="297"/>
      <c r="AE87" s="297"/>
      <c r="AF87" s="297"/>
      <c r="AG87" s="297"/>
      <c r="AH87" s="297"/>
      <c r="AI87" s="253"/>
      <c r="AJ87" s="297"/>
      <c r="AK87" s="297"/>
      <c r="AL87" s="297"/>
      <c r="AM87" s="297"/>
      <c r="AN87" s="297"/>
      <c r="AO87" s="297"/>
      <c r="AP87" s="297"/>
    </row>
    <row r="88" spans="1:42" ht="13.5" thickBot="1">
      <c r="A88" s="359"/>
      <c r="B88" s="360"/>
      <c r="C88" s="360"/>
      <c r="D88" s="360"/>
      <c r="E88" s="211"/>
      <c r="F88" s="362"/>
      <c r="G88" s="364"/>
      <c r="H88" s="211"/>
      <c r="I88" s="211"/>
      <c r="J88" s="211"/>
      <c r="K88" s="297"/>
      <c r="L88" s="297"/>
      <c r="M88" s="297"/>
      <c r="N88" s="297"/>
      <c r="O88" s="297"/>
      <c r="P88" s="297"/>
      <c r="Q88" s="297"/>
      <c r="R88" s="297"/>
      <c r="S88" s="209"/>
      <c r="T88" s="297"/>
      <c r="U88" s="297"/>
      <c r="V88" s="297"/>
      <c r="W88" s="297"/>
      <c r="X88" s="297"/>
      <c r="Y88" s="297"/>
      <c r="Z88" s="297"/>
      <c r="AA88" s="297"/>
      <c r="AB88" s="297"/>
      <c r="AC88" s="297"/>
      <c r="AD88" s="297"/>
      <c r="AE88" s="297"/>
      <c r="AF88" s="297"/>
      <c r="AG88" s="297"/>
      <c r="AH88" s="297"/>
      <c r="AI88" s="253"/>
      <c r="AJ88" s="297"/>
      <c r="AK88" s="297"/>
      <c r="AL88" s="297"/>
      <c r="AM88" s="297"/>
      <c r="AN88" s="297"/>
      <c r="AO88" s="297"/>
      <c r="AP88" s="297"/>
    </row>
    <row r="89" spans="1:42" ht="12.75">
      <c r="A89" s="365" t="str">
        <f>'Assumptions &amp; Data'!A25</f>
        <v>MCC admin &amp; controls costs (excl. M&amp;E since acc'td for separately)</v>
      </c>
      <c r="B89" s="366"/>
      <c r="C89" s="367"/>
      <c r="D89" s="367"/>
      <c r="E89" s="368"/>
      <c r="F89" s="369" t="s">
        <v>211</v>
      </c>
      <c r="G89" s="370">
        <f>'Assumptions &amp; Data'!J25</f>
        <v>0.1</v>
      </c>
      <c r="H89" s="211"/>
      <c r="I89" s="371"/>
      <c r="J89" s="371"/>
      <c r="K89" s="297"/>
      <c r="L89" s="297"/>
      <c r="M89" s="297"/>
      <c r="N89" s="297"/>
      <c r="O89" s="297"/>
      <c r="P89" s="297"/>
      <c r="Q89" s="297"/>
      <c r="R89" s="297"/>
      <c r="S89" s="209"/>
      <c r="T89" s="297"/>
      <c r="U89" s="297"/>
      <c r="V89" s="297"/>
      <c r="W89" s="297"/>
      <c r="X89" s="297"/>
      <c r="Y89" s="297"/>
      <c r="Z89" s="297"/>
      <c r="AA89" s="297"/>
      <c r="AB89" s="297"/>
      <c r="AC89" s="297"/>
      <c r="AD89" s="297"/>
      <c r="AE89" s="297"/>
      <c r="AF89" s="297"/>
      <c r="AG89" s="297"/>
      <c r="AH89" s="297"/>
      <c r="AI89" s="253"/>
      <c r="AJ89" s="297"/>
      <c r="AK89" s="297"/>
      <c r="AL89" s="297"/>
      <c r="AM89" s="297"/>
      <c r="AN89" s="297"/>
      <c r="AO89" s="297"/>
      <c r="AP89" s="297"/>
    </row>
    <row r="90" spans="1:42" s="211" customFormat="1" ht="12.75">
      <c r="A90" s="372"/>
      <c r="B90" s="373"/>
      <c r="C90" s="360"/>
      <c r="D90" s="360"/>
      <c r="F90" s="362"/>
      <c r="G90" s="374"/>
      <c r="I90" s="371"/>
      <c r="J90" s="371"/>
      <c r="K90" s="253"/>
      <c r="L90" s="253"/>
      <c r="M90" s="253"/>
      <c r="N90" s="253"/>
      <c r="O90" s="253"/>
      <c r="P90" s="253"/>
      <c r="Q90" s="253"/>
      <c r="R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row>
    <row r="91" spans="1:42" s="211" customFormat="1" ht="12.75">
      <c r="A91" s="891" t="s">
        <v>500</v>
      </c>
      <c r="B91" s="892"/>
      <c r="C91" s="893"/>
      <c r="D91" s="375"/>
      <c r="E91" s="371"/>
      <c r="F91" s="371"/>
      <c r="G91" s="253"/>
      <c r="H91" s="253"/>
      <c r="I91" s="253"/>
      <c r="J91" s="253"/>
      <c r="K91" s="253"/>
      <c r="L91" s="376"/>
      <c r="M91" s="253"/>
      <c r="N91" s="253"/>
      <c r="O91" s="253"/>
      <c r="P91" s="253"/>
      <c r="Q91" s="253"/>
      <c r="R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row>
    <row r="92" spans="1:42" s="211" customFormat="1" ht="18" customHeight="1">
      <c r="A92" s="894"/>
      <c r="B92" s="895"/>
      <c r="C92" s="896"/>
      <c r="D92" s="375"/>
      <c r="E92" s="371"/>
      <c r="F92" s="371"/>
      <c r="G92" s="253"/>
      <c r="H92" s="253"/>
      <c r="I92" s="253"/>
      <c r="J92" s="253"/>
      <c r="K92" s="253"/>
      <c r="L92" s="376"/>
      <c r="M92" s="253"/>
      <c r="N92" s="253"/>
      <c r="O92" s="253"/>
      <c r="P92" s="253"/>
      <c r="Q92" s="253"/>
      <c r="R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row>
    <row r="93" spans="1:38" s="211" customFormat="1" ht="15" customHeight="1" thickBot="1">
      <c r="A93" s="377">
        <v>2010</v>
      </c>
      <c r="B93" s="362" t="s">
        <v>211</v>
      </c>
      <c r="C93" s="378">
        <f>E18/D18</f>
        <v>0.7486623729908359</v>
      </c>
      <c r="D93" s="371"/>
      <c r="E93" s="375"/>
      <c r="F93" s="375"/>
      <c r="G93" s="253"/>
      <c r="H93" s="376"/>
      <c r="I93" s="253"/>
      <c r="J93" s="253"/>
      <c r="K93" s="253"/>
      <c r="L93" s="253"/>
      <c r="M93" s="253"/>
      <c r="N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row>
    <row r="94" spans="1:38" s="211" customFormat="1" ht="15" customHeight="1" thickBot="1">
      <c r="A94" s="377">
        <v>2011</v>
      </c>
      <c r="B94" s="362" t="s">
        <v>211</v>
      </c>
      <c r="C94" s="379">
        <f>E19/D19</f>
        <v>0.786501513563102</v>
      </c>
      <c r="D94" s="371"/>
      <c r="E94" s="375"/>
      <c r="F94" s="375"/>
      <c r="G94" s="253"/>
      <c r="H94" s="376"/>
      <c r="I94" s="253"/>
      <c r="J94" s="253"/>
      <c r="K94" s="253"/>
      <c r="L94" s="253"/>
      <c r="M94" s="253"/>
      <c r="N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row>
    <row r="95" spans="1:38" s="211" customFormat="1" ht="13.5" thickBot="1">
      <c r="A95" s="377">
        <v>2012</v>
      </c>
      <c r="B95" s="362" t="s">
        <v>211</v>
      </c>
      <c r="C95" s="379">
        <f>E20/D20</f>
        <v>0.6555827826434654</v>
      </c>
      <c r="D95" s="371"/>
      <c r="E95" s="375"/>
      <c r="F95" s="375"/>
      <c r="G95" s="380"/>
      <c r="H95" s="376"/>
      <c r="I95" s="253"/>
      <c r="J95" s="253"/>
      <c r="K95" s="253"/>
      <c r="L95" s="253"/>
      <c r="M95" s="253"/>
      <c r="N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row>
    <row r="96" spans="1:38" s="211" customFormat="1" ht="13.5" thickBot="1">
      <c r="A96" s="377">
        <v>2013</v>
      </c>
      <c r="B96" s="362" t="s">
        <v>211</v>
      </c>
      <c r="C96" s="379">
        <f>E21/D21</f>
        <v>0.6779245475907325</v>
      </c>
      <c r="D96" s="374"/>
      <c r="G96" s="253"/>
      <c r="H96" s="253"/>
      <c r="I96" s="253"/>
      <c r="J96" s="253"/>
      <c r="K96" s="253"/>
      <c r="L96" s="253"/>
      <c r="M96" s="253"/>
      <c r="N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row>
    <row r="97" spans="1:38" s="211" customFormat="1" ht="13.5" thickBot="1">
      <c r="A97" s="377">
        <v>2014</v>
      </c>
      <c r="B97" s="362" t="s">
        <v>211</v>
      </c>
      <c r="C97" s="379">
        <f>E22/D22</f>
        <v>0.636468323095349</v>
      </c>
      <c r="D97" s="381"/>
      <c r="E97" s="253"/>
      <c r="F97" s="253"/>
      <c r="G97" s="253"/>
      <c r="H97" s="253"/>
      <c r="I97" s="253"/>
      <c r="J97" s="253"/>
      <c r="K97" s="253"/>
      <c r="L97" s="253"/>
      <c r="M97" s="253"/>
      <c r="N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row>
    <row r="98" spans="1:38" s="211" customFormat="1" ht="12.75">
      <c r="A98" s="382">
        <v>2015</v>
      </c>
      <c r="B98" s="369" t="s">
        <v>211</v>
      </c>
      <c r="C98" s="383">
        <f>E23/D23</f>
        <v>0.35648999153005745</v>
      </c>
      <c r="D98" s="384"/>
      <c r="E98" s="253"/>
      <c r="F98" s="253"/>
      <c r="G98" s="253"/>
      <c r="H98" s="253"/>
      <c r="I98" s="253"/>
      <c r="J98" s="253"/>
      <c r="K98" s="253"/>
      <c r="L98" s="253"/>
      <c r="M98" s="253"/>
      <c r="N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row>
    <row r="99" spans="1:38" s="211" customFormat="1" ht="12.75">
      <c r="A99" s="385"/>
      <c r="B99" s="386"/>
      <c r="D99" s="253"/>
      <c r="G99" s="387"/>
      <c r="H99" s="388"/>
      <c r="K99" s="253"/>
      <c r="L99" s="253"/>
      <c r="M99" s="253"/>
      <c r="N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row>
    <row r="100" spans="1:38" s="211" customFormat="1" ht="12.75">
      <c r="A100" s="385"/>
      <c r="B100" s="386"/>
      <c r="D100" s="253"/>
      <c r="G100" s="387"/>
      <c r="H100" s="388"/>
      <c r="I100" s="253"/>
      <c r="J100" s="253"/>
      <c r="K100" s="253"/>
      <c r="L100" s="253"/>
      <c r="M100" s="253"/>
      <c r="N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row>
    <row r="101" spans="1:42" s="211" customFormat="1" ht="12.75">
      <c r="A101" s="385"/>
      <c r="B101" s="386"/>
      <c r="D101" s="253"/>
      <c r="G101" s="387"/>
      <c r="H101" s="381"/>
      <c r="I101" s="385"/>
      <c r="J101" s="385"/>
      <c r="K101" s="253"/>
      <c r="L101" s="253"/>
      <c r="M101" s="253"/>
      <c r="N101" s="253"/>
      <c r="O101" s="253"/>
      <c r="P101" s="253"/>
      <c r="Q101" s="253"/>
      <c r="R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row>
    <row r="102" spans="1:42" s="211" customFormat="1" ht="12.75">
      <c r="A102" s="385"/>
      <c r="B102" s="386"/>
      <c r="D102" s="253"/>
      <c r="G102" s="387"/>
      <c r="H102" s="388"/>
      <c r="I102" s="253"/>
      <c r="J102" s="253"/>
      <c r="K102" s="253"/>
      <c r="L102" s="253"/>
      <c r="M102" s="253"/>
      <c r="N102" s="253"/>
      <c r="O102" s="253"/>
      <c r="P102" s="253"/>
      <c r="Q102" s="253"/>
      <c r="R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row>
    <row r="103" spans="1:42" s="211" customFormat="1" ht="12.75">
      <c r="A103" s="385"/>
      <c r="B103" s="386"/>
      <c r="D103" s="253"/>
      <c r="G103" s="387"/>
      <c r="H103" s="326"/>
      <c r="K103" s="253"/>
      <c r="L103" s="253"/>
      <c r="M103" s="253"/>
      <c r="N103" s="253"/>
      <c r="O103" s="253"/>
      <c r="P103" s="253"/>
      <c r="Q103" s="253"/>
      <c r="R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row>
    <row r="104" spans="1:42" s="211" customFormat="1" ht="12.75">
      <c r="A104" s="385"/>
      <c r="B104" s="386"/>
      <c r="D104" s="253"/>
      <c r="G104" s="387"/>
      <c r="H104" s="388"/>
      <c r="I104" s="385"/>
      <c r="J104" s="385"/>
      <c r="K104" s="253"/>
      <c r="L104" s="253"/>
      <c r="M104" s="253"/>
      <c r="N104" s="253"/>
      <c r="O104" s="253"/>
      <c r="P104" s="253"/>
      <c r="Q104" s="253"/>
      <c r="R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row>
    <row r="105" spans="1:42" s="211" customFormat="1" ht="12.75">
      <c r="A105" s="385"/>
      <c r="B105" s="386"/>
      <c r="D105" s="253"/>
      <c r="G105" s="387"/>
      <c r="H105" s="389"/>
      <c r="I105" s="385"/>
      <c r="J105" s="385"/>
      <c r="K105" s="253"/>
      <c r="L105" s="253"/>
      <c r="M105" s="253"/>
      <c r="N105" s="253"/>
      <c r="O105" s="253"/>
      <c r="P105" s="253"/>
      <c r="Q105" s="253"/>
      <c r="R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row>
    <row r="106" spans="1:42" s="211" customFormat="1" ht="12.75">
      <c r="A106" s="385"/>
      <c r="B106" s="386"/>
      <c r="D106" s="253"/>
      <c r="G106" s="387"/>
      <c r="H106" s="388"/>
      <c r="I106" s="385"/>
      <c r="J106" s="385"/>
      <c r="K106" s="253"/>
      <c r="L106" s="253"/>
      <c r="M106" s="253"/>
      <c r="N106" s="253"/>
      <c r="O106" s="253"/>
      <c r="P106" s="253"/>
      <c r="Q106" s="253"/>
      <c r="R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row>
    <row r="107" spans="1:42" s="211" customFormat="1" ht="12.75">
      <c r="A107" s="385"/>
      <c r="B107" s="386"/>
      <c r="D107" s="253"/>
      <c r="G107" s="387"/>
      <c r="H107" s="388"/>
      <c r="I107" s="385"/>
      <c r="J107" s="385"/>
      <c r="K107" s="253"/>
      <c r="L107" s="253"/>
      <c r="M107" s="253"/>
      <c r="N107" s="253"/>
      <c r="O107" s="253"/>
      <c r="P107" s="253"/>
      <c r="Q107" s="253"/>
      <c r="R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row>
    <row r="108" spans="1:42" s="211" customFormat="1" ht="12.75">
      <c r="A108" s="385"/>
      <c r="B108" s="386"/>
      <c r="D108" s="253"/>
      <c r="E108" s="253"/>
      <c r="G108" s="253"/>
      <c r="H108" s="388"/>
      <c r="I108" s="253"/>
      <c r="J108" s="253"/>
      <c r="K108" s="253"/>
      <c r="L108" s="253"/>
      <c r="M108" s="253"/>
      <c r="N108" s="253"/>
      <c r="O108" s="253"/>
      <c r="P108" s="253"/>
      <c r="Q108" s="253"/>
      <c r="R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row>
    <row r="109" spans="1:42" s="211" customFormat="1" ht="12.75">
      <c r="A109" s="385"/>
      <c r="B109" s="386"/>
      <c r="D109" s="253"/>
      <c r="E109" s="253"/>
      <c r="G109" s="387"/>
      <c r="H109" s="253"/>
      <c r="I109" s="253"/>
      <c r="J109" s="253"/>
      <c r="K109" s="253"/>
      <c r="L109" s="253"/>
      <c r="M109" s="253"/>
      <c r="N109" s="253"/>
      <c r="O109" s="253"/>
      <c r="P109" s="253"/>
      <c r="Q109" s="253"/>
      <c r="R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row>
    <row r="110" spans="2:42" s="211" customFormat="1" ht="12.75">
      <c r="B110" s="253"/>
      <c r="D110" s="253"/>
      <c r="E110" s="253"/>
      <c r="G110" s="387"/>
      <c r="H110" s="253"/>
      <c r="I110" s="253"/>
      <c r="J110" s="253"/>
      <c r="K110" s="253"/>
      <c r="L110" s="253"/>
      <c r="M110" s="253"/>
      <c r="N110" s="253"/>
      <c r="O110" s="253"/>
      <c r="P110" s="253"/>
      <c r="Q110" s="253"/>
      <c r="R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row>
    <row r="111" spans="2:42" s="211" customFormat="1" ht="12.75">
      <c r="B111" s="253"/>
      <c r="D111" s="253"/>
      <c r="E111" s="253"/>
      <c r="G111" s="387"/>
      <c r="H111" s="253"/>
      <c r="I111" s="253"/>
      <c r="J111" s="253"/>
      <c r="K111" s="253"/>
      <c r="L111" s="253"/>
      <c r="M111" s="253"/>
      <c r="N111" s="253"/>
      <c r="O111" s="253"/>
      <c r="P111" s="253"/>
      <c r="Q111" s="253"/>
      <c r="R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row>
    <row r="112" spans="2:42" s="211" customFormat="1" ht="12.75">
      <c r="B112" s="253"/>
      <c r="D112" s="253"/>
      <c r="G112" s="387"/>
      <c r="H112" s="253"/>
      <c r="I112" s="253"/>
      <c r="J112" s="253"/>
      <c r="K112" s="253"/>
      <c r="L112" s="253"/>
      <c r="M112" s="253"/>
      <c r="N112" s="253"/>
      <c r="O112" s="253"/>
      <c r="P112" s="253"/>
      <c r="Q112" s="253"/>
      <c r="R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row>
    <row r="113" spans="1:42" s="211" customFormat="1" ht="12.75">
      <c r="A113" s="253"/>
      <c r="B113" s="390"/>
      <c r="G113" s="391"/>
      <c r="H113" s="253"/>
      <c r="I113" s="253"/>
      <c r="J113" s="253"/>
      <c r="K113" s="253"/>
      <c r="L113" s="253"/>
      <c r="N113" s="253"/>
      <c r="O113" s="253"/>
      <c r="AG113" s="253"/>
      <c r="AJ113" s="253"/>
      <c r="AN113" s="253"/>
      <c r="AO113" s="253"/>
      <c r="AP113" s="253"/>
    </row>
    <row r="114" spans="1:42" s="211" customFormat="1" ht="12.75">
      <c r="A114" s="253"/>
      <c r="B114" s="253"/>
      <c r="G114" s="391"/>
      <c r="H114" s="392"/>
      <c r="I114" s="253"/>
      <c r="J114" s="253"/>
      <c r="K114" s="253"/>
      <c r="L114" s="253"/>
      <c r="S114" s="360"/>
      <c r="AG114" s="253"/>
      <c r="AJ114" s="253"/>
      <c r="AN114" s="253"/>
      <c r="AO114" s="253"/>
      <c r="AP114" s="253"/>
    </row>
    <row r="115" spans="1:42" s="211" customFormat="1" ht="12.75">
      <c r="A115" s="253"/>
      <c r="B115" s="253"/>
      <c r="G115" s="391"/>
      <c r="H115" s="392"/>
      <c r="I115" s="253"/>
      <c r="J115" s="253"/>
      <c r="K115" s="385"/>
      <c r="L115" s="253"/>
      <c r="S115" s="360"/>
      <c r="AG115" s="253"/>
      <c r="AJ115" s="253"/>
      <c r="AN115" s="253"/>
      <c r="AO115" s="253"/>
      <c r="AP115" s="253"/>
    </row>
    <row r="116" spans="1:42" s="211" customFormat="1" ht="12.75">
      <c r="A116" s="253"/>
      <c r="B116" s="253"/>
      <c r="G116" s="391"/>
      <c r="H116" s="392"/>
      <c r="I116" s="253"/>
      <c r="J116" s="253"/>
      <c r="K116" s="253"/>
      <c r="L116" s="253"/>
      <c r="S116" s="360"/>
      <c r="AG116" s="253"/>
      <c r="AJ116" s="253"/>
      <c r="AN116" s="253"/>
      <c r="AO116" s="253"/>
      <c r="AP116" s="253"/>
    </row>
    <row r="117" spans="2:42" s="211" customFormat="1" ht="12.75">
      <c r="B117" s="390"/>
      <c r="G117" s="391"/>
      <c r="H117" s="392"/>
      <c r="K117" s="253"/>
      <c r="L117" s="253"/>
      <c r="S117" s="360"/>
      <c r="AG117" s="253"/>
      <c r="AJ117" s="253"/>
      <c r="AN117" s="253"/>
      <c r="AO117" s="253"/>
      <c r="AP117" s="253"/>
    </row>
    <row r="118" spans="2:42" s="211" customFormat="1" ht="12.75">
      <c r="B118" s="390"/>
      <c r="G118" s="387"/>
      <c r="H118" s="392"/>
      <c r="K118" s="253"/>
      <c r="L118" s="253"/>
      <c r="S118" s="360"/>
      <c r="AG118" s="253"/>
      <c r="AJ118" s="253"/>
      <c r="AN118" s="253"/>
      <c r="AO118" s="253"/>
      <c r="AP118" s="253"/>
    </row>
    <row r="119" spans="1:33" s="211" customFormat="1" ht="12.75">
      <c r="A119" s="385"/>
      <c r="B119" s="386"/>
      <c r="E119" s="209"/>
      <c r="F119" s="209"/>
      <c r="G119" s="209"/>
      <c r="H119" s="393"/>
      <c r="I119" s="385"/>
      <c r="J119" s="385"/>
      <c r="S119" s="360"/>
      <c r="AG119" s="253"/>
    </row>
    <row r="120" spans="1:33" s="211" customFormat="1" ht="12.75">
      <c r="A120" s="209"/>
      <c r="B120" s="208"/>
      <c r="C120" s="209"/>
      <c r="D120" s="209"/>
      <c r="E120" s="209"/>
      <c r="F120" s="209"/>
      <c r="G120" s="209"/>
      <c r="H120" s="209"/>
      <c r="I120" s="209"/>
      <c r="J120" s="209"/>
      <c r="S120" s="360"/>
      <c r="AG120" s="253"/>
    </row>
    <row r="121" spans="1:19" s="211" customFormat="1" ht="12.75">
      <c r="A121" s="209"/>
      <c r="B121" s="208"/>
      <c r="C121" s="209"/>
      <c r="D121" s="209"/>
      <c r="E121" s="209"/>
      <c r="F121" s="209"/>
      <c r="G121" s="209"/>
      <c r="H121" s="209"/>
      <c r="I121" s="209"/>
      <c r="J121" s="209"/>
      <c r="S121" s="360"/>
    </row>
  </sheetData>
  <sheetProtection/>
  <mergeCells count="81">
    <mergeCell ref="K13:AH13"/>
    <mergeCell ref="A15:A16"/>
    <mergeCell ref="A39:B39"/>
    <mergeCell ref="BB42:BC43"/>
    <mergeCell ref="BD42:BE43"/>
    <mergeCell ref="AB16:AD16"/>
    <mergeCell ref="AE16:AG16"/>
    <mergeCell ref="AB15:AG15"/>
    <mergeCell ref="AH15:AJ16"/>
    <mergeCell ref="AL16:AL17"/>
    <mergeCell ref="AM16:AM17"/>
    <mergeCell ref="AN16:AN17"/>
    <mergeCell ref="AL15:AP15"/>
    <mergeCell ref="V16:X16"/>
    <mergeCell ref="AX16:AX17"/>
    <mergeCell ref="AW16:AW17"/>
    <mergeCell ref="A70:J70"/>
    <mergeCell ref="Y16:AA16"/>
    <mergeCell ref="L15:L16"/>
    <mergeCell ref="L46:S46"/>
    <mergeCell ref="T46:T47"/>
    <mergeCell ref="A45:I45"/>
    <mergeCell ref="K45:T45"/>
    <mergeCell ref="M15:O16"/>
    <mergeCell ref="P15:R16"/>
    <mergeCell ref="V15:AA15"/>
    <mergeCell ref="S15:U16"/>
    <mergeCell ref="K15:K16"/>
    <mergeCell ref="A40:B40"/>
    <mergeCell ref="K68:K69"/>
    <mergeCell ref="N68:N69"/>
    <mergeCell ref="M68:M69"/>
    <mergeCell ref="J75:J77"/>
    <mergeCell ref="H75:H77"/>
    <mergeCell ref="I75:I77"/>
    <mergeCell ref="D15:D16"/>
    <mergeCell ref="E15:G15"/>
    <mergeCell ref="I15:I16"/>
    <mergeCell ref="H41:J41"/>
    <mergeCell ref="G75:G77"/>
    <mergeCell ref="B71:I71"/>
    <mergeCell ref="B46:I46"/>
    <mergeCell ref="J71:J72"/>
    <mergeCell ref="F75:F77"/>
    <mergeCell ref="H15:H16"/>
    <mergeCell ref="J15:J16"/>
    <mergeCell ref="C15:C16"/>
    <mergeCell ref="B15:B16"/>
    <mergeCell ref="A91:C92"/>
    <mergeCell ref="A79:E79"/>
    <mergeCell ref="A75:A77"/>
    <mergeCell ref="B75:B77"/>
    <mergeCell ref="E75:E77"/>
    <mergeCell ref="D75:D77"/>
    <mergeCell ref="C75:C77"/>
    <mergeCell ref="L68:L69"/>
    <mergeCell ref="T68:T69"/>
    <mergeCell ref="S68:S69"/>
    <mergeCell ref="R68:R69"/>
    <mergeCell ref="Q68:Q69"/>
    <mergeCell ref="P68:P69"/>
    <mergeCell ref="O68:O69"/>
    <mergeCell ref="AO16:AO17"/>
    <mergeCell ref="AP16:AP17"/>
    <mergeCell ref="AQ15:AQ17"/>
    <mergeCell ref="AR15:AR17"/>
    <mergeCell ref="AV16:AV17"/>
    <mergeCell ref="AU16:AU17"/>
    <mergeCell ref="AT16:AT17"/>
    <mergeCell ref="AS16:AS17"/>
    <mergeCell ref="AS15:AV15"/>
    <mergeCell ref="AW15:BA15"/>
    <mergeCell ref="BB15:BF15"/>
    <mergeCell ref="BB16:BB17"/>
    <mergeCell ref="BA16:BA17"/>
    <mergeCell ref="AZ16:AZ17"/>
    <mergeCell ref="AY16:AY17"/>
    <mergeCell ref="BC16:BC17"/>
    <mergeCell ref="BD16:BD17"/>
    <mergeCell ref="BE16:BE17"/>
    <mergeCell ref="BF16:BF17"/>
  </mergeCells>
  <printOptions/>
  <pageMargins left="0.75" right="0.75" top="1" bottom="1" header="0.5" footer="0.5"/>
  <pageSetup fitToHeight="1" fitToWidth="1" horizontalDpi="200" verticalDpi="200" orientation="landscape" scale="16" r:id="rId4"/>
  <drawing r:id="rId3"/>
  <legacyDrawing r:id="rId2"/>
</worksheet>
</file>

<file path=xl/worksheets/sheet6.xml><?xml version="1.0" encoding="utf-8"?>
<worksheet xmlns="http://schemas.openxmlformats.org/spreadsheetml/2006/main" xmlns:r="http://schemas.openxmlformats.org/officeDocument/2006/relationships">
  <sheetPr codeName="Sheet17"/>
  <dimension ref="A2:P38"/>
  <sheetViews>
    <sheetView zoomScale="85" zoomScaleNormal="85" zoomScalePageLayoutView="0" workbookViewId="0" topLeftCell="A1">
      <selection activeCell="A1" sqref="A1"/>
    </sheetView>
  </sheetViews>
  <sheetFormatPr defaultColWidth="9.140625" defaultRowHeight="12.75"/>
  <cols>
    <col min="1" max="1" width="9.140625" style="210" customWidth="1"/>
    <col min="2" max="2" width="30.57421875" style="210" bestFit="1" customWidth="1"/>
    <col min="3" max="3" width="7.140625" style="210" bestFit="1" customWidth="1"/>
    <col min="4" max="4" width="11.421875" style="210" customWidth="1"/>
    <col min="5" max="5" width="6.140625" style="210" customWidth="1"/>
    <col min="6" max="6" width="10.00390625" style="210" customWidth="1"/>
    <col min="7" max="7" width="12.8515625" style="210" bestFit="1" customWidth="1"/>
    <col min="8" max="8" width="12.28125" style="210" customWidth="1"/>
    <col min="9" max="9" width="13.7109375" style="210" customWidth="1"/>
    <col min="10" max="10" width="14.7109375" style="210" customWidth="1"/>
    <col min="11" max="11" width="14.8515625" style="210" customWidth="1"/>
    <col min="12" max="16384" width="9.140625" style="210" customWidth="1"/>
  </cols>
  <sheetData>
    <row r="1" ht="12.75"/>
    <row r="2" spans="2:11" s="204" customFormat="1" ht="18">
      <c r="B2" s="203" t="s">
        <v>607</v>
      </c>
      <c r="G2" s="205"/>
      <c r="K2" s="200" t="s">
        <v>691</v>
      </c>
    </row>
    <row r="3" ht="12.75">
      <c r="B3" s="210">
        <f>IF('ERR &amp; Sensitivity Analysis'!$I$12="y",IF('ERR &amp; Sensitivity Analysis'!$I$16="y","","Note: Current calculations are based on user input and are not the original MCC estimates"),"Note: Current calculations are based on user input and are not the original MCC estimates")</f>
      </c>
    </row>
    <row r="4" ht="18">
      <c r="B4" s="394" t="s">
        <v>640</v>
      </c>
    </row>
    <row r="5" ht="12.75">
      <c r="A5" s="395">
        <f>IF('ERR &amp; Sensitivity Analysis'!$I$12="y",IF('ERR &amp; Sensitivity Analysis'!$I$16="y","","Note: Current calculations are based on user input and are not the original MCC estimates"),"Note: Current calculations are based on user input and are not the original MCC estimates")</f>
      </c>
    </row>
    <row r="6" spans="2:10" ht="12.75" customHeight="1">
      <c r="B6" s="897" t="s">
        <v>556</v>
      </c>
      <c r="C6" s="898"/>
      <c r="D6" s="898"/>
      <c r="E6" s="898"/>
      <c r="F6" s="898"/>
      <c r="G6" s="898"/>
      <c r="H6" s="898"/>
      <c r="I6" s="898"/>
      <c r="J6" s="963"/>
    </row>
    <row r="7" spans="2:10" ht="25.5" customHeight="1">
      <c r="B7" s="396" t="s">
        <v>555</v>
      </c>
      <c r="C7" s="397" t="s">
        <v>72</v>
      </c>
      <c r="D7" s="398" t="s">
        <v>554</v>
      </c>
      <c r="E7" s="399" t="s">
        <v>196</v>
      </c>
      <c r="F7" s="398" t="s">
        <v>64</v>
      </c>
      <c r="G7" s="397" t="s">
        <v>82</v>
      </c>
      <c r="H7" s="399" t="s">
        <v>195</v>
      </c>
      <c r="I7" s="399" t="s">
        <v>553</v>
      </c>
      <c r="J7" s="400" t="s">
        <v>563</v>
      </c>
    </row>
    <row r="8" spans="2:10" ht="12.75">
      <c r="B8" s="401" t="s">
        <v>77</v>
      </c>
      <c r="C8" s="402" t="s">
        <v>137</v>
      </c>
      <c r="D8" s="403">
        <v>21121.91479573404</v>
      </c>
      <c r="E8" s="360">
        <v>2.51</v>
      </c>
      <c r="F8" s="403">
        <v>53016.00613729243</v>
      </c>
      <c r="G8" s="404">
        <v>666.6666666666666</v>
      </c>
      <c r="H8" s="405" t="s">
        <v>87</v>
      </c>
      <c r="I8" s="223">
        <v>0.23266022827041266</v>
      </c>
      <c r="J8" s="406">
        <v>0.4842098605231071</v>
      </c>
    </row>
    <row r="9" spans="2:10" ht="12.75">
      <c r="B9" s="407" t="s">
        <v>399</v>
      </c>
      <c r="C9" s="402" t="s">
        <v>137</v>
      </c>
      <c r="D9" s="403">
        <v>73081.61076125604</v>
      </c>
      <c r="E9" s="360">
        <v>2.51</v>
      </c>
      <c r="F9" s="403">
        <v>183434.84301075267</v>
      </c>
      <c r="G9" s="404">
        <v>666.6666666666666</v>
      </c>
      <c r="H9" s="405" t="s">
        <v>87</v>
      </c>
      <c r="I9" s="223">
        <v>0.06277436347673399</v>
      </c>
      <c r="J9" s="408">
        <v>0.09414466093045548</v>
      </c>
    </row>
    <row r="10" spans="2:10" ht="12.75">
      <c r="B10" s="409" t="s">
        <v>414</v>
      </c>
      <c r="C10" s="402" t="s">
        <v>197</v>
      </c>
      <c r="D10" s="410">
        <v>26194.31723595582</v>
      </c>
      <c r="E10" s="360">
        <v>1</v>
      </c>
      <c r="F10" s="403">
        <v>26194.31723595582</v>
      </c>
      <c r="G10" s="404">
        <v>121</v>
      </c>
      <c r="H10" s="411" t="s">
        <v>87</v>
      </c>
      <c r="I10" s="223">
        <v>0.12037697541703249</v>
      </c>
      <c r="J10" s="408">
        <v>0.1578834834082079</v>
      </c>
    </row>
    <row r="11" spans="2:10" ht="12.75">
      <c r="B11" s="409" t="s">
        <v>415</v>
      </c>
      <c r="C11" s="402" t="s">
        <v>197</v>
      </c>
      <c r="D11" s="403">
        <v>22597.472299882993</v>
      </c>
      <c r="E11" s="360">
        <v>1</v>
      </c>
      <c r="F11" s="403">
        <v>22597.472299882993</v>
      </c>
      <c r="G11" s="404">
        <v>121</v>
      </c>
      <c r="H11" s="411" t="s">
        <v>87</v>
      </c>
      <c r="I11" s="223">
        <v>0.17593557945566288</v>
      </c>
      <c r="J11" s="408">
        <v>0.21429349853429347</v>
      </c>
    </row>
    <row r="12" spans="2:10" ht="12.75">
      <c r="B12" s="409" t="s">
        <v>258</v>
      </c>
      <c r="C12" s="360" t="s">
        <v>88</v>
      </c>
      <c r="D12" s="403">
        <v>4812.598682092078</v>
      </c>
      <c r="E12" s="360">
        <v>1</v>
      </c>
      <c r="F12" s="403">
        <v>4812.598682092078</v>
      </c>
      <c r="G12" s="404">
        <v>100</v>
      </c>
      <c r="H12" s="405" t="s">
        <v>87</v>
      </c>
      <c r="I12" s="223">
        <v>0.04477611940298507</v>
      </c>
      <c r="J12" s="408">
        <v>0.6555655083171645</v>
      </c>
    </row>
    <row r="13" spans="2:10" ht="12.75">
      <c r="B13" s="401" t="s">
        <v>239</v>
      </c>
      <c r="C13" s="402" t="s">
        <v>198</v>
      </c>
      <c r="D13" s="403">
        <v>201.7883934778786</v>
      </c>
      <c r="E13" s="412">
        <v>145.45454545454547</v>
      </c>
      <c r="F13" s="403">
        <v>29351.0390513278</v>
      </c>
      <c r="G13" s="404">
        <v>80</v>
      </c>
      <c r="H13" s="411" t="s">
        <v>90</v>
      </c>
      <c r="I13" s="223">
        <v>0.13871817383669885</v>
      </c>
      <c r="J13" s="408">
        <v>0.1442386828754343</v>
      </c>
    </row>
    <row r="14" spans="2:10" ht="12.75">
      <c r="B14" s="401" t="s">
        <v>238</v>
      </c>
      <c r="C14" s="402" t="s">
        <v>198</v>
      </c>
      <c r="D14" s="403">
        <v>270.22716817623154</v>
      </c>
      <c r="E14" s="412">
        <v>145.45454545454547</v>
      </c>
      <c r="F14" s="403">
        <v>39305.76991654278</v>
      </c>
      <c r="G14" s="404">
        <v>80</v>
      </c>
      <c r="H14" s="411" t="s">
        <v>90</v>
      </c>
      <c r="I14" s="223">
        <v>0.11106233538191397</v>
      </c>
      <c r="J14" s="408">
        <v>0.11210586940302725</v>
      </c>
    </row>
    <row r="15" spans="2:10" ht="12.75">
      <c r="B15" s="293" t="s">
        <v>92</v>
      </c>
      <c r="C15" s="413" t="s">
        <v>198</v>
      </c>
      <c r="D15" s="414">
        <v>283.69623431315387</v>
      </c>
      <c r="E15" s="367">
        <v>72</v>
      </c>
      <c r="F15" s="414">
        <v>20426.12887054708</v>
      </c>
      <c r="G15" s="415">
        <v>250</v>
      </c>
      <c r="H15" s="416" t="s">
        <v>87</v>
      </c>
      <c r="I15" s="417">
        <v>0.11369622475856014</v>
      </c>
      <c r="J15" s="418">
        <v>0.14920801995057498</v>
      </c>
    </row>
    <row r="18" spans="2:9" ht="15">
      <c r="B18" s="897" t="s">
        <v>558</v>
      </c>
      <c r="C18" s="898"/>
      <c r="D18" s="898"/>
      <c r="E18" s="898"/>
      <c r="F18" s="898"/>
      <c r="G18" s="898"/>
      <c r="H18" s="963"/>
      <c r="I18" s="419"/>
    </row>
    <row r="19" spans="2:8" ht="12.75">
      <c r="B19" s="420" t="s">
        <v>555</v>
      </c>
      <c r="C19" s="973" t="s">
        <v>557</v>
      </c>
      <c r="D19" s="974"/>
      <c r="E19" s="974"/>
      <c r="F19" s="974"/>
      <c r="G19" s="974"/>
      <c r="H19" s="975"/>
    </row>
    <row r="20" spans="2:8" ht="38.25" customHeight="1">
      <c r="B20" s="421" t="s">
        <v>77</v>
      </c>
      <c r="C20" s="970" t="s">
        <v>561</v>
      </c>
      <c r="D20" s="971"/>
      <c r="E20" s="971"/>
      <c r="F20" s="971"/>
      <c r="G20" s="971"/>
      <c r="H20" s="972"/>
    </row>
    <row r="21" spans="2:8" ht="38.25" customHeight="1">
      <c r="B21" s="422" t="s">
        <v>399</v>
      </c>
      <c r="C21" s="970" t="s">
        <v>561</v>
      </c>
      <c r="D21" s="971"/>
      <c r="E21" s="971"/>
      <c r="F21" s="971"/>
      <c r="G21" s="971"/>
      <c r="H21" s="972"/>
    </row>
    <row r="22" spans="2:8" ht="25.5" customHeight="1">
      <c r="B22" s="423" t="s">
        <v>414</v>
      </c>
      <c r="C22" s="967" t="s">
        <v>562</v>
      </c>
      <c r="D22" s="968"/>
      <c r="E22" s="968"/>
      <c r="F22" s="968"/>
      <c r="G22" s="968"/>
      <c r="H22" s="969"/>
    </row>
    <row r="23" spans="2:8" ht="25.5" customHeight="1">
      <c r="B23" s="423" t="s">
        <v>415</v>
      </c>
      <c r="C23" s="967" t="s">
        <v>562</v>
      </c>
      <c r="D23" s="968"/>
      <c r="E23" s="968"/>
      <c r="F23" s="968"/>
      <c r="G23" s="968"/>
      <c r="H23" s="969"/>
    </row>
    <row r="24" spans="2:8" ht="25.5" customHeight="1">
      <c r="B24" s="423" t="s">
        <v>258</v>
      </c>
      <c r="C24" s="967" t="s">
        <v>565</v>
      </c>
      <c r="D24" s="976"/>
      <c r="E24" s="976"/>
      <c r="F24" s="976"/>
      <c r="G24" s="976"/>
      <c r="H24" s="977"/>
    </row>
    <row r="25" spans="2:8" ht="38.25" customHeight="1">
      <c r="B25" s="421" t="s">
        <v>239</v>
      </c>
      <c r="C25" s="967" t="s">
        <v>559</v>
      </c>
      <c r="D25" s="968"/>
      <c r="E25" s="968"/>
      <c r="F25" s="968"/>
      <c r="G25" s="968"/>
      <c r="H25" s="969"/>
    </row>
    <row r="26" spans="2:8" ht="38.25" customHeight="1">
      <c r="B26" s="421" t="s">
        <v>238</v>
      </c>
      <c r="C26" s="967" t="s">
        <v>560</v>
      </c>
      <c r="D26" s="968"/>
      <c r="E26" s="968"/>
      <c r="F26" s="968"/>
      <c r="G26" s="968"/>
      <c r="H26" s="969"/>
    </row>
    <row r="27" spans="2:8" ht="38.25" customHeight="1">
      <c r="B27" s="424" t="s">
        <v>92</v>
      </c>
      <c r="C27" s="964" t="s">
        <v>564</v>
      </c>
      <c r="D27" s="965"/>
      <c r="E27" s="965"/>
      <c r="F27" s="965"/>
      <c r="G27" s="965"/>
      <c r="H27" s="966"/>
    </row>
    <row r="28" spans="2:8" ht="12.75">
      <c r="B28" s="360"/>
      <c r="C28" s="360"/>
      <c r="D28" s="360"/>
      <c r="E28" s="360"/>
      <c r="F28" s="360"/>
      <c r="G28" s="360"/>
      <c r="H28" s="360"/>
    </row>
    <row r="29" spans="1:16" s="360" customFormat="1" ht="12.75" customHeight="1">
      <c r="A29" s="210"/>
      <c r="B29" s="210"/>
      <c r="C29" s="210"/>
      <c r="D29" s="210"/>
      <c r="E29" s="210"/>
      <c r="F29" s="210"/>
      <c r="G29" s="210"/>
      <c r="H29" s="210"/>
      <c r="I29" s="210"/>
      <c r="J29" s="419"/>
      <c r="K29" s="419"/>
      <c r="L29" s="419"/>
      <c r="M29" s="419"/>
      <c r="N29" s="419"/>
      <c r="O29" s="419"/>
      <c r="P29" s="419"/>
    </row>
    <row r="30" spans="10:11" ht="25.5" customHeight="1">
      <c r="J30" s="425"/>
      <c r="K30" s="426"/>
    </row>
    <row r="31" spans="10:11" ht="12.75">
      <c r="J31" s="360"/>
      <c r="K31" s="427"/>
    </row>
    <row r="32" spans="10:11" ht="12.75">
      <c r="J32" s="428"/>
      <c r="K32" s="427"/>
    </row>
    <row r="33" spans="10:11" ht="12.75">
      <c r="J33" s="372"/>
      <c r="K33" s="427"/>
    </row>
    <row r="34" spans="10:11" ht="12.75">
      <c r="J34" s="372"/>
      <c r="K34" s="427"/>
    </row>
    <row r="35" spans="10:11" ht="12.75">
      <c r="J35" s="372"/>
      <c r="K35" s="427"/>
    </row>
    <row r="36" spans="10:11" ht="12.75">
      <c r="J36" s="360"/>
      <c r="K36" s="427"/>
    </row>
    <row r="37" spans="10:11" ht="12.75">
      <c r="J37" s="360"/>
      <c r="K37" s="427"/>
    </row>
    <row r="38" spans="10:11" ht="12.75">
      <c r="J38" s="360"/>
      <c r="K38" s="375"/>
    </row>
  </sheetData>
  <sheetProtection/>
  <mergeCells count="11">
    <mergeCell ref="B6:J6"/>
    <mergeCell ref="C27:H27"/>
    <mergeCell ref="C26:H26"/>
    <mergeCell ref="C20:H20"/>
    <mergeCell ref="C19:H19"/>
    <mergeCell ref="B18:H18"/>
    <mergeCell ref="C21:H21"/>
    <mergeCell ref="C22:H22"/>
    <mergeCell ref="C23:H23"/>
    <mergeCell ref="C24:H24"/>
    <mergeCell ref="C25:H25"/>
  </mergeCells>
  <printOptions/>
  <pageMargins left="0.7" right="0.7" top="0.75" bottom="0.75" header="0.3" footer="0.3"/>
  <pageSetup horizontalDpi="200" verticalDpi="2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1:N45"/>
  <sheetViews>
    <sheetView zoomScale="85" zoomScaleNormal="85" zoomScalePageLayoutView="0" workbookViewId="0" topLeftCell="A1">
      <selection activeCell="A1" sqref="A1"/>
    </sheetView>
  </sheetViews>
  <sheetFormatPr defaultColWidth="5.7109375" defaultRowHeight="12.75"/>
  <cols>
    <col min="1" max="1" width="41.8515625" style="430" customWidth="1"/>
    <col min="2" max="2" width="19.28125" style="430" customWidth="1"/>
    <col min="3" max="3" width="25.7109375" style="431" customWidth="1"/>
    <col min="4" max="4" width="5.7109375" style="431" customWidth="1"/>
    <col min="5" max="5" width="5.7109375" style="297" customWidth="1"/>
    <col min="6" max="6" width="14.57421875" style="297" customWidth="1"/>
    <col min="7" max="7" width="5.7109375" style="431" customWidth="1"/>
    <col min="8" max="8" width="15.421875" style="431" customWidth="1"/>
    <col min="9" max="9" width="14.8515625" style="431" bestFit="1" customWidth="1"/>
    <col min="10" max="10" width="6.8515625" style="431" bestFit="1" customWidth="1"/>
    <col min="11" max="11" width="18.140625" style="431" bestFit="1" customWidth="1"/>
    <col min="12" max="12" width="12.57421875" style="431" bestFit="1" customWidth="1"/>
    <col min="13" max="13" width="6.421875" style="431" customWidth="1"/>
    <col min="14" max="14" width="16.00390625" style="431" bestFit="1" customWidth="1"/>
    <col min="15" max="16384" width="5.7109375" style="431" customWidth="1"/>
  </cols>
  <sheetData>
    <row r="1" ht="12.75">
      <c r="K1" s="200" t="s">
        <v>691</v>
      </c>
    </row>
    <row r="2" spans="1:7" s="204" customFormat="1" ht="18">
      <c r="A2" s="203" t="s">
        <v>607</v>
      </c>
      <c r="G2" s="205"/>
    </row>
    <row r="3" ht="12.75">
      <c r="A3" s="429">
        <f>IF('ERR &amp; Sensitivity Analysis'!$I$12="y",IF('ERR &amp; Sensitivity Analysis'!$I$16="y","","Note: Current calculations are based on user input and are not the original MCC estimates"),"Note: Current calculations are based on user input and are not the original MCC estimates")</f>
      </c>
    </row>
    <row r="4" ht="18">
      <c r="A4" s="432" t="s">
        <v>59</v>
      </c>
    </row>
    <row r="5" ht="12.75">
      <c r="A5" s="429"/>
    </row>
    <row r="6" spans="1:10" ht="12.75">
      <c r="A6" s="433" t="s">
        <v>284</v>
      </c>
      <c r="B6" s="434"/>
      <c r="C6" s="434"/>
      <c r="E6" s="985" t="s">
        <v>481</v>
      </c>
      <c r="F6" s="986"/>
      <c r="H6" s="983" t="s">
        <v>534</v>
      </c>
      <c r="J6" s="435"/>
    </row>
    <row r="7" spans="1:8" ht="12.75">
      <c r="A7" s="978" t="s">
        <v>492</v>
      </c>
      <c r="B7" s="979"/>
      <c r="C7" s="980"/>
      <c r="E7" s="436" t="s">
        <v>60</v>
      </c>
      <c r="F7" s="437" t="s">
        <v>664</v>
      </c>
      <c r="H7" s="984"/>
    </row>
    <row r="8" spans="2:10" ht="12.75">
      <c r="B8" s="438" t="s">
        <v>72</v>
      </c>
      <c r="C8" s="438" t="s">
        <v>39</v>
      </c>
      <c r="E8" s="252">
        <v>1</v>
      </c>
      <c r="F8" s="439">
        <f>-C9</f>
        <v>-379546.1865092338</v>
      </c>
      <c r="H8" s="440">
        <v>0</v>
      </c>
      <c r="J8" s="441"/>
    </row>
    <row r="9" spans="1:8" ht="12.75">
      <c r="A9" s="442" t="s">
        <v>493</v>
      </c>
      <c r="B9" s="443"/>
      <c r="C9" s="254">
        <f>SUM(C10:C13)</f>
        <v>379546.1865092338</v>
      </c>
      <c r="E9" s="250">
        <f>+E8+1</f>
        <v>2</v>
      </c>
      <c r="F9" s="444">
        <f>+C22</f>
        <v>248817.4999735912</v>
      </c>
      <c r="H9" s="248">
        <f>$C$22</f>
        <v>248817.4999735912</v>
      </c>
    </row>
    <row r="10" spans="1:8" ht="12.75" customHeight="1">
      <c r="A10" s="445" t="s">
        <v>494</v>
      </c>
      <c r="B10" s="446" t="s">
        <v>270</v>
      </c>
      <c r="C10" s="261">
        <f>'Subproject Data'!E15</f>
        <v>223785.83871728161</v>
      </c>
      <c r="E10" s="250">
        <f aca="true" t="shared" si="0" ref="E10:E26">+E9+1</f>
        <v>3</v>
      </c>
      <c r="F10" s="444">
        <f>+F9</f>
        <v>248817.4999735912</v>
      </c>
      <c r="H10" s="248">
        <f aca="true" t="shared" si="1" ref="H10:H26">$C$22</f>
        <v>248817.4999735912</v>
      </c>
    </row>
    <row r="11" spans="1:8" ht="12.75">
      <c r="A11" s="447" t="s">
        <v>275</v>
      </c>
      <c r="B11" s="446" t="s">
        <v>270</v>
      </c>
      <c r="C11" s="261">
        <f>'Assumptions &amp; Data'!$L$21</f>
        <v>64302.003163979694</v>
      </c>
      <c r="E11" s="250">
        <f t="shared" si="0"/>
        <v>4</v>
      </c>
      <c r="F11" s="444">
        <f aca="true" t="shared" si="2" ref="F11:F26">+F10</f>
        <v>248817.4999735912</v>
      </c>
      <c r="H11" s="248">
        <f t="shared" si="1"/>
        <v>248817.4999735912</v>
      </c>
    </row>
    <row r="12" spans="1:8" ht="12.75">
      <c r="A12" s="447" t="s">
        <v>289</v>
      </c>
      <c r="B12" s="446" t="s">
        <v>270</v>
      </c>
      <c r="C12" s="261">
        <f>'Assumptions &amp; Data'!$L$22</f>
        <v>89127.6129782695</v>
      </c>
      <c r="E12" s="250">
        <f t="shared" si="0"/>
        <v>5</v>
      </c>
      <c r="F12" s="444">
        <f>+F11</f>
        <v>248817.4999735912</v>
      </c>
      <c r="H12" s="248">
        <f t="shared" si="1"/>
        <v>248817.4999735912</v>
      </c>
    </row>
    <row r="13" spans="1:8" ht="12.75">
      <c r="A13" s="447" t="s">
        <v>276</v>
      </c>
      <c r="B13" s="446" t="s">
        <v>270</v>
      </c>
      <c r="C13" s="261">
        <f>'Assumptions &amp; Data'!$L$23</f>
        <v>2330.731649702951</v>
      </c>
      <c r="E13" s="250">
        <f t="shared" si="0"/>
        <v>6</v>
      </c>
      <c r="F13" s="444">
        <f t="shared" si="2"/>
        <v>248817.4999735912</v>
      </c>
      <c r="H13" s="248">
        <f t="shared" si="1"/>
        <v>248817.4999735912</v>
      </c>
    </row>
    <row r="14" spans="1:8" ht="12.75">
      <c r="A14" s="448" t="s">
        <v>51</v>
      </c>
      <c r="B14" s="446" t="s">
        <v>215</v>
      </c>
      <c r="C14" s="261">
        <f>'Subproject Data'!F15</f>
        <v>100</v>
      </c>
      <c r="E14" s="250">
        <f t="shared" si="0"/>
        <v>7</v>
      </c>
      <c r="F14" s="444">
        <f t="shared" si="2"/>
        <v>248817.4999735912</v>
      </c>
      <c r="H14" s="248">
        <f>$C$22</f>
        <v>248817.4999735912</v>
      </c>
    </row>
    <row r="15" spans="1:8" ht="12.75">
      <c r="A15" s="448" t="s">
        <v>49</v>
      </c>
      <c r="B15" s="234" t="s">
        <v>50</v>
      </c>
      <c r="C15" s="449">
        <v>0.75</v>
      </c>
      <c r="E15" s="250">
        <f t="shared" si="0"/>
        <v>8</v>
      </c>
      <c r="F15" s="444">
        <f t="shared" si="2"/>
        <v>248817.4999735912</v>
      </c>
      <c r="H15" s="248">
        <f t="shared" si="1"/>
        <v>248817.4999735912</v>
      </c>
    </row>
    <row r="16" spans="1:8" ht="12.75">
      <c r="A16" s="450" t="s">
        <v>79</v>
      </c>
      <c r="B16" s="234" t="s">
        <v>22</v>
      </c>
      <c r="C16" s="261">
        <f>+C15*C14</f>
        <v>75</v>
      </c>
      <c r="E16" s="250">
        <f t="shared" si="0"/>
        <v>9</v>
      </c>
      <c r="F16" s="444">
        <f t="shared" si="2"/>
        <v>248817.4999735912</v>
      </c>
      <c r="H16" s="248">
        <f t="shared" si="1"/>
        <v>248817.4999735912</v>
      </c>
    </row>
    <row r="17" spans="1:8" ht="12.75">
      <c r="A17" s="448" t="s">
        <v>30</v>
      </c>
      <c r="B17" s="234" t="s">
        <v>24</v>
      </c>
      <c r="C17" s="451">
        <f>3.7703*75%</f>
        <v>2.827725</v>
      </c>
      <c r="E17" s="250">
        <f t="shared" si="0"/>
        <v>10</v>
      </c>
      <c r="F17" s="444">
        <f t="shared" si="2"/>
        <v>248817.4999735912</v>
      </c>
      <c r="H17" s="248">
        <f t="shared" si="1"/>
        <v>248817.4999735912</v>
      </c>
    </row>
    <row r="18" spans="1:8" ht="12.75">
      <c r="A18" s="448" t="s">
        <v>36</v>
      </c>
      <c r="B18" s="234" t="s">
        <v>290</v>
      </c>
      <c r="C18" s="261">
        <f>750*75%*C32</f>
        <v>789.1867792762781</v>
      </c>
      <c r="E18" s="250">
        <f t="shared" si="0"/>
        <v>11</v>
      </c>
      <c r="F18" s="444">
        <f t="shared" si="2"/>
        <v>248817.4999735912</v>
      </c>
      <c r="H18" s="248">
        <f t="shared" si="1"/>
        <v>248817.4999735912</v>
      </c>
    </row>
    <row r="19" spans="1:8" ht="12.75">
      <c r="A19" s="450" t="s">
        <v>80</v>
      </c>
      <c r="B19" s="446" t="s">
        <v>395</v>
      </c>
      <c r="C19" s="452">
        <v>1.5</v>
      </c>
      <c r="E19" s="250">
        <f t="shared" si="0"/>
        <v>12</v>
      </c>
      <c r="F19" s="444">
        <f t="shared" si="2"/>
        <v>248817.4999735912</v>
      </c>
      <c r="H19" s="248">
        <f t="shared" si="1"/>
        <v>248817.4999735912</v>
      </c>
    </row>
    <row r="20" spans="1:8" ht="12.75">
      <c r="A20" s="450" t="s">
        <v>81</v>
      </c>
      <c r="B20" s="234" t="s">
        <v>291</v>
      </c>
      <c r="C20" s="261">
        <f>+C19*C18*C17*C16</f>
        <v>251055.35836076402</v>
      </c>
      <c r="E20" s="250">
        <f t="shared" si="0"/>
        <v>13</v>
      </c>
      <c r="F20" s="444">
        <f t="shared" si="2"/>
        <v>248817.4999735912</v>
      </c>
      <c r="H20" s="248">
        <f t="shared" si="1"/>
        <v>248817.4999735912</v>
      </c>
    </row>
    <row r="21" spans="1:8" ht="12.75">
      <c r="A21" s="450" t="s">
        <v>115</v>
      </c>
      <c r="B21" s="234" t="s">
        <v>291</v>
      </c>
      <c r="C21" s="261">
        <f>+C10*0.01</f>
        <v>2237.858387172816</v>
      </c>
      <c r="E21" s="250">
        <f t="shared" si="0"/>
        <v>14</v>
      </c>
      <c r="F21" s="444">
        <f t="shared" si="2"/>
        <v>248817.4999735912</v>
      </c>
      <c r="H21" s="248">
        <f t="shared" si="1"/>
        <v>248817.4999735912</v>
      </c>
    </row>
    <row r="22" spans="1:8" ht="12.75">
      <c r="A22" s="450" t="s">
        <v>31</v>
      </c>
      <c r="B22" s="234" t="s">
        <v>291</v>
      </c>
      <c r="C22" s="261">
        <f>+C20-C21</f>
        <v>248817.4999735912</v>
      </c>
      <c r="E22" s="250">
        <f t="shared" si="0"/>
        <v>15</v>
      </c>
      <c r="F22" s="444">
        <f t="shared" si="2"/>
        <v>248817.4999735912</v>
      </c>
      <c r="H22" s="248">
        <f t="shared" si="1"/>
        <v>248817.4999735912</v>
      </c>
    </row>
    <row r="23" spans="1:8" ht="12.75">
      <c r="A23" s="448" t="s">
        <v>29</v>
      </c>
      <c r="B23" s="234" t="s">
        <v>32</v>
      </c>
      <c r="C23" s="261">
        <v>30</v>
      </c>
      <c r="E23" s="250">
        <f t="shared" si="0"/>
        <v>16</v>
      </c>
      <c r="F23" s="444">
        <f t="shared" si="2"/>
        <v>248817.4999735912</v>
      </c>
      <c r="H23" s="248">
        <f t="shared" si="1"/>
        <v>248817.4999735912</v>
      </c>
    </row>
    <row r="24" spans="1:8" ht="12.75">
      <c r="A24" s="453" t="s">
        <v>14</v>
      </c>
      <c r="B24" s="454"/>
      <c r="C24" s="455">
        <f>IRR(F8:F27)</f>
        <v>0.6555655083171645</v>
      </c>
      <c r="E24" s="250">
        <f t="shared" si="0"/>
        <v>17</v>
      </c>
      <c r="F24" s="444">
        <f t="shared" si="2"/>
        <v>248817.4999735912</v>
      </c>
      <c r="H24" s="248">
        <f t="shared" si="1"/>
        <v>248817.4999735912</v>
      </c>
    </row>
    <row r="25" spans="5:14" ht="12.75">
      <c r="E25" s="250">
        <f t="shared" si="0"/>
        <v>18</v>
      </c>
      <c r="F25" s="444">
        <f t="shared" si="2"/>
        <v>248817.4999735912</v>
      </c>
      <c r="H25" s="248">
        <f t="shared" si="1"/>
        <v>248817.4999735912</v>
      </c>
      <c r="L25" s="456"/>
      <c r="M25" s="456"/>
      <c r="N25" s="456"/>
    </row>
    <row r="26" spans="1:14" ht="12.75">
      <c r="A26" s="457"/>
      <c r="B26" s="208"/>
      <c r="C26" s="458"/>
      <c r="E26" s="250">
        <f t="shared" si="0"/>
        <v>19</v>
      </c>
      <c r="F26" s="444">
        <f t="shared" si="2"/>
        <v>248817.4999735912</v>
      </c>
      <c r="H26" s="248">
        <f t="shared" si="1"/>
        <v>248817.4999735912</v>
      </c>
      <c r="L26" s="459"/>
      <c r="M26" s="459"/>
      <c r="N26" s="456"/>
    </row>
    <row r="27" spans="1:14" ht="12.75">
      <c r="A27" s="457"/>
      <c r="B27" s="208"/>
      <c r="C27" s="458"/>
      <c r="E27" s="460">
        <f>+E26+1</f>
        <v>20</v>
      </c>
      <c r="F27" s="461">
        <f>+F26+K43</f>
        <v>625910.2736676305</v>
      </c>
      <c r="H27" s="288">
        <f>+F26+K43</f>
        <v>625910.2736676305</v>
      </c>
      <c r="L27" s="388"/>
      <c r="M27" s="456"/>
      <c r="N27" s="456"/>
    </row>
    <row r="28" spans="1:14" ht="12.75">
      <c r="A28" s="457"/>
      <c r="B28" s="208"/>
      <c r="F28" s="462"/>
      <c r="L28" s="463"/>
      <c r="M28" s="463"/>
      <c r="N28" s="463"/>
    </row>
    <row r="29" spans="1:14" ht="12.75">
      <c r="A29" s="464"/>
      <c r="B29" s="208"/>
      <c r="E29" s="358"/>
      <c r="F29" s="458"/>
      <c r="L29" s="388"/>
      <c r="M29" s="465"/>
      <c r="N29" s="388"/>
    </row>
    <row r="30" spans="1:14" ht="12.75">
      <c r="A30" s="914" t="s">
        <v>627</v>
      </c>
      <c r="B30" s="981"/>
      <c r="C30" s="982"/>
      <c r="F30" s="458"/>
      <c r="H30" s="978" t="s">
        <v>631</v>
      </c>
      <c r="I30" s="979"/>
      <c r="J30" s="979"/>
      <c r="K30" s="980"/>
      <c r="L30" s="388"/>
      <c r="M30" s="465"/>
      <c r="N30" s="388"/>
    </row>
    <row r="31" spans="1:14" ht="12.75">
      <c r="A31" s="466" t="str">
        <f>'Assumptions &amp; Data'!$A$9</f>
        <v>Inflation factors</v>
      </c>
      <c r="B31" s="466" t="s">
        <v>40</v>
      </c>
      <c r="C31" s="438" t="s">
        <v>624</v>
      </c>
      <c r="F31" s="467"/>
      <c r="H31" s="468" t="s">
        <v>632</v>
      </c>
      <c r="I31" s="469">
        <v>0.6555655037753257</v>
      </c>
      <c r="J31" s="469">
        <f>I31-C24</f>
        <v>-4.541838793947761E-09</v>
      </c>
      <c r="K31" s="470"/>
      <c r="L31" s="388"/>
      <c r="M31" s="465"/>
      <c r="N31" s="388"/>
    </row>
    <row r="32" spans="1:14" ht="12.75">
      <c r="A32" s="471" t="s">
        <v>263</v>
      </c>
      <c r="B32" s="472" t="s">
        <v>211</v>
      </c>
      <c r="C32" s="473">
        <f>'Assumptions &amp; Data'!J10</f>
        <v>1.4029987187133832</v>
      </c>
      <c r="F32" s="467"/>
      <c r="H32" s="438" t="s">
        <v>244</v>
      </c>
      <c r="I32" s="468" t="s">
        <v>245</v>
      </c>
      <c r="J32" s="468" t="s">
        <v>246</v>
      </c>
      <c r="K32" s="468" t="s">
        <v>248</v>
      </c>
      <c r="L32" s="388"/>
      <c r="M32" s="465"/>
      <c r="N32" s="388"/>
    </row>
    <row r="33" spans="1:14" ht="12.75">
      <c r="A33" s="471" t="s">
        <v>264</v>
      </c>
      <c r="B33" s="472" t="s">
        <v>211</v>
      </c>
      <c r="C33" s="473">
        <f>'Assumptions &amp; Data'!J11</f>
        <v>1.3519277073511313</v>
      </c>
      <c r="H33" s="474">
        <v>1</v>
      </c>
      <c r="I33" s="474">
        <f>$C$22</f>
        <v>248817.4999735912</v>
      </c>
      <c r="J33" s="475">
        <f aca="true" t="shared" si="3" ref="J33:J42">(1+$I$31)^-H33</f>
        <v>0.604023216067027</v>
      </c>
      <c r="K33" s="476">
        <f>I33*J33</f>
        <v>150291.54654780598</v>
      </c>
      <c r="L33" s="388"/>
      <c r="M33" s="465"/>
      <c r="N33" s="388"/>
    </row>
    <row r="34" spans="1:14" ht="12.75">
      <c r="A34" s="471" t="s">
        <v>265</v>
      </c>
      <c r="B34" s="472" t="s">
        <v>211</v>
      </c>
      <c r="C34" s="473">
        <f>'Assumptions &amp; Data'!J12</f>
        <v>1.2742828526095011</v>
      </c>
      <c r="H34" s="477">
        <v>2</v>
      </c>
      <c r="I34" s="477">
        <f aca="true" t="shared" si="4" ref="I34:I42">$C$22</f>
        <v>248817.4999735912</v>
      </c>
      <c r="J34" s="478">
        <f t="shared" si="3"/>
        <v>0.3648440455479544</v>
      </c>
      <c r="K34" s="476">
        <f aca="true" t="shared" si="5" ref="K34:K42">I34*J34</f>
        <v>90779.58329349305</v>
      </c>
      <c r="L34" s="388"/>
      <c r="M34" s="465"/>
      <c r="N34" s="388"/>
    </row>
    <row r="35" spans="1:14" ht="12.75">
      <c r="A35" s="471" t="s">
        <v>266</v>
      </c>
      <c r="B35" s="472" t="s">
        <v>211</v>
      </c>
      <c r="C35" s="473">
        <f>'Assumptions &amp; Data'!J13</f>
        <v>1.1967469699765447</v>
      </c>
      <c r="H35" s="477">
        <v>3</v>
      </c>
      <c r="I35" s="477">
        <f t="shared" si="4"/>
        <v>248817.4999735912</v>
      </c>
      <c r="J35" s="478">
        <f t="shared" si="3"/>
        <v>0.22037427375478033</v>
      </c>
      <c r="K35" s="476">
        <f t="shared" si="5"/>
        <v>54832.975854160235</v>
      </c>
      <c r="L35" s="388"/>
      <c r="M35" s="465"/>
      <c r="N35" s="388"/>
    </row>
    <row r="36" spans="1:14" ht="12.75">
      <c r="A36" s="471" t="s">
        <v>267</v>
      </c>
      <c r="B36" s="472" t="s">
        <v>211</v>
      </c>
      <c r="C36" s="473">
        <f>'Assumptions &amp; Data'!J14</f>
        <v>1.1379414362381366</v>
      </c>
      <c r="H36" s="477">
        <v>4</v>
      </c>
      <c r="I36" s="477">
        <f t="shared" si="4"/>
        <v>248817.4999735912</v>
      </c>
      <c r="J36" s="478">
        <f t="shared" si="3"/>
        <v>0.13311117757179786</v>
      </c>
      <c r="K36" s="476">
        <f t="shared" si="5"/>
        <v>33120.39042195551</v>
      </c>
      <c r="L36" s="388"/>
      <c r="M36" s="465"/>
      <c r="N36" s="388"/>
    </row>
    <row r="37" spans="1:14" ht="12.75">
      <c r="A37" s="471" t="s">
        <v>268</v>
      </c>
      <c r="B37" s="472" t="s">
        <v>211</v>
      </c>
      <c r="C37" s="473">
        <f>'Assumptions &amp; Data'!J15</f>
        <v>1.10554605113744</v>
      </c>
      <c r="H37" s="477">
        <v>5</v>
      </c>
      <c r="I37" s="477">
        <f t="shared" si="4"/>
        <v>248817.4999735912</v>
      </c>
      <c r="J37" s="478">
        <f t="shared" si="3"/>
        <v>0.08040224157138645</v>
      </c>
      <c r="K37" s="476">
        <f t="shared" si="5"/>
        <v>20005.484740065123</v>
      </c>
      <c r="L37" s="388"/>
      <c r="M37" s="465"/>
      <c r="N37" s="388"/>
    </row>
    <row r="38" spans="1:14" ht="12.75">
      <c r="A38" s="471" t="s">
        <v>269</v>
      </c>
      <c r="B38" s="472" t="s">
        <v>211</v>
      </c>
      <c r="C38" s="473">
        <f>'Assumptions &amp; Data'!J16</f>
        <v>1.028</v>
      </c>
      <c r="H38" s="477">
        <v>6</v>
      </c>
      <c r="I38" s="477">
        <f t="shared" si="4"/>
        <v>248817.4999735912</v>
      </c>
      <c r="J38" s="478">
        <f t="shared" si="3"/>
        <v>0.048564820532946855</v>
      </c>
      <c r="K38" s="476">
        <f t="shared" si="5"/>
        <v>12083.777231673967</v>
      </c>
      <c r="L38" s="388"/>
      <c r="M38" s="465"/>
      <c r="N38" s="388"/>
    </row>
    <row r="39" spans="1:14" ht="12.75">
      <c r="A39" s="293" t="s">
        <v>376</v>
      </c>
      <c r="B39" s="479" t="s">
        <v>290</v>
      </c>
      <c r="C39" s="480">
        <f>11220*C37</f>
        <v>12404.226693762077</v>
      </c>
      <c r="F39" s="481"/>
      <c r="H39" s="477">
        <v>7</v>
      </c>
      <c r="I39" s="477">
        <f t="shared" si="4"/>
        <v>248817.4999735912</v>
      </c>
      <c r="J39" s="478">
        <f t="shared" si="3"/>
        <v>0.029334279086028554</v>
      </c>
      <c r="K39" s="476">
        <f t="shared" si="5"/>
        <v>7298.881985713227</v>
      </c>
      <c r="L39" s="388"/>
      <c r="M39" s="465"/>
      <c r="N39" s="388"/>
    </row>
    <row r="40" spans="1:14" ht="12.75">
      <c r="A40" s="448" t="s">
        <v>35</v>
      </c>
      <c r="B40" s="482"/>
      <c r="C40" s="483"/>
      <c r="H40" s="477">
        <v>8</v>
      </c>
      <c r="I40" s="477">
        <f t="shared" si="4"/>
        <v>248817.4999735912</v>
      </c>
      <c r="J40" s="478">
        <f t="shared" si="3"/>
        <v>0.0177185855945507</v>
      </c>
      <c r="K40" s="476">
        <f t="shared" si="5"/>
        <v>4408.694170704192</v>
      </c>
      <c r="L40" s="456"/>
      <c r="M40" s="456"/>
      <c r="N40" s="253"/>
    </row>
    <row r="41" spans="1:11" ht="12.75">
      <c r="A41" s="484" t="s">
        <v>375</v>
      </c>
      <c r="B41" s="482"/>
      <c r="C41" s="485"/>
      <c r="H41" s="477">
        <v>9</v>
      </c>
      <c r="I41" s="477">
        <f t="shared" si="4"/>
        <v>248817.4999735912</v>
      </c>
      <c r="J41" s="478">
        <f t="shared" si="3"/>
        <v>0.01070243705497941</v>
      </c>
      <c r="K41" s="476">
        <f t="shared" si="5"/>
        <v>2662.953631644701</v>
      </c>
    </row>
    <row r="42" spans="1:11" ht="12.75">
      <c r="A42" s="448" t="s">
        <v>37</v>
      </c>
      <c r="B42" s="482"/>
      <c r="C42" s="485"/>
      <c r="F42" s="486"/>
      <c r="H42" s="487">
        <v>10</v>
      </c>
      <c r="I42" s="487">
        <f t="shared" si="4"/>
        <v>248817.4999735912</v>
      </c>
      <c r="J42" s="488">
        <f t="shared" si="3"/>
        <v>0.006464520449703583</v>
      </c>
      <c r="K42" s="489">
        <f t="shared" si="5"/>
        <v>1608.4858168234011</v>
      </c>
    </row>
    <row r="43" spans="1:11" ht="12.75">
      <c r="A43" s="490" t="s">
        <v>381</v>
      </c>
      <c r="B43" s="491"/>
      <c r="C43" s="492"/>
      <c r="H43" s="493" t="s">
        <v>170</v>
      </c>
      <c r="I43" s="494"/>
      <c r="J43" s="495"/>
      <c r="K43" s="496">
        <f>SUM(K33:K42)</f>
        <v>377092.7736940393</v>
      </c>
    </row>
    <row r="45" spans="5:6" ht="12.75">
      <c r="E45" s="431"/>
      <c r="F45" s="431"/>
    </row>
  </sheetData>
  <sheetProtection/>
  <mergeCells count="5">
    <mergeCell ref="A7:C7"/>
    <mergeCell ref="A30:C30"/>
    <mergeCell ref="H30:K30"/>
    <mergeCell ref="H6:H7"/>
    <mergeCell ref="E6:F6"/>
  </mergeCells>
  <printOptions horizontalCentered="1"/>
  <pageMargins left="0.2" right="0.17" top="1" bottom="0.38" header="0.5" footer="0.5"/>
  <pageSetup fitToHeight="1" fitToWidth="1" horizontalDpi="600" verticalDpi="600" orientation="landscape" r:id="rId4"/>
  <drawing r:id="rId3"/>
  <legacyDrawing r:id="rId2"/>
</worksheet>
</file>

<file path=xl/worksheets/sheet8.xml><?xml version="1.0" encoding="utf-8"?>
<worksheet xmlns="http://schemas.openxmlformats.org/spreadsheetml/2006/main" xmlns:r="http://schemas.openxmlformats.org/officeDocument/2006/relationships">
  <sheetPr codeName="Sheet5">
    <pageSetUpPr fitToPage="1"/>
  </sheetPr>
  <dimension ref="A1:S60"/>
  <sheetViews>
    <sheetView zoomScale="85" zoomScaleNormal="85" zoomScalePageLayoutView="0" workbookViewId="0" topLeftCell="A1">
      <selection activeCell="K1" sqref="K1"/>
    </sheetView>
  </sheetViews>
  <sheetFormatPr defaultColWidth="5.7109375" defaultRowHeight="12.75"/>
  <cols>
    <col min="1" max="1" width="43.57421875" style="431" customWidth="1"/>
    <col min="2" max="2" width="12.57421875" style="431" bestFit="1" customWidth="1"/>
    <col min="3" max="3" width="22.421875" style="431" bestFit="1" customWidth="1"/>
    <col min="4" max="4" width="24.28125" style="431" customWidth="1"/>
    <col min="5" max="6" width="5.7109375" style="431" customWidth="1"/>
    <col min="7" max="7" width="12.8515625" style="431" bestFit="1" customWidth="1"/>
    <col min="8" max="8" width="10.8515625" style="431" bestFit="1" customWidth="1"/>
    <col min="9" max="9" width="5.7109375" style="431" customWidth="1"/>
    <col min="10" max="10" width="13.421875" style="431" customWidth="1"/>
    <col min="11" max="11" width="12.8515625" style="431" bestFit="1" customWidth="1"/>
    <col min="12" max="16384" width="5.7109375" style="431" customWidth="1"/>
  </cols>
  <sheetData>
    <row r="1" ht="12.75">
      <c r="K1" s="200" t="s">
        <v>691</v>
      </c>
    </row>
    <row r="2" spans="1:7" s="204" customFormat="1" ht="18">
      <c r="A2" s="203" t="s">
        <v>607</v>
      </c>
      <c r="G2" s="205"/>
    </row>
    <row r="3" ht="12.75">
      <c r="A3" s="497">
        <f>IF('ERR &amp; Sensitivity Analysis'!$I$12="y",IF('ERR &amp; Sensitivity Analysis'!$I$16="y","","Note: Current calculations are based on user input and are not the original MCC estimates"),"Note: Current calculations are based on user input and are not the original MCC estimates")</f>
      </c>
    </row>
    <row r="4" ht="18">
      <c r="A4" s="498" t="s">
        <v>642</v>
      </c>
    </row>
    <row r="5" ht="12.75">
      <c r="A5" s="497"/>
    </row>
    <row r="6" spans="1:19" ht="12.75">
      <c r="A6" s="435" t="s">
        <v>284</v>
      </c>
      <c r="B6" s="434"/>
      <c r="C6" s="434"/>
      <c r="D6" s="434"/>
      <c r="F6" s="985" t="s">
        <v>633</v>
      </c>
      <c r="G6" s="1000"/>
      <c r="H6" s="986"/>
      <c r="J6" s="978" t="s">
        <v>534</v>
      </c>
      <c r="K6" s="980"/>
      <c r="M6" s="463"/>
      <c r="N6" s="456"/>
      <c r="O6" s="456"/>
      <c r="P6" s="456"/>
      <c r="Q6" s="456"/>
      <c r="R6" s="456"/>
      <c r="S6" s="456"/>
    </row>
    <row r="7" spans="1:19" ht="12.75">
      <c r="A7" s="978" t="s">
        <v>38</v>
      </c>
      <c r="B7" s="992"/>
      <c r="C7" s="992"/>
      <c r="D7" s="993"/>
      <c r="F7" s="499" t="s">
        <v>60</v>
      </c>
      <c r="G7" s="500" t="s">
        <v>383</v>
      </c>
      <c r="H7" s="500" t="s">
        <v>410</v>
      </c>
      <c r="J7" s="500" t="s">
        <v>383</v>
      </c>
      <c r="K7" s="500" t="s">
        <v>410</v>
      </c>
      <c r="M7" s="456"/>
      <c r="N7" s="463"/>
      <c r="O7" s="456"/>
      <c r="P7" s="456"/>
      <c r="Q7" s="456"/>
      <c r="R7" s="456"/>
      <c r="S7" s="456"/>
    </row>
    <row r="8" spans="1:19" ht="12.75">
      <c r="A8" s="441"/>
      <c r="B8" s="438" t="s">
        <v>72</v>
      </c>
      <c r="C8" s="468" t="s">
        <v>77</v>
      </c>
      <c r="D8" s="501" t="s">
        <v>399</v>
      </c>
      <c r="F8" s="252">
        <v>1</v>
      </c>
      <c r="G8" s="272">
        <f>-C9</f>
        <v>-2621004.63317605</v>
      </c>
      <c r="H8" s="439">
        <f>-D9</f>
        <v>-8685480.547791952</v>
      </c>
      <c r="J8" s="502">
        <v>0</v>
      </c>
      <c r="K8" s="470">
        <v>0</v>
      </c>
      <c r="M8" s="465"/>
      <c r="N8" s="503"/>
      <c r="O8" s="456"/>
      <c r="P8" s="456"/>
      <c r="Q8" s="456"/>
      <c r="R8" s="456"/>
      <c r="S8" s="456"/>
    </row>
    <row r="9" spans="1:19" ht="12.75">
      <c r="A9" s="504" t="s">
        <v>382</v>
      </c>
      <c r="B9" s="505" t="s">
        <v>270</v>
      </c>
      <c r="C9" s="251">
        <f>SUM(C10:C13)</f>
        <v>2621004.63317605</v>
      </c>
      <c r="D9" s="254">
        <f>SUM(D10:D13)</f>
        <v>8685480.547791952</v>
      </c>
      <c r="F9" s="250">
        <f>+F8+1</f>
        <v>2</v>
      </c>
      <c r="G9" s="244">
        <f>C$25</f>
        <v>1306497.2687499996</v>
      </c>
      <c r="H9" s="444">
        <f>D$25</f>
        <v>1473229.2437499997</v>
      </c>
      <c r="J9" s="250">
        <f>$C$25</f>
        <v>1306497.2687499996</v>
      </c>
      <c r="K9" s="506">
        <f>$D$25</f>
        <v>1473229.2437499997</v>
      </c>
      <c r="M9" s="456"/>
      <c r="N9" s="456"/>
      <c r="O9" s="456"/>
      <c r="P9" s="456"/>
      <c r="Q9" s="456"/>
      <c r="R9" s="456"/>
      <c r="S9" s="456"/>
    </row>
    <row r="10" spans="1:19" ht="12.75" customHeight="1">
      <c r="A10" s="507" t="s">
        <v>384</v>
      </c>
      <c r="B10" s="508" t="s">
        <v>270</v>
      </c>
      <c r="C10" s="248">
        <f>'Subproject Data'!E11</f>
        <v>2465244.285384098</v>
      </c>
      <c r="D10" s="261">
        <f>'Subproject Data'!E12</f>
        <v>8529720.2</v>
      </c>
      <c r="F10" s="250">
        <f>+F9+1</f>
        <v>3</v>
      </c>
      <c r="G10" s="244">
        <f aca="true" t="shared" si="0" ref="G10:G17">C$25</f>
        <v>1306497.2687499996</v>
      </c>
      <c r="H10" s="444">
        <f aca="true" t="shared" si="1" ref="H10:H17">D$25</f>
        <v>1473229.2437499997</v>
      </c>
      <c r="J10" s="250">
        <f aca="true" t="shared" si="2" ref="J10:J17">$C$25</f>
        <v>1306497.2687499996</v>
      </c>
      <c r="K10" s="506">
        <f aca="true" t="shared" si="3" ref="K10:K17">$D$25</f>
        <v>1473229.2437499997</v>
      </c>
      <c r="M10" s="456"/>
      <c r="N10" s="456"/>
      <c r="O10" s="456"/>
      <c r="P10" s="456"/>
      <c r="Q10" s="456"/>
      <c r="R10" s="456"/>
      <c r="S10" s="456"/>
    </row>
    <row r="11" spans="1:19" ht="12.75">
      <c r="A11" s="509" t="s">
        <v>275</v>
      </c>
      <c r="B11" s="446" t="s">
        <v>270</v>
      </c>
      <c r="C11" s="261">
        <f>'Assumptions &amp; Data'!$L$21</f>
        <v>64302.003163979694</v>
      </c>
      <c r="D11" s="261">
        <f>'Assumptions &amp; Data'!$L$21</f>
        <v>64302.003163979694</v>
      </c>
      <c r="F11" s="250">
        <f>+F10+1</f>
        <v>4</v>
      </c>
      <c r="G11" s="244">
        <f t="shared" si="0"/>
        <v>1306497.2687499996</v>
      </c>
      <c r="H11" s="444">
        <f t="shared" si="1"/>
        <v>1473229.2437499997</v>
      </c>
      <c r="J11" s="250">
        <f t="shared" si="2"/>
        <v>1306497.2687499996</v>
      </c>
      <c r="K11" s="506">
        <f t="shared" si="3"/>
        <v>1473229.2437499997</v>
      </c>
      <c r="M11" s="456"/>
      <c r="N11" s="456"/>
      <c r="O11" s="456"/>
      <c r="P11" s="456"/>
      <c r="Q11" s="456"/>
      <c r="R11" s="456"/>
      <c r="S11" s="456"/>
    </row>
    <row r="12" spans="1:19" ht="12.75">
      <c r="A12" s="509" t="s">
        <v>289</v>
      </c>
      <c r="B12" s="446" t="s">
        <v>270</v>
      </c>
      <c r="C12" s="261">
        <f>'Assumptions &amp; Data'!$L$22</f>
        <v>89127.6129782695</v>
      </c>
      <c r="D12" s="261">
        <f>'Assumptions &amp; Data'!$L$22</f>
        <v>89127.6129782695</v>
      </c>
      <c r="F12" s="250">
        <f>+F11+1</f>
        <v>5</v>
      </c>
      <c r="G12" s="244">
        <f t="shared" si="0"/>
        <v>1306497.2687499996</v>
      </c>
      <c r="H12" s="444">
        <f t="shared" si="1"/>
        <v>1473229.2437499997</v>
      </c>
      <c r="J12" s="250">
        <f t="shared" si="2"/>
        <v>1306497.2687499996</v>
      </c>
      <c r="K12" s="506">
        <f t="shared" si="3"/>
        <v>1473229.2437499997</v>
      </c>
      <c r="M12" s="456"/>
      <c r="N12" s="463"/>
      <c r="O12" s="456"/>
      <c r="P12" s="456"/>
      <c r="Q12" s="456"/>
      <c r="R12" s="456"/>
      <c r="S12" s="456"/>
    </row>
    <row r="13" spans="1:19" ht="12.75">
      <c r="A13" s="509" t="s">
        <v>276</v>
      </c>
      <c r="B13" s="446" t="s">
        <v>270</v>
      </c>
      <c r="C13" s="261">
        <f>'Assumptions &amp; Data'!$L$23</f>
        <v>2330.731649702951</v>
      </c>
      <c r="D13" s="261">
        <f>'Assumptions &amp; Data'!$L$23</f>
        <v>2330.731649702951</v>
      </c>
      <c r="F13" s="250">
        <f>+F12+1</f>
        <v>6</v>
      </c>
      <c r="G13" s="244">
        <f t="shared" si="0"/>
        <v>1306497.2687499996</v>
      </c>
      <c r="H13" s="444">
        <f t="shared" si="1"/>
        <v>1473229.2437499997</v>
      </c>
      <c r="J13" s="250">
        <f t="shared" si="2"/>
        <v>1306497.2687499996</v>
      </c>
      <c r="K13" s="506">
        <f t="shared" si="3"/>
        <v>1473229.2437499997</v>
      </c>
      <c r="M13" s="456"/>
      <c r="N13" s="456"/>
      <c r="O13" s="456"/>
      <c r="P13" s="456"/>
      <c r="Q13" s="456"/>
      <c r="R13" s="456"/>
      <c r="S13" s="456"/>
    </row>
    <row r="14" spans="1:19" ht="12.75">
      <c r="A14" s="510" t="s">
        <v>403</v>
      </c>
      <c r="B14" s="446" t="s">
        <v>215</v>
      </c>
      <c r="C14" s="261">
        <f>C15/0.75</f>
        <v>666.6666666666666</v>
      </c>
      <c r="D14" s="261">
        <f>D15/0.75</f>
        <v>666.6666666666666</v>
      </c>
      <c r="F14" s="250">
        <f>+F13+1</f>
        <v>7</v>
      </c>
      <c r="G14" s="244">
        <f t="shared" si="0"/>
        <v>1306497.2687499996</v>
      </c>
      <c r="H14" s="444">
        <f t="shared" si="1"/>
        <v>1473229.2437499997</v>
      </c>
      <c r="J14" s="250">
        <f t="shared" si="2"/>
        <v>1306497.2687499996</v>
      </c>
      <c r="K14" s="506">
        <f t="shared" si="3"/>
        <v>1473229.2437499997</v>
      </c>
      <c r="M14" s="456"/>
      <c r="N14" s="456"/>
      <c r="O14" s="456"/>
      <c r="P14" s="456"/>
      <c r="Q14" s="456"/>
      <c r="R14" s="456"/>
      <c r="S14" s="456"/>
    </row>
    <row r="15" spans="1:19" ht="12.75">
      <c r="A15" s="511" t="s">
        <v>404</v>
      </c>
      <c r="B15" s="446" t="s">
        <v>199</v>
      </c>
      <c r="C15" s="261">
        <f>2.5*(5+5)*100*20%</f>
        <v>500</v>
      </c>
      <c r="D15" s="261">
        <f>2.5*(5+5)*100*20%</f>
        <v>500</v>
      </c>
      <c r="F15" s="250">
        <f>+F14+1</f>
        <v>8</v>
      </c>
      <c r="G15" s="244">
        <f t="shared" si="0"/>
        <v>1306497.2687499996</v>
      </c>
      <c r="H15" s="444">
        <f t="shared" si="1"/>
        <v>1473229.2437499997</v>
      </c>
      <c r="J15" s="250">
        <f t="shared" si="2"/>
        <v>1306497.2687499996</v>
      </c>
      <c r="K15" s="506">
        <f t="shared" si="3"/>
        <v>1473229.2437499997</v>
      </c>
      <c r="M15" s="456"/>
      <c r="N15" s="456"/>
      <c r="O15" s="456"/>
      <c r="P15" s="456"/>
      <c r="Q15" s="456"/>
      <c r="R15" s="456"/>
      <c r="S15" s="456"/>
    </row>
    <row r="16" spans="1:19" ht="12.75">
      <c r="A16" s="512" t="s">
        <v>16</v>
      </c>
      <c r="B16" s="446" t="s">
        <v>400</v>
      </c>
      <c r="C16" s="451">
        <f>3.7703*75%</f>
        <v>2.827725</v>
      </c>
      <c r="D16" s="451">
        <f>3.7703*75%</f>
        <v>2.827725</v>
      </c>
      <c r="F16" s="250">
        <f>+F15+1</f>
        <v>9</v>
      </c>
      <c r="G16" s="244">
        <f t="shared" si="0"/>
        <v>1306497.2687499996</v>
      </c>
      <c r="H16" s="444">
        <f t="shared" si="1"/>
        <v>1473229.2437499997</v>
      </c>
      <c r="J16" s="250">
        <f t="shared" si="2"/>
        <v>1306497.2687499996</v>
      </c>
      <c r="K16" s="506">
        <f t="shared" si="3"/>
        <v>1473229.2437499997</v>
      </c>
      <c r="M16" s="456"/>
      <c r="N16" s="456"/>
      <c r="O16" s="456"/>
      <c r="P16" s="456"/>
      <c r="Q16" s="456"/>
      <c r="R16" s="456"/>
      <c r="S16" s="456"/>
    </row>
    <row r="17" spans="1:19" ht="12.75">
      <c r="A17" s="513" t="s">
        <v>80</v>
      </c>
      <c r="B17" s="446" t="s">
        <v>408</v>
      </c>
      <c r="C17" s="452">
        <v>1.5</v>
      </c>
      <c r="D17" s="452">
        <f>+C17</f>
        <v>1.5</v>
      </c>
      <c r="F17" s="250">
        <f>+F16+1</f>
        <v>10</v>
      </c>
      <c r="G17" s="244">
        <f t="shared" si="0"/>
        <v>1306497.2687499996</v>
      </c>
      <c r="H17" s="444">
        <f t="shared" si="1"/>
        <v>1473229.2437499997</v>
      </c>
      <c r="J17" s="250">
        <f t="shared" si="2"/>
        <v>1306497.2687499996</v>
      </c>
      <c r="K17" s="506">
        <f t="shared" si="3"/>
        <v>1473229.2437499997</v>
      </c>
      <c r="M17" s="456"/>
      <c r="N17" s="463"/>
      <c r="O17" s="456"/>
      <c r="P17" s="456"/>
      <c r="Q17" s="456"/>
      <c r="R17" s="456"/>
      <c r="S17" s="456"/>
    </row>
    <row r="18" spans="1:19" ht="12.75">
      <c r="A18" s="513" t="s">
        <v>402</v>
      </c>
      <c r="B18" s="514" t="s">
        <v>386</v>
      </c>
      <c r="C18" s="261">
        <f>C15*C16*C17</f>
        <v>2120.79375</v>
      </c>
      <c r="D18" s="261">
        <f>D15*D16*D17</f>
        <v>2120.79375</v>
      </c>
      <c r="F18" s="250">
        <f aca="true" t="shared" si="4" ref="F18:F27">+F17+1</f>
        <v>11</v>
      </c>
      <c r="G18" s="515">
        <v>0</v>
      </c>
      <c r="H18" s="516">
        <v>0</v>
      </c>
      <c r="J18" s="517">
        <v>0</v>
      </c>
      <c r="K18" s="485">
        <v>0</v>
      </c>
      <c r="M18" s="518"/>
      <c r="N18" s="503"/>
      <c r="O18" s="456"/>
      <c r="P18" s="456"/>
      <c r="Q18" s="456"/>
      <c r="R18" s="456"/>
      <c r="S18" s="456"/>
    </row>
    <row r="19" spans="1:19" ht="12.75">
      <c r="A19" s="511" t="s">
        <v>407</v>
      </c>
      <c r="B19" s="514" t="s">
        <v>290</v>
      </c>
      <c r="C19" s="261">
        <v>11220</v>
      </c>
      <c r="D19" s="261">
        <v>11220</v>
      </c>
      <c r="F19" s="250">
        <f t="shared" si="4"/>
        <v>12</v>
      </c>
      <c r="G19" s="515">
        <v>0</v>
      </c>
      <c r="H19" s="516">
        <v>0</v>
      </c>
      <c r="I19" s="519"/>
      <c r="J19" s="517">
        <v>0</v>
      </c>
      <c r="K19" s="485">
        <v>0</v>
      </c>
      <c r="M19" s="515"/>
      <c r="N19" s="503"/>
      <c r="O19" s="456"/>
      <c r="P19" s="456"/>
      <c r="Q19" s="456"/>
      <c r="R19" s="456"/>
      <c r="S19" s="456"/>
    </row>
    <row r="20" spans="1:19" ht="12.75">
      <c r="A20" s="511" t="s">
        <v>397</v>
      </c>
      <c r="B20" s="446" t="s">
        <v>396</v>
      </c>
      <c r="C20" s="261">
        <f>C48-C49</f>
        <v>144213.97499999992</v>
      </c>
      <c r="D20" s="261">
        <f>C48-D49</f>
        <v>288427.94999999995</v>
      </c>
      <c r="F20" s="250">
        <f t="shared" si="4"/>
        <v>13</v>
      </c>
      <c r="G20" s="515">
        <v>0</v>
      </c>
      <c r="H20" s="516">
        <v>0</v>
      </c>
      <c r="I20" s="519"/>
      <c r="J20" s="517">
        <v>0</v>
      </c>
      <c r="K20" s="485">
        <v>0</v>
      </c>
      <c r="M20" s="518"/>
      <c r="N20" s="463"/>
      <c r="O20" s="456"/>
      <c r="P20" s="456"/>
      <c r="Q20" s="456"/>
      <c r="R20" s="456"/>
      <c r="S20" s="456"/>
    </row>
    <row r="21" spans="1:19" ht="12.75">
      <c r="A21" s="511" t="s">
        <v>398</v>
      </c>
      <c r="B21" s="446" t="s">
        <v>396</v>
      </c>
      <c r="C21" s="261">
        <f>C52-C53</f>
        <v>22518</v>
      </c>
      <c r="D21" s="261">
        <f>C52-D53</f>
        <v>45036</v>
      </c>
      <c r="F21" s="250">
        <f t="shared" si="4"/>
        <v>14</v>
      </c>
      <c r="G21" s="515">
        <v>0</v>
      </c>
      <c r="H21" s="516">
        <v>0</v>
      </c>
      <c r="I21" s="519"/>
      <c r="J21" s="517">
        <v>0</v>
      </c>
      <c r="K21" s="485">
        <v>0</v>
      </c>
      <c r="M21" s="515"/>
      <c r="N21" s="463"/>
      <c r="O21" s="456"/>
      <c r="P21" s="456"/>
      <c r="Q21" s="456"/>
      <c r="R21" s="456"/>
      <c r="S21" s="456"/>
    </row>
    <row r="22" spans="1:19" ht="12.75">
      <c r="A22" s="512" t="s">
        <v>389</v>
      </c>
      <c r="B22" s="446" t="s">
        <v>396</v>
      </c>
      <c r="C22" s="261">
        <f>(C41-C42)*C18*C19</f>
        <v>1189765.2937499997</v>
      </c>
      <c r="D22" s="261">
        <f>(C41-C42)*C18*C19</f>
        <v>1189765.2937499997</v>
      </c>
      <c r="F22" s="250">
        <f t="shared" si="4"/>
        <v>15</v>
      </c>
      <c r="G22" s="515">
        <v>0</v>
      </c>
      <c r="H22" s="516">
        <v>0</v>
      </c>
      <c r="I22" s="519"/>
      <c r="J22" s="517">
        <v>0</v>
      </c>
      <c r="K22" s="485">
        <v>0</v>
      </c>
      <c r="M22" s="518"/>
      <c r="N22" s="520"/>
      <c r="O22" s="456"/>
      <c r="P22" s="456"/>
      <c r="Q22" s="456"/>
      <c r="R22" s="456"/>
      <c r="S22" s="456"/>
    </row>
    <row r="23" spans="1:19" ht="12.75">
      <c r="A23" s="511" t="s">
        <v>409</v>
      </c>
      <c r="B23" s="446" t="s">
        <v>396</v>
      </c>
      <c r="C23" s="261">
        <f>SUM(C20:C22)</f>
        <v>1356497.2687499996</v>
      </c>
      <c r="D23" s="261">
        <f>SUM(D20:D22)</f>
        <v>1523229.2437499997</v>
      </c>
      <c r="F23" s="250">
        <f t="shared" si="4"/>
        <v>16</v>
      </c>
      <c r="G23" s="515">
        <v>0</v>
      </c>
      <c r="H23" s="516">
        <v>0</v>
      </c>
      <c r="I23" s="519"/>
      <c r="J23" s="517">
        <v>0</v>
      </c>
      <c r="K23" s="485">
        <v>0</v>
      </c>
      <c r="M23" s="518"/>
      <c r="N23" s="520"/>
      <c r="O23" s="456"/>
      <c r="P23" s="456"/>
      <c r="Q23" s="456"/>
      <c r="R23" s="456"/>
      <c r="S23" s="456"/>
    </row>
    <row r="24" spans="1:19" ht="12.75">
      <c r="A24" s="512" t="s">
        <v>115</v>
      </c>
      <c r="B24" s="446" t="s">
        <v>396</v>
      </c>
      <c r="C24" s="261">
        <v>50000</v>
      </c>
      <c r="D24" s="261">
        <v>50000</v>
      </c>
      <c r="F24" s="250">
        <f t="shared" si="4"/>
        <v>17</v>
      </c>
      <c r="G24" s="515">
        <v>0</v>
      </c>
      <c r="H24" s="516">
        <v>0</v>
      </c>
      <c r="I24" s="519"/>
      <c r="J24" s="517">
        <v>0</v>
      </c>
      <c r="K24" s="485">
        <v>0</v>
      </c>
      <c r="M24" s="518"/>
      <c r="N24" s="520"/>
      <c r="O24" s="456"/>
      <c r="P24" s="456"/>
      <c r="Q24" s="456"/>
      <c r="R24" s="456"/>
      <c r="S24" s="456"/>
    </row>
    <row r="25" spans="1:19" ht="12.75">
      <c r="A25" s="521" t="s">
        <v>336</v>
      </c>
      <c r="B25" s="446" t="s">
        <v>396</v>
      </c>
      <c r="C25" s="261">
        <f>+C23-C24</f>
        <v>1306497.2687499996</v>
      </c>
      <c r="D25" s="261">
        <f>+D23-D24</f>
        <v>1473229.2437499997</v>
      </c>
      <c r="F25" s="250">
        <f t="shared" si="4"/>
        <v>18</v>
      </c>
      <c r="G25" s="515">
        <v>0</v>
      </c>
      <c r="H25" s="516">
        <v>0</v>
      </c>
      <c r="I25" s="519"/>
      <c r="J25" s="517">
        <v>0</v>
      </c>
      <c r="K25" s="485">
        <v>0</v>
      </c>
      <c r="M25" s="518"/>
      <c r="N25" s="463"/>
      <c r="O25" s="456"/>
      <c r="P25" s="456"/>
      <c r="Q25" s="456"/>
      <c r="R25" s="456"/>
      <c r="S25" s="456"/>
    </row>
    <row r="26" spans="1:19" ht="12.75">
      <c r="A26" s="512" t="s">
        <v>29</v>
      </c>
      <c r="B26" s="446" t="s">
        <v>304</v>
      </c>
      <c r="C26" s="261">
        <v>10</v>
      </c>
      <c r="D26" s="261">
        <v>10</v>
      </c>
      <c r="F26" s="250">
        <f t="shared" si="4"/>
        <v>19</v>
      </c>
      <c r="G26" s="515">
        <v>0</v>
      </c>
      <c r="H26" s="516">
        <v>0</v>
      </c>
      <c r="I26" s="519"/>
      <c r="J26" s="517">
        <v>0</v>
      </c>
      <c r="K26" s="485">
        <v>0</v>
      </c>
      <c r="M26" s="456"/>
      <c r="N26" s="456"/>
      <c r="O26" s="456"/>
      <c r="P26" s="456"/>
      <c r="Q26" s="456"/>
      <c r="R26" s="456"/>
      <c r="S26" s="456"/>
    </row>
    <row r="27" spans="1:11" ht="12.75">
      <c r="A27" s="522" t="s">
        <v>14</v>
      </c>
      <c r="B27" s="454"/>
      <c r="C27" s="523">
        <f>IRR(G8:G17)</f>
        <v>0.4842098605231071</v>
      </c>
      <c r="D27" s="523">
        <f>IRR(H8:H17)</f>
        <v>0.09414466093045548</v>
      </c>
      <c r="F27" s="460">
        <f t="shared" si="4"/>
        <v>20</v>
      </c>
      <c r="G27" s="524">
        <v>0</v>
      </c>
      <c r="H27" s="525">
        <v>0</v>
      </c>
      <c r="I27" s="519"/>
      <c r="J27" s="526">
        <v>0</v>
      </c>
      <c r="K27" s="492">
        <v>0</v>
      </c>
    </row>
    <row r="28" spans="1:10" ht="12.75" customHeight="1">
      <c r="A28" s="457"/>
      <c r="B28" s="208"/>
      <c r="F28" s="297"/>
      <c r="G28" s="519"/>
      <c r="H28" s="519"/>
      <c r="I28" s="519"/>
      <c r="J28" s="519"/>
    </row>
    <row r="29" spans="1:10" ht="25.5" customHeight="1">
      <c r="A29" s="987" t="s">
        <v>627</v>
      </c>
      <c r="B29" s="988"/>
      <c r="C29" s="988"/>
      <c r="D29" s="989"/>
      <c r="G29" s="519"/>
      <c r="H29" s="519"/>
      <c r="I29" s="519"/>
      <c r="J29" s="519"/>
    </row>
    <row r="30" spans="1:10" ht="12.75" customHeight="1">
      <c r="A30" s="527"/>
      <c r="B30" s="994" t="s">
        <v>40</v>
      </c>
      <c r="C30" s="996" t="s">
        <v>634</v>
      </c>
      <c r="D30" s="997"/>
      <c r="G30" s="519"/>
      <c r="H30" s="519"/>
      <c r="I30" s="519"/>
      <c r="J30" s="519"/>
    </row>
    <row r="31" spans="1:10" ht="12.75">
      <c r="A31" s="528" t="str">
        <f>'Assumptions &amp; Data'!$A$9</f>
        <v>Inflation factors</v>
      </c>
      <c r="B31" s="995"/>
      <c r="C31" s="998"/>
      <c r="D31" s="999"/>
      <c r="G31" s="519"/>
      <c r="H31" s="519"/>
      <c r="I31" s="519"/>
      <c r="J31" s="519"/>
    </row>
    <row r="32" spans="1:10" ht="12.75">
      <c r="A32" s="529" t="s">
        <v>263</v>
      </c>
      <c r="B32" s="472" t="s">
        <v>211</v>
      </c>
      <c r="C32" s="990">
        <f>'Assumptions &amp; Data'!J10</f>
        <v>1.4029987187133832</v>
      </c>
      <c r="D32" s="991"/>
      <c r="G32" s="519"/>
      <c r="H32" s="519"/>
      <c r="I32" s="519"/>
      <c r="J32" s="519"/>
    </row>
    <row r="33" spans="1:10" ht="12.75">
      <c r="A33" s="529" t="s">
        <v>264</v>
      </c>
      <c r="B33" s="472" t="s">
        <v>211</v>
      </c>
      <c r="C33" s="990">
        <f>'Assumptions &amp; Data'!J11</f>
        <v>1.3519277073511313</v>
      </c>
      <c r="D33" s="991"/>
      <c r="G33" s="519"/>
      <c r="H33" s="519"/>
      <c r="I33" s="519"/>
      <c r="J33" s="519"/>
    </row>
    <row r="34" spans="1:10" ht="12.75">
      <c r="A34" s="529" t="s">
        <v>265</v>
      </c>
      <c r="B34" s="472" t="s">
        <v>211</v>
      </c>
      <c r="C34" s="990">
        <f>'Assumptions &amp; Data'!J12</f>
        <v>1.2742828526095011</v>
      </c>
      <c r="D34" s="991"/>
      <c r="G34" s="519"/>
      <c r="H34" s="519"/>
      <c r="I34" s="519"/>
      <c r="J34" s="519"/>
    </row>
    <row r="35" spans="1:10" ht="12.75">
      <c r="A35" s="529" t="s">
        <v>266</v>
      </c>
      <c r="B35" s="472" t="s">
        <v>211</v>
      </c>
      <c r="C35" s="990">
        <f>'Assumptions &amp; Data'!J13</f>
        <v>1.1967469699765447</v>
      </c>
      <c r="D35" s="991"/>
      <c r="G35" s="519"/>
      <c r="H35" s="519"/>
      <c r="I35" s="519"/>
      <c r="J35" s="519"/>
    </row>
    <row r="36" spans="1:10" ht="12.75">
      <c r="A36" s="529" t="s">
        <v>267</v>
      </c>
      <c r="B36" s="472" t="s">
        <v>211</v>
      </c>
      <c r="C36" s="990">
        <f>'Assumptions &amp; Data'!J14</f>
        <v>1.1379414362381366</v>
      </c>
      <c r="D36" s="991"/>
      <c r="G36" s="519"/>
      <c r="H36" s="519"/>
      <c r="I36" s="519"/>
      <c r="J36" s="519"/>
    </row>
    <row r="37" spans="1:10" ht="12.75">
      <c r="A37" s="529" t="s">
        <v>268</v>
      </c>
      <c r="B37" s="472" t="s">
        <v>211</v>
      </c>
      <c r="C37" s="990">
        <f>'Assumptions &amp; Data'!J15</f>
        <v>1.10554605113744</v>
      </c>
      <c r="D37" s="991"/>
      <c r="G37" s="519"/>
      <c r="H37" s="519"/>
      <c r="I37" s="519"/>
      <c r="J37" s="519"/>
    </row>
    <row r="38" spans="1:10" ht="12.75">
      <c r="A38" s="529" t="s">
        <v>269</v>
      </c>
      <c r="B38" s="472" t="s">
        <v>211</v>
      </c>
      <c r="C38" s="990">
        <f>'Assumptions &amp; Data'!J16</f>
        <v>1.028</v>
      </c>
      <c r="D38" s="991"/>
      <c r="G38" s="519"/>
      <c r="H38" s="519"/>
      <c r="I38" s="519"/>
      <c r="J38" s="519"/>
    </row>
    <row r="39" spans="1:10" ht="12.75">
      <c r="A39" s="529"/>
      <c r="B39" s="472"/>
      <c r="C39" s="990"/>
      <c r="D39" s="991"/>
      <c r="G39" s="519"/>
      <c r="H39" s="519"/>
      <c r="I39" s="519"/>
      <c r="J39" s="519"/>
    </row>
    <row r="40" spans="1:10" ht="12.75">
      <c r="A40" s="530" t="s">
        <v>385</v>
      </c>
      <c r="B40" s="531"/>
      <c r="C40" s="990"/>
      <c r="D40" s="991"/>
      <c r="G40" s="519"/>
      <c r="H40" s="519"/>
      <c r="I40" s="519"/>
      <c r="J40" s="519"/>
    </row>
    <row r="41" spans="1:10" ht="12.75">
      <c r="A41" s="529" t="s">
        <v>332</v>
      </c>
      <c r="B41" s="472" t="s">
        <v>211</v>
      </c>
      <c r="C41" s="990">
        <v>0.15</v>
      </c>
      <c r="D41" s="991"/>
      <c r="G41" s="519"/>
      <c r="H41" s="519"/>
      <c r="I41" s="519"/>
      <c r="J41" s="519"/>
    </row>
    <row r="42" spans="1:10" ht="12.75">
      <c r="A42" s="529" t="s">
        <v>333</v>
      </c>
      <c r="B42" s="472" t="s">
        <v>211</v>
      </c>
      <c r="C42" s="990">
        <v>0.1</v>
      </c>
      <c r="D42" s="991"/>
      <c r="G42" s="519"/>
      <c r="H42" s="519"/>
      <c r="I42" s="519"/>
      <c r="J42" s="519"/>
    </row>
    <row r="43" spans="1:10" ht="12.75">
      <c r="A43" s="530" t="s">
        <v>385</v>
      </c>
      <c r="B43" s="472"/>
      <c r="C43" s="990"/>
      <c r="D43" s="991"/>
      <c r="G43" s="519"/>
      <c r="H43" s="519"/>
      <c r="I43" s="519"/>
      <c r="J43" s="519"/>
    </row>
    <row r="44" spans="1:10" ht="12.75">
      <c r="A44" s="529" t="s">
        <v>332</v>
      </c>
      <c r="B44" s="472" t="s">
        <v>386</v>
      </c>
      <c r="C44" s="1005">
        <f>C41*$C$16*$C$15</f>
        <v>212.079375</v>
      </c>
      <c r="D44" s="1006"/>
      <c r="G44" s="519"/>
      <c r="H44" s="519"/>
      <c r="I44" s="519"/>
      <c r="J44" s="519"/>
    </row>
    <row r="45" spans="1:10" ht="12.75">
      <c r="A45" s="529" t="s">
        <v>333</v>
      </c>
      <c r="B45" s="472" t="s">
        <v>386</v>
      </c>
      <c r="C45" s="1005">
        <f>C42*$C$16*$C$15</f>
        <v>141.38625000000002</v>
      </c>
      <c r="D45" s="1006"/>
      <c r="G45" s="519"/>
      <c r="H45" s="519"/>
      <c r="I45" s="519"/>
      <c r="J45" s="519"/>
    </row>
    <row r="46" spans="1:10" ht="12.75">
      <c r="A46" s="528" t="s">
        <v>392</v>
      </c>
      <c r="B46" s="472" t="s">
        <v>211</v>
      </c>
      <c r="C46" s="1003">
        <f>637.5/1687.5</f>
        <v>0.37777777777777777</v>
      </c>
      <c r="D46" s="1004"/>
      <c r="E46" s="532"/>
      <c r="G46" s="519"/>
      <c r="H46" s="519"/>
      <c r="I46" s="519"/>
      <c r="J46" s="519"/>
    </row>
    <row r="47" spans="1:10" ht="12.75">
      <c r="A47" s="528" t="s">
        <v>390</v>
      </c>
      <c r="B47" s="472"/>
      <c r="C47" s="517"/>
      <c r="D47" s="485"/>
      <c r="G47" s="519"/>
      <c r="H47" s="519"/>
      <c r="I47" s="519"/>
      <c r="J47" s="519"/>
    </row>
    <row r="48" spans="1:10" ht="12.75">
      <c r="A48" s="529" t="s">
        <v>332</v>
      </c>
      <c r="B48" s="472" t="s">
        <v>396</v>
      </c>
      <c r="C48" s="1001">
        <f>C18*C46*1000*0.72</f>
        <v>576855.8999999999</v>
      </c>
      <c r="D48" s="1002"/>
      <c r="G48" s="519"/>
      <c r="H48" s="519"/>
      <c r="I48" s="519"/>
      <c r="J48" s="519"/>
    </row>
    <row r="49" spans="1:10" ht="12.75">
      <c r="A49" s="529" t="s">
        <v>333</v>
      </c>
      <c r="B49" s="533" t="s">
        <v>396</v>
      </c>
      <c r="C49" s="534">
        <f>C18*C46*1000*0.54</f>
        <v>432641.925</v>
      </c>
      <c r="D49" s="534">
        <f>C18*C46*1000*0.36</f>
        <v>288427.94999999995</v>
      </c>
      <c r="G49" s="519"/>
      <c r="H49" s="519"/>
      <c r="I49" s="519"/>
      <c r="J49" s="519"/>
    </row>
    <row r="50" spans="1:10" ht="12.75">
      <c r="A50" s="528" t="s">
        <v>393</v>
      </c>
      <c r="B50" s="472" t="s">
        <v>394</v>
      </c>
      <c r="C50" s="1005">
        <f>4*41.7</f>
        <v>166.8</v>
      </c>
      <c r="D50" s="1006"/>
      <c r="G50" s="519"/>
      <c r="H50" s="519"/>
      <c r="I50" s="519"/>
      <c r="J50" s="519"/>
    </row>
    <row r="51" spans="1:10" ht="12.75">
      <c r="A51" s="528" t="s">
        <v>391</v>
      </c>
      <c r="B51" s="472"/>
      <c r="C51" s="535"/>
      <c r="D51" s="485"/>
      <c r="G51" s="519"/>
      <c r="H51" s="519"/>
      <c r="I51" s="519"/>
      <c r="J51" s="519"/>
    </row>
    <row r="52" spans="1:4" ht="12.75">
      <c r="A52" s="529" t="s">
        <v>332</v>
      </c>
      <c r="B52" s="472" t="s">
        <v>396</v>
      </c>
      <c r="C52" s="1001">
        <f>C50*C15*C17*0.72</f>
        <v>90072</v>
      </c>
      <c r="D52" s="1002"/>
    </row>
    <row r="53" spans="1:4" ht="12.75">
      <c r="A53" s="529" t="s">
        <v>333</v>
      </c>
      <c r="B53" s="533" t="s">
        <v>396</v>
      </c>
      <c r="C53" s="536">
        <f>C50*C15*C17*0.54</f>
        <v>67554</v>
      </c>
      <c r="D53" s="536">
        <f>C50*C15*C17*0.36</f>
        <v>45036</v>
      </c>
    </row>
    <row r="54" spans="1:4" ht="12.75">
      <c r="A54" s="537" t="s">
        <v>411</v>
      </c>
      <c r="B54" s="538"/>
      <c r="C54" s="539"/>
      <c r="D54" s="470"/>
    </row>
    <row r="55" spans="1:4" ht="12.75">
      <c r="A55" s="540" t="s">
        <v>374</v>
      </c>
      <c r="B55" s="369"/>
      <c r="C55" s="541"/>
      <c r="D55" s="542"/>
    </row>
    <row r="56" spans="1:4" ht="12.75">
      <c r="A56" s="543"/>
      <c r="B56" s="544"/>
      <c r="C56" s="515"/>
      <c r="D56" s="456"/>
    </row>
    <row r="57" ht="12.75">
      <c r="B57" s="545"/>
    </row>
    <row r="58" ht="12.75">
      <c r="B58" s="545"/>
    </row>
    <row r="59" spans="1:2" ht="12.75">
      <c r="A59" s="457"/>
      <c r="B59" s="545"/>
    </row>
    <row r="60" ht="12.75">
      <c r="B60" s="545"/>
    </row>
  </sheetData>
  <sheetProtection/>
  <mergeCells count="24">
    <mergeCell ref="C38:D38"/>
    <mergeCell ref="C39:D39"/>
    <mergeCell ref="C40:D40"/>
    <mergeCell ref="C41:D41"/>
    <mergeCell ref="C42:D42"/>
    <mergeCell ref="C52:D52"/>
    <mergeCell ref="C48:D48"/>
    <mergeCell ref="C46:D46"/>
    <mergeCell ref="C50:D50"/>
    <mergeCell ref="C43:D43"/>
    <mergeCell ref="C44:D44"/>
    <mergeCell ref="C45:D45"/>
    <mergeCell ref="C37:D37"/>
    <mergeCell ref="A7:D7"/>
    <mergeCell ref="B30:B31"/>
    <mergeCell ref="C30:D31"/>
    <mergeCell ref="F6:H6"/>
    <mergeCell ref="C32:D32"/>
    <mergeCell ref="C33:D33"/>
    <mergeCell ref="J6:K6"/>
    <mergeCell ref="A29:D29"/>
    <mergeCell ref="C34:D34"/>
    <mergeCell ref="C35:D35"/>
    <mergeCell ref="C36:D36"/>
  </mergeCells>
  <printOptions horizontalCentered="1"/>
  <pageMargins left="0.75" right="0.75" top="1" bottom="1" header="0.5" footer="0.5"/>
  <pageSetup fitToHeight="1" fitToWidth="1" horizontalDpi="600" verticalDpi="600" orientation="portrait" scale="91" r:id="rId4"/>
  <drawing r:id="rId3"/>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W87"/>
  <sheetViews>
    <sheetView zoomScale="90" zoomScaleNormal="90" zoomScalePageLayoutView="0" workbookViewId="0" topLeftCell="A1">
      <selection activeCell="A1" sqref="A1"/>
    </sheetView>
  </sheetViews>
  <sheetFormatPr defaultColWidth="5.7109375" defaultRowHeight="12.75"/>
  <cols>
    <col min="1" max="1" width="54.28125" style="431" customWidth="1"/>
    <col min="2" max="2" width="12.00390625" style="431" bestFit="1" customWidth="1"/>
    <col min="3" max="3" width="10.28125" style="431" customWidth="1"/>
    <col min="4" max="4" width="7.00390625" style="431" bestFit="1" customWidth="1"/>
    <col min="5" max="5" width="6.7109375" style="431" customWidth="1"/>
    <col min="6" max="6" width="15.00390625" style="431" bestFit="1" customWidth="1"/>
    <col min="7" max="7" width="14.140625" style="431" bestFit="1" customWidth="1"/>
    <col min="8" max="8" width="11.28125" style="431" bestFit="1" customWidth="1"/>
    <col min="9" max="9" width="14.00390625" style="431" customWidth="1"/>
    <col min="10" max="10" width="13.28125" style="431" customWidth="1"/>
    <col min="11" max="16384" width="5.7109375" style="431" customWidth="1"/>
  </cols>
  <sheetData>
    <row r="1" ht="12.75">
      <c r="A1" s="497">
        <f>IF('ERR &amp; Sensitivity Analysis'!$I$12="y",IF('ERR &amp; Sensitivity Analysis'!$I$16="y","","Note: Current calculations are based on user input and are not the original MCC estimates"),"Note: Current calculations are based on user input and are not the original MCC estimates")</f>
      </c>
    </row>
    <row r="2" ht="18">
      <c r="A2" s="498" t="s">
        <v>144</v>
      </c>
    </row>
    <row r="3" ht="12.75">
      <c r="A3" s="497"/>
    </row>
    <row r="4" spans="1:11" s="204" customFormat="1" ht="18">
      <c r="A4" s="203" t="s">
        <v>607</v>
      </c>
      <c r="G4" s="205"/>
      <c r="K4" s="200" t="s">
        <v>691</v>
      </c>
    </row>
    <row r="5" spans="1:11" s="204" customFormat="1" ht="18">
      <c r="A5" s="203">
        <f>IF('ERR &amp; Sensitivity Analysis'!$I$12="y",IF('ERR &amp; Sensitivity Analysis'!$I$16="y","","Note: Current calculations are based on user input and are not the original MCC estimates"),"Note: Current calculations are based on user input and are not the original MCC estimates")</f>
      </c>
      <c r="G5" s="205"/>
      <c r="K5" s="206"/>
    </row>
    <row r="6" spans="1:23" ht="12.75">
      <c r="A6" s="546" t="s">
        <v>284</v>
      </c>
      <c r="B6" s="434"/>
      <c r="C6" s="434"/>
      <c r="E6" s="978" t="s">
        <v>481</v>
      </c>
      <c r="F6" s="979"/>
      <c r="G6" s="980"/>
      <c r="I6" s="978" t="s">
        <v>534</v>
      </c>
      <c r="J6" s="980"/>
      <c r="L6" s="463"/>
      <c r="M6" s="456"/>
      <c r="N6" s="456"/>
      <c r="O6" s="456"/>
      <c r="P6" s="456"/>
      <c r="Q6" s="456"/>
      <c r="R6" s="456"/>
      <c r="S6" s="456"/>
      <c r="T6" s="456"/>
      <c r="U6" s="456"/>
      <c r="V6" s="456"/>
      <c r="W6" s="456"/>
    </row>
    <row r="7" spans="1:23" ht="12.75">
      <c r="A7" s="1007" t="s">
        <v>254</v>
      </c>
      <c r="B7" s="1011"/>
      <c r="C7" s="1012"/>
      <c r="E7" s="547" t="s">
        <v>60</v>
      </c>
      <c r="F7" s="500" t="s">
        <v>488</v>
      </c>
      <c r="G7" s="548" t="s">
        <v>489</v>
      </c>
      <c r="I7" s="549" t="s">
        <v>488</v>
      </c>
      <c r="J7" s="548" t="s">
        <v>489</v>
      </c>
      <c r="L7" s="456"/>
      <c r="M7" s="463"/>
      <c r="N7" s="456"/>
      <c r="O7" s="456"/>
      <c r="P7" s="456"/>
      <c r="Q7" s="456"/>
      <c r="R7" s="456"/>
      <c r="S7" s="456"/>
      <c r="T7" s="456"/>
      <c r="U7" s="456"/>
      <c r="V7" s="456"/>
      <c r="W7" s="456"/>
    </row>
    <row r="8" spans="1:23" ht="12.75">
      <c r="A8" s="550"/>
      <c r="B8" s="466" t="s">
        <v>72</v>
      </c>
      <c r="C8" s="466" t="s">
        <v>39</v>
      </c>
      <c r="E8" s="252">
        <v>1</v>
      </c>
      <c r="F8" s="254">
        <f>-C9</f>
        <v>-1206542.8097365112</v>
      </c>
      <c r="G8" s="439">
        <f>-C29</f>
        <v>-1373796.0992638976</v>
      </c>
      <c r="I8" s="440">
        <v>0</v>
      </c>
      <c r="J8" s="470">
        <v>0</v>
      </c>
      <c r="L8" s="465"/>
      <c r="M8" s="551"/>
      <c r="N8" s="456"/>
      <c r="O8" s="456"/>
      <c r="P8" s="456"/>
      <c r="Q8" s="456"/>
      <c r="R8" s="456"/>
      <c r="S8" s="456"/>
      <c r="T8" s="456"/>
      <c r="U8" s="456"/>
      <c r="V8" s="456"/>
      <c r="W8" s="456"/>
    </row>
    <row r="9" spans="1:23" ht="12.75">
      <c r="A9" s="504" t="s">
        <v>412</v>
      </c>
      <c r="B9" s="552" t="s">
        <v>270</v>
      </c>
      <c r="C9" s="553">
        <f>SUM(C10:C13)</f>
        <v>1206542.8097365112</v>
      </c>
      <c r="E9" s="250">
        <f>+E8+1</f>
        <v>2</v>
      </c>
      <c r="F9" s="261">
        <f>+C23</f>
        <v>313101.4235505708</v>
      </c>
      <c r="G9" s="444">
        <f>+C43</f>
        <v>296032.30200699874</v>
      </c>
      <c r="I9" s="248">
        <f>$C$23</f>
        <v>313101.4235505708</v>
      </c>
      <c r="J9" s="506">
        <f>$C$43</f>
        <v>296032.30200699874</v>
      </c>
      <c r="L9" s="465"/>
      <c r="M9" s="551"/>
      <c r="N9" s="456"/>
      <c r="O9" s="456"/>
      <c r="P9" s="456"/>
      <c r="Q9" s="456"/>
      <c r="R9" s="456"/>
      <c r="S9" s="456"/>
      <c r="T9" s="456"/>
      <c r="U9" s="456"/>
      <c r="V9" s="456"/>
      <c r="W9" s="456"/>
    </row>
    <row r="10" spans="1:23" ht="12.75">
      <c r="A10" s="507" t="s">
        <v>413</v>
      </c>
      <c r="B10" s="446" t="s">
        <v>270</v>
      </c>
      <c r="C10" s="261">
        <f>'Subproject Data'!C14</f>
        <v>1050782.4619445591</v>
      </c>
      <c r="E10" s="250">
        <f>+E9+1</f>
        <v>3</v>
      </c>
      <c r="F10" s="261">
        <f>+F9</f>
        <v>313101.4235505708</v>
      </c>
      <c r="G10" s="444">
        <f>+G9</f>
        <v>296032.30200699874</v>
      </c>
      <c r="I10" s="248">
        <f aca="true" t="shared" si="0" ref="I10:I17">$C$23</f>
        <v>313101.4235505708</v>
      </c>
      <c r="J10" s="506">
        <f aca="true" t="shared" si="1" ref="J10:J17">$C$43</f>
        <v>296032.30200699874</v>
      </c>
      <c r="L10" s="456"/>
      <c r="M10" s="456"/>
      <c r="N10" s="456"/>
      <c r="O10" s="456"/>
      <c r="P10" s="456"/>
      <c r="Q10" s="456"/>
      <c r="R10" s="456"/>
      <c r="S10" s="456"/>
      <c r="T10" s="456"/>
      <c r="U10" s="456"/>
      <c r="V10" s="456"/>
      <c r="W10" s="456"/>
    </row>
    <row r="11" spans="1:23" ht="12.75" customHeight="1">
      <c r="A11" s="509" t="s">
        <v>275</v>
      </c>
      <c r="B11" s="446" t="s">
        <v>270</v>
      </c>
      <c r="C11" s="261">
        <f>'Assumptions &amp; Data'!$L$21</f>
        <v>64302.003163979694</v>
      </c>
      <c r="E11" s="250">
        <f>+E10+1</f>
        <v>4</v>
      </c>
      <c r="F11" s="261">
        <f aca="true" t="shared" si="2" ref="F11:G15">+F10</f>
        <v>313101.4235505708</v>
      </c>
      <c r="G11" s="444">
        <f t="shared" si="2"/>
        <v>296032.30200699874</v>
      </c>
      <c r="I11" s="248">
        <f t="shared" si="0"/>
        <v>313101.4235505708</v>
      </c>
      <c r="J11" s="506">
        <f t="shared" si="1"/>
        <v>296032.30200699874</v>
      </c>
      <c r="L11" s="456"/>
      <c r="M11" s="456"/>
      <c r="N11" s="456"/>
      <c r="O11" s="456"/>
      <c r="P11" s="456"/>
      <c r="Q11" s="456"/>
      <c r="R11" s="456"/>
      <c r="S11" s="456"/>
      <c r="T11" s="456"/>
      <c r="U11" s="456"/>
      <c r="V11" s="456"/>
      <c r="W11" s="456"/>
    </row>
    <row r="12" spans="1:23" ht="12.75">
      <c r="A12" s="509" t="s">
        <v>289</v>
      </c>
      <c r="B12" s="446" t="s">
        <v>270</v>
      </c>
      <c r="C12" s="261">
        <f>'Assumptions &amp; Data'!$L$22</f>
        <v>89127.6129782695</v>
      </c>
      <c r="E12" s="250">
        <f>+E11+1</f>
        <v>5</v>
      </c>
      <c r="F12" s="261">
        <f t="shared" si="2"/>
        <v>313101.4235505708</v>
      </c>
      <c r="G12" s="444">
        <f t="shared" si="2"/>
        <v>296032.30200699874</v>
      </c>
      <c r="I12" s="248">
        <f t="shared" si="0"/>
        <v>313101.4235505708</v>
      </c>
      <c r="J12" s="506">
        <f t="shared" si="1"/>
        <v>296032.30200699874</v>
      </c>
      <c r="L12" s="456"/>
      <c r="M12" s="456"/>
      <c r="N12" s="456"/>
      <c r="O12" s="456"/>
      <c r="P12" s="456"/>
      <c r="Q12" s="456"/>
      <c r="R12" s="456"/>
      <c r="S12" s="456"/>
      <c r="T12" s="456"/>
      <c r="U12" s="456"/>
      <c r="V12" s="456"/>
      <c r="W12" s="456"/>
    </row>
    <row r="13" spans="1:23" ht="12.75">
      <c r="A13" s="509" t="s">
        <v>276</v>
      </c>
      <c r="B13" s="446" t="s">
        <v>270</v>
      </c>
      <c r="C13" s="261">
        <f>'Assumptions &amp; Data'!$L$23</f>
        <v>2330.731649702951</v>
      </c>
      <c r="E13" s="250">
        <f>+E12+1</f>
        <v>6</v>
      </c>
      <c r="F13" s="261">
        <f t="shared" si="2"/>
        <v>313101.4235505708</v>
      </c>
      <c r="G13" s="444">
        <f t="shared" si="2"/>
        <v>296032.30200699874</v>
      </c>
      <c r="I13" s="248">
        <f t="shared" si="0"/>
        <v>313101.4235505708</v>
      </c>
      <c r="J13" s="506">
        <f t="shared" si="1"/>
        <v>296032.30200699874</v>
      </c>
      <c r="L13" s="456"/>
      <c r="M13" s="463"/>
      <c r="N13" s="456"/>
      <c r="O13" s="456"/>
      <c r="P13" s="456"/>
      <c r="Q13" s="456"/>
      <c r="R13" s="456"/>
      <c r="S13" s="456"/>
      <c r="T13" s="456"/>
      <c r="U13" s="456"/>
      <c r="V13" s="456"/>
      <c r="W13" s="456"/>
    </row>
    <row r="14" spans="1:23" ht="12.75">
      <c r="A14" s="513" t="s">
        <v>233</v>
      </c>
      <c r="B14" s="446" t="s">
        <v>234</v>
      </c>
      <c r="C14" s="261">
        <f>'Subproject Data'!F14</f>
        <v>121</v>
      </c>
      <c r="E14" s="250">
        <f>+E13+1</f>
        <v>7</v>
      </c>
      <c r="F14" s="261">
        <f>+F13</f>
        <v>313101.4235505708</v>
      </c>
      <c r="G14" s="444">
        <f>+G13</f>
        <v>296032.30200699874</v>
      </c>
      <c r="I14" s="248">
        <f t="shared" si="0"/>
        <v>313101.4235505708</v>
      </c>
      <c r="J14" s="506">
        <f t="shared" si="1"/>
        <v>296032.30200699874</v>
      </c>
      <c r="L14" s="456"/>
      <c r="M14" s="463"/>
      <c r="N14" s="456"/>
      <c r="O14" s="456"/>
      <c r="P14" s="456"/>
      <c r="Q14" s="456"/>
      <c r="R14" s="456"/>
      <c r="S14" s="456"/>
      <c r="T14" s="456"/>
      <c r="U14" s="456"/>
      <c r="V14" s="456"/>
      <c r="W14" s="456"/>
    </row>
    <row r="15" spans="1:23" ht="12.75">
      <c r="A15" s="511" t="s">
        <v>416</v>
      </c>
      <c r="B15" s="446" t="s">
        <v>419</v>
      </c>
      <c r="C15" s="261">
        <v>50</v>
      </c>
      <c r="E15" s="250">
        <f>+E14+1</f>
        <v>8</v>
      </c>
      <c r="F15" s="261">
        <f t="shared" si="2"/>
        <v>313101.4235505708</v>
      </c>
      <c r="G15" s="444">
        <f t="shared" si="2"/>
        <v>296032.30200699874</v>
      </c>
      <c r="I15" s="248">
        <f t="shared" si="0"/>
        <v>313101.4235505708</v>
      </c>
      <c r="J15" s="506">
        <f t="shared" si="1"/>
        <v>296032.30200699874</v>
      </c>
      <c r="L15" s="456"/>
      <c r="M15" s="456"/>
      <c r="N15" s="456"/>
      <c r="O15" s="456"/>
      <c r="P15" s="456"/>
      <c r="Q15" s="456"/>
      <c r="R15" s="456"/>
      <c r="S15" s="456"/>
      <c r="T15" s="456"/>
      <c r="U15" s="456"/>
      <c r="V15" s="456"/>
      <c r="W15" s="456"/>
    </row>
    <row r="16" spans="1:23" ht="12.75">
      <c r="A16" s="511" t="s">
        <v>424</v>
      </c>
      <c r="B16" s="446" t="s">
        <v>419</v>
      </c>
      <c r="C16" s="261">
        <v>70</v>
      </c>
      <c r="E16" s="250">
        <f>+E15+1</f>
        <v>9</v>
      </c>
      <c r="F16" s="261">
        <f>+F15</f>
        <v>313101.4235505708</v>
      </c>
      <c r="G16" s="444">
        <f>+G15</f>
        <v>296032.30200699874</v>
      </c>
      <c r="I16" s="248">
        <f t="shared" si="0"/>
        <v>313101.4235505708</v>
      </c>
      <c r="J16" s="506">
        <f t="shared" si="1"/>
        <v>296032.30200699874</v>
      </c>
      <c r="L16" s="456"/>
      <c r="M16" s="456"/>
      <c r="N16" s="456"/>
      <c r="O16" s="456"/>
      <c r="P16" s="456"/>
      <c r="Q16" s="456"/>
      <c r="R16" s="456"/>
      <c r="S16" s="456"/>
      <c r="T16" s="456"/>
      <c r="U16" s="456"/>
      <c r="V16" s="456"/>
      <c r="W16" s="456"/>
    </row>
    <row r="17" spans="1:23" ht="12.75">
      <c r="A17" s="511" t="s">
        <v>427</v>
      </c>
      <c r="B17" s="446" t="s">
        <v>396</v>
      </c>
      <c r="C17" s="261">
        <f>-(C60-C59)*C15*C14*365</f>
        <v>427186.06001738715</v>
      </c>
      <c r="E17" s="250">
        <f>+E16+1</f>
        <v>10</v>
      </c>
      <c r="F17" s="261">
        <f>+F16</f>
        <v>313101.4235505708</v>
      </c>
      <c r="G17" s="444">
        <f>+G16</f>
        <v>296032.30200699874</v>
      </c>
      <c r="I17" s="248">
        <f t="shared" si="0"/>
        <v>313101.4235505708</v>
      </c>
      <c r="J17" s="506">
        <f t="shared" si="1"/>
        <v>296032.30200699874</v>
      </c>
      <c r="L17" s="456"/>
      <c r="M17" s="456"/>
      <c r="N17" s="456"/>
      <c r="O17" s="456"/>
      <c r="P17" s="456"/>
      <c r="Q17" s="456"/>
      <c r="R17" s="456"/>
      <c r="S17" s="456"/>
      <c r="T17" s="456"/>
      <c r="U17" s="456"/>
      <c r="V17" s="456"/>
      <c r="W17" s="456"/>
    </row>
    <row r="18" spans="1:23" ht="12.75">
      <c r="A18" s="511" t="s">
        <v>428</v>
      </c>
      <c r="B18" s="446" t="s">
        <v>396</v>
      </c>
      <c r="C18" s="261">
        <f>C61*(C16-C15)*C14*365</f>
        <v>115591.52212235182</v>
      </c>
      <c r="E18" s="250">
        <f aca="true" t="shared" si="3" ref="E18:E27">+E17+1</f>
        <v>11</v>
      </c>
      <c r="F18" s="554">
        <v>0</v>
      </c>
      <c r="G18" s="516">
        <v>0</v>
      </c>
      <c r="I18" s="531">
        <v>0</v>
      </c>
      <c r="J18" s="485">
        <v>0</v>
      </c>
      <c r="L18" s="456"/>
      <c r="M18" s="463"/>
      <c r="N18" s="456"/>
      <c r="O18" s="456"/>
      <c r="P18" s="456"/>
      <c r="Q18" s="456"/>
      <c r="R18" s="456"/>
      <c r="S18" s="456"/>
      <c r="T18" s="456"/>
      <c r="U18" s="456"/>
      <c r="V18" s="456"/>
      <c r="W18" s="456"/>
    </row>
    <row r="19" spans="1:23" ht="12.75">
      <c r="A19" s="511" t="s">
        <v>443</v>
      </c>
      <c r="B19" s="446" t="s">
        <v>396</v>
      </c>
      <c r="C19" s="261">
        <f>-(C77-C71)</f>
        <v>12824.801110936722</v>
      </c>
      <c r="E19" s="250">
        <f t="shared" si="3"/>
        <v>12</v>
      </c>
      <c r="F19" s="554">
        <v>0</v>
      </c>
      <c r="G19" s="516">
        <v>0</v>
      </c>
      <c r="I19" s="531">
        <v>0</v>
      </c>
      <c r="J19" s="485">
        <v>0</v>
      </c>
      <c r="L19" s="463"/>
      <c r="M19" s="463"/>
      <c r="N19" s="456"/>
      <c r="O19" s="456"/>
      <c r="P19" s="456"/>
      <c r="Q19" s="456"/>
      <c r="R19" s="456"/>
      <c r="S19" s="456"/>
      <c r="T19" s="456"/>
      <c r="U19" s="456"/>
      <c r="V19" s="456"/>
      <c r="W19" s="456"/>
    </row>
    <row r="20" spans="1:23" ht="12.75">
      <c r="A20" s="511" t="s">
        <v>444</v>
      </c>
      <c r="B20" s="446" t="s">
        <v>396</v>
      </c>
      <c r="C20" s="261">
        <f>-(C78-C72)</f>
        <v>11440.913269361423</v>
      </c>
      <c r="E20" s="250">
        <f t="shared" si="3"/>
        <v>13</v>
      </c>
      <c r="F20" s="554">
        <v>0</v>
      </c>
      <c r="G20" s="516">
        <v>0</v>
      </c>
      <c r="I20" s="531">
        <v>0</v>
      </c>
      <c r="J20" s="485">
        <v>0</v>
      </c>
      <c r="L20" s="463"/>
      <c r="M20" s="463"/>
      <c r="N20" s="456"/>
      <c r="O20" s="456"/>
      <c r="P20" s="456"/>
      <c r="Q20" s="456"/>
      <c r="R20" s="456"/>
      <c r="S20" s="456"/>
      <c r="T20" s="456"/>
      <c r="U20" s="456"/>
      <c r="V20" s="456"/>
      <c r="W20" s="456"/>
    </row>
    <row r="21" spans="1:23" ht="12.75">
      <c r="A21" s="512" t="s">
        <v>47</v>
      </c>
      <c r="B21" s="446" t="s">
        <v>396</v>
      </c>
      <c r="C21" s="261">
        <f>C17-C18+C19+C20</f>
        <v>335860.2522753335</v>
      </c>
      <c r="E21" s="250">
        <f t="shared" si="3"/>
        <v>14</v>
      </c>
      <c r="F21" s="554">
        <v>0</v>
      </c>
      <c r="G21" s="516">
        <v>0</v>
      </c>
      <c r="I21" s="531">
        <v>0</v>
      </c>
      <c r="J21" s="485">
        <v>0</v>
      </c>
      <c r="L21" s="463"/>
      <c r="M21" s="463"/>
      <c r="N21" s="456"/>
      <c r="O21" s="456"/>
      <c r="P21" s="456"/>
      <c r="Q21" s="456"/>
      <c r="R21" s="456"/>
      <c r="S21" s="456"/>
      <c r="T21" s="456"/>
      <c r="U21" s="456"/>
      <c r="V21" s="456"/>
      <c r="W21" s="456"/>
    </row>
    <row r="22" spans="1:23" ht="12.75">
      <c r="A22" s="512" t="s">
        <v>115</v>
      </c>
      <c r="B22" s="446" t="s">
        <v>396</v>
      </c>
      <c r="C22" s="261">
        <f>20000*C55</f>
        <v>22758.82872476273</v>
      </c>
      <c r="E22" s="250">
        <f t="shared" si="3"/>
        <v>15</v>
      </c>
      <c r="F22" s="554">
        <v>0</v>
      </c>
      <c r="G22" s="516">
        <v>0</v>
      </c>
      <c r="I22" s="531">
        <v>0</v>
      </c>
      <c r="J22" s="485">
        <v>0</v>
      </c>
      <c r="L22" s="456"/>
      <c r="M22" s="456"/>
      <c r="N22" s="456"/>
      <c r="O22" s="456"/>
      <c r="P22" s="456"/>
      <c r="Q22" s="456"/>
      <c r="R22" s="456"/>
      <c r="S22" s="456"/>
      <c r="T22" s="456"/>
      <c r="U22" s="456"/>
      <c r="V22" s="456"/>
      <c r="W22" s="456"/>
    </row>
    <row r="23" spans="1:23" ht="12.75">
      <c r="A23" s="521" t="s">
        <v>336</v>
      </c>
      <c r="B23" s="446" t="s">
        <v>396</v>
      </c>
      <c r="C23" s="261">
        <f>+C21-C22</f>
        <v>313101.4235505708</v>
      </c>
      <c r="E23" s="250">
        <f t="shared" si="3"/>
        <v>16</v>
      </c>
      <c r="F23" s="554">
        <v>0</v>
      </c>
      <c r="G23" s="516">
        <v>0</v>
      </c>
      <c r="I23" s="531">
        <v>0</v>
      </c>
      <c r="J23" s="485">
        <v>0</v>
      </c>
      <c r="L23" s="456"/>
      <c r="M23" s="456"/>
      <c r="N23" s="456"/>
      <c r="O23" s="456"/>
      <c r="P23" s="456"/>
      <c r="Q23" s="456"/>
      <c r="R23" s="456"/>
      <c r="S23" s="456"/>
      <c r="T23" s="456"/>
      <c r="U23" s="456"/>
      <c r="V23" s="456"/>
      <c r="W23" s="456"/>
    </row>
    <row r="24" spans="1:23" ht="12.75">
      <c r="A24" s="512" t="s">
        <v>29</v>
      </c>
      <c r="B24" s="446" t="s">
        <v>304</v>
      </c>
      <c r="C24" s="261">
        <v>10</v>
      </c>
      <c r="E24" s="250">
        <f t="shared" si="3"/>
        <v>17</v>
      </c>
      <c r="F24" s="554">
        <v>0</v>
      </c>
      <c r="G24" s="516">
        <v>0</v>
      </c>
      <c r="I24" s="531">
        <v>0</v>
      </c>
      <c r="J24" s="485">
        <v>0</v>
      </c>
      <c r="L24" s="456"/>
      <c r="M24" s="456"/>
      <c r="N24" s="456"/>
      <c r="O24" s="456"/>
      <c r="P24" s="456"/>
      <c r="Q24" s="456"/>
      <c r="R24" s="456"/>
      <c r="S24" s="456"/>
      <c r="T24" s="456"/>
      <c r="U24" s="456"/>
      <c r="V24" s="456"/>
      <c r="W24" s="456"/>
    </row>
    <row r="25" spans="1:23" ht="12.75">
      <c r="A25" s="522" t="s">
        <v>14</v>
      </c>
      <c r="B25" s="555"/>
      <c r="C25" s="523">
        <f>IRR(F8:F17)</f>
        <v>0.21429349853429347</v>
      </c>
      <c r="E25" s="250">
        <f t="shared" si="3"/>
        <v>18</v>
      </c>
      <c r="F25" s="554">
        <v>0</v>
      </c>
      <c r="G25" s="516">
        <v>0</v>
      </c>
      <c r="I25" s="531">
        <v>0</v>
      </c>
      <c r="J25" s="485">
        <v>0</v>
      </c>
      <c r="L25" s="456"/>
      <c r="M25" s="456"/>
      <c r="N25" s="456"/>
      <c r="O25" s="456"/>
      <c r="P25" s="456"/>
      <c r="Q25" s="456"/>
      <c r="R25" s="456"/>
      <c r="S25" s="456"/>
      <c r="T25" s="456"/>
      <c r="U25" s="456"/>
      <c r="V25" s="456"/>
      <c r="W25" s="456"/>
    </row>
    <row r="26" spans="1:23" ht="12.75">
      <c r="A26" s="556"/>
      <c r="B26" s="556"/>
      <c r="E26" s="250">
        <f t="shared" si="3"/>
        <v>19</v>
      </c>
      <c r="F26" s="554">
        <v>0</v>
      </c>
      <c r="G26" s="516">
        <v>0</v>
      </c>
      <c r="I26" s="531">
        <v>0</v>
      </c>
      <c r="J26" s="485">
        <v>0</v>
      </c>
      <c r="L26" s="456"/>
      <c r="M26" s="456"/>
      <c r="N26" s="456"/>
      <c r="O26" s="456"/>
      <c r="P26" s="456"/>
      <c r="Q26" s="456"/>
      <c r="R26" s="456"/>
      <c r="S26" s="456"/>
      <c r="T26" s="456"/>
      <c r="U26" s="456"/>
      <c r="V26" s="456"/>
      <c r="W26" s="456"/>
    </row>
    <row r="27" spans="1:23" ht="12.75">
      <c r="A27" s="1007" t="s">
        <v>487</v>
      </c>
      <c r="B27" s="1008"/>
      <c r="C27" s="1009"/>
      <c r="E27" s="460">
        <f t="shared" si="3"/>
        <v>20</v>
      </c>
      <c r="F27" s="557">
        <v>0</v>
      </c>
      <c r="G27" s="525">
        <v>0</v>
      </c>
      <c r="I27" s="558">
        <v>0</v>
      </c>
      <c r="J27" s="492">
        <v>0</v>
      </c>
      <c r="L27" s="456"/>
      <c r="M27" s="456"/>
      <c r="N27" s="456"/>
      <c r="O27" s="456"/>
      <c r="P27" s="456"/>
      <c r="Q27" s="456"/>
      <c r="R27" s="456"/>
      <c r="S27" s="456"/>
      <c r="T27" s="456"/>
      <c r="U27" s="456"/>
      <c r="V27" s="456"/>
      <c r="W27" s="456"/>
    </row>
    <row r="28" spans="1:23" ht="12.75">
      <c r="A28" s="559"/>
      <c r="B28" s="466" t="s">
        <v>72</v>
      </c>
      <c r="C28" s="466" t="s">
        <v>39</v>
      </c>
      <c r="E28" s="297"/>
      <c r="L28" s="456"/>
      <c r="M28" s="456"/>
      <c r="N28" s="456"/>
      <c r="O28" s="456"/>
      <c r="P28" s="456"/>
      <c r="Q28" s="456"/>
      <c r="R28" s="456"/>
      <c r="S28" s="456"/>
      <c r="T28" s="456"/>
      <c r="U28" s="456"/>
      <c r="V28" s="456"/>
      <c r="W28" s="456"/>
    </row>
    <row r="29" spans="1:23" ht="12.75">
      <c r="A29" s="504" t="s">
        <v>425</v>
      </c>
      <c r="B29" s="552" t="s">
        <v>270</v>
      </c>
      <c r="C29" s="560">
        <f>SUM(C30:C33)</f>
        <v>1373796.0992638976</v>
      </c>
      <c r="H29" s="435"/>
      <c r="L29" s="456"/>
      <c r="M29" s="456"/>
      <c r="N29" s="456"/>
      <c r="O29" s="456"/>
      <c r="P29" s="456"/>
      <c r="Q29" s="456"/>
      <c r="R29" s="456"/>
      <c r="S29" s="456"/>
      <c r="T29" s="456"/>
      <c r="U29" s="456"/>
      <c r="V29" s="456"/>
      <c r="W29" s="456"/>
    </row>
    <row r="30" spans="1:3" ht="12.75">
      <c r="A30" s="507" t="s">
        <v>426</v>
      </c>
      <c r="B30" s="446" t="s">
        <v>270</v>
      </c>
      <c r="C30" s="444">
        <f>'Subproject Data'!C13</f>
        <v>1218035.7514719456</v>
      </c>
    </row>
    <row r="31" spans="1:3" ht="12.75">
      <c r="A31" s="509" t="s">
        <v>275</v>
      </c>
      <c r="B31" s="446" t="s">
        <v>270</v>
      </c>
      <c r="C31" s="444">
        <f>'Assumptions &amp; Data'!$L$21</f>
        <v>64302.003163979694</v>
      </c>
    </row>
    <row r="32" spans="1:3" ht="12.75">
      <c r="A32" s="509" t="s">
        <v>289</v>
      </c>
      <c r="B32" s="446" t="s">
        <v>270</v>
      </c>
      <c r="C32" s="444">
        <f>'Assumptions &amp; Data'!$L$22</f>
        <v>89127.6129782695</v>
      </c>
    </row>
    <row r="33" spans="1:3" ht="12.75">
      <c r="A33" s="509" t="s">
        <v>276</v>
      </c>
      <c r="B33" s="446" t="s">
        <v>270</v>
      </c>
      <c r="C33" s="444">
        <f>'Assumptions &amp; Data'!$L$23</f>
        <v>2330.731649702951</v>
      </c>
    </row>
    <row r="34" spans="1:3" ht="12.75">
      <c r="A34" s="513" t="s">
        <v>233</v>
      </c>
      <c r="B34" s="446" t="s">
        <v>234</v>
      </c>
      <c r="C34" s="444">
        <f>'Subproject Data'!F13</f>
        <v>121</v>
      </c>
    </row>
    <row r="35" spans="1:3" ht="12.75">
      <c r="A35" s="511" t="s">
        <v>416</v>
      </c>
      <c r="B35" s="446" t="s">
        <v>419</v>
      </c>
      <c r="C35" s="444">
        <v>50</v>
      </c>
    </row>
    <row r="36" spans="1:3" ht="12.75">
      <c r="A36" s="511" t="s">
        <v>424</v>
      </c>
      <c r="B36" s="446" t="s">
        <v>419</v>
      </c>
      <c r="C36" s="444">
        <v>70</v>
      </c>
    </row>
    <row r="37" spans="1:3" ht="12.75">
      <c r="A37" s="511" t="s">
        <v>427</v>
      </c>
      <c r="B37" s="446" t="s">
        <v>396</v>
      </c>
      <c r="C37" s="444">
        <f>-(C60-C59)*C15*C14*365</f>
        <v>427186.06001738715</v>
      </c>
    </row>
    <row r="38" spans="1:3" ht="12.75">
      <c r="A38" s="511" t="s">
        <v>428</v>
      </c>
      <c r="B38" s="446" t="s">
        <v>396</v>
      </c>
      <c r="C38" s="444">
        <f>C61*(C16-C15)*C14*365</f>
        <v>115591.52212235182</v>
      </c>
    </row>
    <row r="39" spans="1:3" ht="12.75">
      <c r="A39" s="511" t="s">
        <v>443</v>
      </c>
      <c r="B39" s="446" t="s">
        <v>396</v>
      </c>
      <c r="C39" s="444">
        <f>-(C77-C71)</f>
        <v>12824.801110936722</v>
      </c>
    </row>
    <row r="40" spans="1:3" ht="12.75">
      <c r="A40" s="511" t="s">
        <v>444</v>
      </c>
      <c r="B40" s="446" t="s">
        <v>396</v>
      </c>
      <c r="C40" s="444">
        <f>-(C78-C72)</f>
        <v>11440.913269361423</v>
      </c>
    </row>
    <row r="41" spans="1:3" ht="12.75">
      <c r="A41" s="561" t="s">
        <v>110</v>
      </c>
      <c r="B41" s="234" t="s">
        <v>291</v>
      </c>
      <c r="C41" s="444">
        <f>C37-C38+C39+C40</f>
        <v>335860.2522753335</v>
      </c>
    </row>
    <row r="42" spans="1:3" ht="12.75">
      <c r="A42" s="512" t="s">
        <v>115</v>
      </c>
      <c r="B42" s="234" t="s">
        <v>291</v>
      </c>
      <c r="C42" s="444">
        <f>35000*C55</f>
        <v>39827.95026833478</v>
      </c>
    </row>
    <row r="43" spans="1:3" ht="12.75">
      <c r="A43" s="521" t="s">
        <v>336</v>
      </c>
      <c r="B43" s="234" t="s">
        <v>291</v>
      </c>
      <c r="C43" s="444">
        <f>+C41-C42</f>
        <v>296032.30200699874</v>
      </c>
    </row>
    <row r="44" spans="1:3" ht="12.75">
      <c r="A44" s="512" t="s">
        <v>29</v>
      </c>
      <c r="B44" s="234" t="s">
        <v>32</v>
      </c>
      <c r="C44" s="444">
        <v>10</v>
      </c>
    </row>
    <row r="45" spans="1:3" ht="12.75">
      <c r="A45" s="522" t="s">
        <v>14</v>
      </c>
      <c r="B45" s="555"/>
      <c r="C45" s="562">
        <f>IRR(G8:G17)</f>
        <v>0.1578834834082079</v>
      </c>
    </row>
    <row r="46" spans="1:3" ht="12.75">
      <c r="A46" s="210"/>
      <c r="B46" s="208"/>
      <c r="C46" s="458"/>
    </row>
    <row r="47" spans="1:3" ht="12.75">
      <c r="A47" s="1010" t="s">
        <v>627</v>
      </c>
      <c r="B47" s="1011"/>
      <c r="C47" s="1012"/>
    </row>
    <row r="48" spans="2:3" ht="12.75">
      <c r="B48" s="563" t="s">
        <v>40</v>
      </c>
      <c r="C48" s="468" t="s">
        <v>624</v>
      </c>
    </row>
    <row r="49" spans="1:3" ht="12.75">
      <c r="A49" s="564" t="s">
        <v>434</v>
      </c>
      <c r="B49" s="533" t="s">
        <v>209</v>
      </c>
      <c r="C49" s="565">
        <f>'Assumptions &amp; Data'!P56</f>
        <v>46.5</v>
      </c>
    </row>
    <row r="50" spans="1:3" ht="12.75">
      <c r="A50" s="401" t="str">
        <f>'Assumptions &amp; Data'!$A$9</f>
        <v>Inflation factors</v>
      </c>
      <c r="B50" s="377"/>
      <c r="C50" s="531"/>
    </row>
    <row r="51" spans="1:3" ht="12.75">
      <c r="A51" s="566" t="s">
        <v>263</v>
      </c>
      <c r="B51" s="533" t="s">
        <v>211</v>
      </c>
      <c r="C51" s="473">
        <f>'Assumptions &amp; Data'!J10</f>
        <v>1.4029987187133832</v>
      </c>
    </row>
    <row r="52" spans="1:3" ht="12.75">
      <c r="A52" s="566" t="s">
        <v>264</v>
      </c>
      <c r="B52" s="533" t="s">
        <v>211</v>
      </c>
      <c r="C52" s="473">
        <f>'Assumptions &amp; Data'!J11</f>
        <v>1.3519277073511313</v>
      </c>
    </row>
    <row r="53" spans="1:3" ht="12.75">
      <c r="A53" s="566" t="s">
        <v>265</v>
      </c>
      <c r="B53" s="533" t="s">
        <v>211</v>
      </c>
      <c r="C53" s="473">
        <f>'Assumptions &amp; Data'!J12</f>
        <v>1.2742828526095011</v>
      </c>
    </row>
    <row r="54" spans="1:3" ht="12.75">
      <c r="A54" s="566" t="s">
        <v>266</v>
      </c>
      <c r="B54" s="533" t="s">
        <v>211</v>
      </c>
      <c r="C54" s="473">
        <f>'Assumptions &amp; Data'!J13</f>
        <v>1.1967469699765447</v>
      </c>
    </row>
    <row r="55" spans="1:3" ht="12.75">
      <c r="A55" s="566" t="s">
        <v>267</v>
      </c>
      <c r="B55" s="533" t="s">
        <v>211</v>
      </c>
      <c r="C55" s="473">
        <f>'Assumptions &amp; Data'!J14</f>
        <v>1.1379414362381366</v>
      </c>
    </row>
    <row r="56" spans="1:3" ht="12.75">
      <c r="A56" s="566" t="s">
        <v>268</v>
      </c>
      <c r="B56" s="533" t="s">
        <v>211</v>
      </c>
      <c r="C56" s="473">
        <f>'Assumptions &amp; Data'!J15</f>
        <v>1.10554605113744</v>
      </c>
    </row>
    <row r="57" spans="1:3" ht="12.75">
      <c r="A57" s="566" t="s">
        <v>269</v>
      </c>
      <c r="B57" s="533" t="s">
        <v>211</v>
      </c>
      <c r="C57" s="473">
        <f>'Assumptions &amp; Data'!J16</f>
        <v>1.028</v>
      </c>
    </row>
    <row r="58" spans="1:3" ht="12.75">
      <c r="A58" s="566"/>
      <c r="B58" s="533"/>
      <c r="C58" s="473"/>
    </row>
    <row r="59" spans="1:3" ht="25.5">
      <c r="A59" s="567" t="s">
        <v>418</v>
      </c>
      <c r="B59" s="568" t="s">
        <v>417</v>
      </c>
      <c r="C59" s="569">
        <f>0.23*C55</f>
        <v>0.26172653033477145</v>
      </c>
    </row>
    <row r="60" spans="1:3" ht="25.5">
      <c r="A60" s="567" t="s">
        <v>422</v>
      </c>
      <c r="B60" s="568" t="s">
        <v>417</v>
      </c>
      <c r="C60" s="569">
        <f>0.06*C55</f>
        <v>0.06827648617428819</v>
      </c>
    </row>
    <row r="61" spans="1:3" ht="25.5">
      <c r="A61" s="567" t="s">
        <v>423</v>
      </c>
      <c r="B61" s="568" t="s">
        <v>417</v>
      </c>
      <c r="C61" s="569">
        <f>C59*50%</f>
        <v>0.13086326516738572</v>
      </c>
    </row>
    <row r="62" spans="1:3" ht="12.75">
      <c r="A62" s="567"/>
      <c r="B62" s="568"/>
      <c r="C62" s="570"/>
    </row>
    <row r="63" spans="1:4" ht="38.25">
      <c r="A63" s="567" t="s">
        <v>438</v>
      </c>
      <c r="B63" s="568" t="s">
        <v>211</v>
      </c>
      <c r="C63" s="571">
        <f>4%</f>
        <v>0.04</v>
      </c>
      <c r="D63" s="435"/>
    </row>
    <row r="64" spans="1:4" ht="12.75">
      <c r="A64" s="510" t="s">
        <v>436</v>
      </c>
      <c r="B64" s="533" t="s">
        <v>215</v>
      </c>
      <c r="C64" s="572">
        <v>1.5</v>
      </c>
      <c r="D64" s="435"/>
    </row>
    <row r="65" spans="1:4" ht="12.75">
      <c r="A65" s="510" t="s">
        <v>440</v>
      </c>
      <c r="B65" s="533" t="s">
        <v>439</v>
      </c>
      <c r="C65" s="573">
        <f>C14*C63*12*C64</f>
        <v>87.12</v>
      </c>
      <c r="D65" s="435"/>
    </row>
    <row r="66" spans="1:4" ht="12.75">
      <c r="A66" s="567" t="s">
        <v>429</v>
      </c>
      <c r="B66" s="568" t="s">
        <v>319</v>
      </c>
      <c r="C66" s="574">
        <v>4</v>
      </c>
      <c r="D66" s="435"/>
    </row>
    <row r="67" spans="1:3" ht="12.75">
      <c r="A67" s="510" t="s">
        <v>441</v>
      </c>
      <c r="B67" s="568" t="s">
        <v>442</v>
      </c>
      <c r="C67" s="574">
        <f>C65*C66</f>
        <v>348.48</v>
      </c>
    </row>
    <row r="68" spans="1:3" ht="12.75">
      <c r="A68" s="510" t="s">
        <v>437</v>
      </c>
      <c r="B68" s="533" t="s">
        <v>215</v>
      </c>
      <c r="C68" s="573">
        <v>1</v>
      </c>
    </row>
    <row r="69" spans="1:4" ht="12.75">
      <c r="A69" s="510" t="s">
        <v>432</v>
      </c>
      <c r="B69" s="533" t="s">
        <v>270</v>
      </c>
      <c r="C69" s="573">
        <f>13*C49*C55*(100%+10%)</f>
        <v>756.674158026549</v>
      </c>
      <c r="D69" s="435"/>
    </row>
    <row r="70" spans="1:4" ht="12.75">
      <c r="A70" s="510" t="s">
        <v>433</v>
      </c>
      <c r="B70" s="533" t="s">
        <v>435</v>
      </c>
      <c r="C70" s="573">
        <f>'Assumptions &amp; Data'!J39</f>
        <v>102.4147292614323</v>
      </c>
      <c r="D70" s="435"/>
    </row>
    <row r="71" spans="1:4" ht="12.75">
      <c r="A71" s="511" t="s">
        <v>445</v>
      </c>
      <c r="B71" s="533" t="s">
        <v>396</v>
      </c>
      <c r="C71" s="575">
        <f>C67*C70</f>
        <v>35689.48485302393</v>
      </c>
      <c r="D71" s="435"/>
    </row>
    <row r="72" spans="1:4" ht="12.75">
      <c r="A72" s="511" t="s">
        <v>446</v>
      </c>
      <c r="B72" s="533" t="s">
        <v>396</v>
      </c>
      <c r="C72" s="575">
        <f>C65*C68*C69</f>
        <v>65921.45264727295</v>
      </c>
      <c r="D72" s="435"/>
    </row>
    <row r="73" spans="1:4" ht="12.75">
      <c r="A73" s="511"/>
      <c r="B73" s="533"/>
      <c r="C73" s="576"/>
      <c r="D73" s="435"/>
    </row>
    <row r="74" spans="1:4" ht="12.75">
      <c r="A74" s="577" t="s">
        <v>430</v>
      </c>
      <c r="B74" s="578" t="s">
        <v>211</v>
      </c>
      <c r="C74" s="579">
        <f>1-1/121%</f>
        <v>0.17355371900826444</v>
      </c>
      <c r="D74" s="435"/>
    </row>
    <row r="75" spans="1:4" ht="12.75">
      <c r="A75" s="577" t="s">
        <v>431</v>
      </c>
      <c r="B75" s="533" t="s">
        <v>211</v>
      </c>
      <c r="C75" s="579">
        <f>1-1/129%</f>
        <v>0.22480620155038766</v>
      </c>
      <c r="D75" s="435"/>
    </row>
    <row r="76" spans="1:3" ht="12.75">
      <c r="A76" s="577"/>
      <c r="B76" s="533"/>
      <c r="C76" s="579"/>
    </row>
    <row r="77" spans="1:3" ht="12.75">
      <c r="A77" s="511" t="s">
        <v>448</v>
      </c>
      <c r="B77" s="533" t="s">
        <v>396</v>
      </c>
      <c r="C77" s="575">
        <f>C71*(1-C74)*(1-C75)</f>
        <v>22864.68374208721</v>
      </c>
    </row>
    <row r="78" spans="1:3" ht="12.75">
      <c r="A78" s="580" t="s">
        <v>447</v>
      </c>
      <c r="B78" s="581" t="s">
        <v>396</v>
      </c>
      <c r="C78" s="582">
        <f>C72*(1-C74)</f>
        <v>54480.539377911526</v>
      </c>
    </row>
    <row r="79" spans="1:3" ht="12.75" customHeight="1">
      <c r="A79" s="537" t="s">
        <v>449</v>
      </c>
      <c r="B79" s="583"/>
      <c r="C79" s="470"/>
    </row>
    <row r="80" spans="1:3" ht="12.75">
      <c r="A80" s="584" t="s">
        <v>374</v>
      </c>
      <c r="B80" s="544"/>
      <c r="C80" s="485"/>
    </row>
    <row r="81" spans="1:3" ht="12.75">
      <c r="A81" s="584" t="s">
        <v>450</v>
      </c>
      <c r="B81" s="544"/>
      <c r="C81" s="485"/>
    </row>
    <row r="82" spans="1:3" ht="12.75">
      <c r="A82" s="540" t="s">
        <v>451</v>
      </c>
      <c r="B82" s="585"/>
      <c r="C82" s="492"/>
    </row>
    <row r="83" ht="12.75">
      <c r="B83" s="545"/>
    </row>
    <row r="84" ht="12.75">
      <c r="B84" s="545"/>
    </row>
    <row r="85" spans="1:2" ht="12.75">
      <c r="A85" s="545"/>
      <c r="B85" s="545"/>
    </row>
    <row r="87" spans="1:2" ht="12.75">
      <c r="A87" s="545"/>
      <c r="B87" s="545"/>
    </row>
  </sheetData>
  <sheetProtection/>
  <mergeCells count="5">
    <mergeCell ref="A27:C27"/>
    <mergeCell ref="A47:C47"/>
    <mergeCell ref="E6:G6"/>
    <mergeCell ref="A7:C7"/>
    <mergeCell ref="I6:J6"/>
  </mergeCells>
  <printOptions horizontalCentered="1"/>
  <pageMargins left="0.75" right="0.75" top="1" bottom="1" header="0.5" footer="0.5"/>
  <pageSetup fitToHeight="1" fitToWidth="1" horizontalDpi="600" verticalDpi="600" orientation="portrait"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 School of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Philippines Kalahi-CIDSS ERR</dc:title>
  <dc:subject/>
  <dc:creator>Millennium Challenge Corporation</dc:creator>
  <cp:keywords/>
  <dc:description/>
  <cp:lastModifiedBy>Block, Marissa L (DPE/EE-EA/PSC)</cp:lastModifiedBy>
  <cp:lastPrinted>2010-01-12T17:51:55Z</cp:lastPrinted>
  <dcterms:created xsi:type="dcterms:W3CDTF">2002-05-05T19:54:59Z</dcterms:created>
  <dcterms:modified xsi:type="dcterms:W3CDTF">2015-03-27T16:13:44Z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