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71" yWindow="375" windowWidth="11010" windowHeight="5460" activeTab="1"/>
  </bookViews>
  <sheets>
    <sheet name="User's Guide" sheetId="1" r:id="rId1"/>
    <sheet name="Project Description" sheetId="2" r:id="rId2"/>
    <sheet name="ERR &amp; Sensitivity Analysis" sheetId="3" r:id="rId3"/>
    <sheet name="Aggregated ERRs" sheetId="4" r:id="rId4"/>
    <sheet name="Cost Sharing" sheetId="5" r:id="rId5"/>
    <sheet name="No Cost Sharing" sheetId="6" r:id="rId6"/>
    <sheet name="Plantain" sheetId="7" r:id="rId7"/>
    <sheet name="Cashew" sheetId="8" r:id="rId8"/>
    <sheet name="Organic Sesame" sheetId="9" r:id="rId9"/>
  </sheets>
  <definedNames/>
  <calcPr fullCalcOnLoad="1"/>
</workbook>
</file>

<file path=xl/sharedStrings.xml><?xml version="1.0" encoding="utf-8"?>
<sst xmlns="http://schemas.openxmlformats.org/spreadsheetml/2006/main" count="458" uniqueCount="230">
  <si>
    <t>Year</t>
  </si>
  <si>
    <t>Overhead</t>
  </si>
  <si>
    <t>Total</t>
  </si>
  <si>
    <t>TOTAL</t>
  </si>
  <si>
    <t>TA packages</t>
  </si>
  <si>
    <t>Total Core RDBC + TA packages</t>
  </si>
  <si>
    <t>ERRs</t>
  </si>
  <si>
    <t>ERR</t>
  </si>
  <si>
    <t>Cost per activities</t>
  </si>
  <si>
    <t>Year 1</t>
  </si>
  <si>
    <t>Year 2</t>
  </si>
  <si>
    <t>Year 3</t>
  </si>
  <si>
    <t>Year 4</t>
  </si>
  <si>
    <t>Assumptions</t>
  </si>
  <si>
    <t>Cost to farmer</t>
  </si>
  <si>
    <t>Attrition rate (first year)</t>
  </si>
  <si>
    <t>Attrition rate (second year)</t>
  </si>
  <si>
    <t>Manzanas per farmer</t>
  </si>
  <si>
    <t>Baseline net cash flow/manzana</t>
  </si>
  <si>
    <t>MCC cost per year</t>
  </si>
  <si>
    <t>Cost per year</t>
  </si>
  <si>
    <t>MCC program intervention (per mz)</t>
  </si>
  <si>
    <t>investment needed per Mz</t>
  </si>
  <si>
    <t>net income</t>
  </si>
  <si>
    <t>labor</t>
  </si>
  <si>
    <t>Average of three crops</t>
  </si>
  <si>
    <t>baseline</t>
  </si>
  <si>
    <t>Number of farms harvesting (cost sharing)</t>
  </si>
  <si>
    <t>Number of farms harvesting (no cost sharing)</t>
  </si>
  <si>
    <t>Number of business plans developed</t>
  </si>
  <si>
    <t>Increase in Farm income per year</t>
  </si>
  <si>
    <t>Increase in Employment income per year</t>
  </si>
  <si>
    <t>Crop:  Plantain with Irrigation</t>
  </si>
  <si>
    <t>Data Source:  IICA book</t>
  </si>
  <si>
    <t>Key Assumptions</t>
  </si>
  <si>
    <t>No. of Manzanas</t>
  </si>
  <si>
    <t>Use of Irrigation</t>
  </si>
  <si>
    <t>Yes</t>
  </si>
  <si>
    <t>Yield per Manzana Top Grade (unit fingers)</t>
  </si>
  <si>
    <t>Yield per Manzana Second Grade (unit fingers)</t>
  </si>
  <si>
    <t>Sales price per unit Top Grade (U$)</t>
  </si>
  <si>
    <t>Sales price per unit Second Grade (U$)</t>
  </si>
  <si>
    <t>Land Rental</t>
  </si>
  <si>
    <t>Initial Start-Up Costs (Irrig. Equipment)</t>
  </si>
  <si>
    <t>No. of Years to Amortize Start-Up Costs</t>
  </si>
  <si>
    <t>Costs</t>
  </si>
  <si>
    <t>Year 5</t>
  </si>
  <si>
    <t>Year 6</t>
  </si>
  <si>
    <t>Year 7</t>
  </si>
  <si>
    <t>Year 8</t>
  </si>
  <si>
    <t>Year 9</t>
  </si>
  <si>
    <t>Year 10</t>
  </si>
  <si>
    <t>Labor</t>
  </si>
  <si>
    <t>Irrigation Operating Costs</t>
  </si>
  <si>
    <t>Amortization of Start-Up Costs</t>
  </si>
  <si>
    <t>Technical Assistance</t>
  </si>
  <si>
    <t>Inputs</t>
  </si>
  <si>
    <t>Mechanized Operations</t>
  </si>
  <si>
    <t>Miscellaneous</t>
  </si>
  <si>
    <t>Total Costs</t>
  </si>
  <si>
    <t>Revenues</t>
  </si>
  <si>
    <t>Top Grade Units Available for Sale</t>
  </si>
  <si>
    <t>Second Grade Units Available for Sale</t>
  </si>
  <si>
    <t>Sales</t>
  </si>
  <si>
    <t>Net Income</t>
  </si>
  <si>
    <t>Total Value Added (N.I. + Labor)</t>
  </si>
  <si>
    <t>% Labor of EVA</t>
  </si>
  <si>
    <t>Cash Flow Basis</t>
  </si>
  <si>
    <t>Outflows</t>
  </si>
  <si>
    <t>Year 0</t>
  </si>
  <si>
    <t>Irrigation Start-Up Investment</t>
  </si>
  <si>
    <t>Total Outflows</t>
  </si>
  <si>
    <t>Inflows</t>
  </si>
  <si>
    <t>Total Inflows</t>
  </si>
  <si>
    <t>Net Cash Flow</t>
  </si>
  <si>
    <t>Accumulated Cash Flow</t>
  </si>
  <si>
    <t>Crop:  Cashew with Irrigation</t>
  </si>
  <si>
    <t>Yield per Manzana (Lbs) at Year 10</t>
  </si>
  <si>
    <t>Sales price per Lb (U$)</t>
  </si>
  <si>
    <t>Commercialization Costs</t>
  </si>
  <si>
    <t>% of Mature Production (Year 10)</t>
  </si>
  <si>
    <t>Lbs Available for Sale</t>
  </si>
  <si>
    <t>$ of Labor</t>
  </si>
  <si>
    <t>OUTFLOWS</t>
  </si>
  <si>
    <t>Contingencies (10%)</t>
  </si>
  <si>
    <t>INFLOWS</t>
  </si>
  <si>
    <t>NET CASH FLOW</t>
  </si>
  <si>
    <t>Crop:  Organic Sesame</t>
  </si>
  <si>
    <t>Data Source:  IICA book and Coop. Del Campo</t>
  </si>
  <si>
    <t>No</t>
  </si>
  <si>
    <t>Yield per Manzana (QQ's = 100 lb units)</t>
  </si>
  <si>
    <t>Sales price per QQ (U$)</t>
  </si>
  <si>
    <t>Growing Cycles per Year</t>
  </si>
  <si>
    <t>Organic Certification</t>
  </si>
  <si>
    <t>QQ's Available for Sale</t>
  </si>
  <si>
    <t>Certification Costs</t>
  </si>
  <si>
    <t>Costs included in ERR (other than costs borne by MCC)</t>
  </si>
  <si>
    <t>Spreadsheet version</t>
  </si>
  <si>
    <t>Date</t>
  </si>
  <si>
    <t>Amount of MCC funds</t>
  </si>
  <si>
    <t>Project description</t>
  </si>
  <si>
    <t>Benefit streams included in ERR</t>
  </si>
  <si>
    <t>Estimated ERR and time horizon</t>
  </si>
  <si>
    <t>Worksheets in this file</t>
  </si>
  <si>
    <t>Project Name</t>
  </si>
  <si>
    <t>Project Description</t>
  </si>
  <si>
    <t>Summary</t>
  </si>
  <si>
    <t>Components</t>
  </si>
  <si>
    <t>Economic Rationale</t>
  </si>
  <si>
    <t>One should read this sheet first, as it offers a summary of the project, a list of components, and states the economic rationale for the project.</t>
  </si>
  <si>
    <t>ERR &amp; Sensitivty Analysis</t>
  </si>
  <si>
    <t>Actual benefits as a percentage of estimated benefits</t>
  </si>
  <si>
    <t>Actual costs as a percentage of estimated costs</t>
  </si>
  <si>
    <t>Description of key parameters</t>
  </si>
  <si>
    <t>Parameter values</t>
  </si>
  <si>
    <t>User Input</t>
  </si>
  <si>
    <t>MCC Estimate</t>
  </si>
  <si>
    <t>Plausible Range</t>
  </si>
  <si>
    <t xml:space="preserve">Values used in ERR computation </t>
  </si>
  <si>
    <t>ERR and sensitivity analysis</t>
  </si>
  <si>
    <t xml:space="preserve">   More Info</t>
  </si>
  <si>
    <t>All summary parameters set to initial values?</t>
  </si>
  <si>
    <t>Specific</t>
  </si>
  <si>
    <r>
      <t xml:space="preserve">   </t>
    </r>
    <r>
      <rPr>
        <u val="single"/>
        <sz val="10"/>
        <color indexed="12"/>
        <rFont val="Arial"/>
        <family val="0"/>
      </rPr>
      <t>Project Description</t>
    </r>
  </si>
  <si>
    <r>
      <t xml:space="preserve">   </t>
    </r>
    <r>
      <rPr>
        <u val="single"/>
        <sz val="10"/>
        <color indexed="12"/>
        <rFont val="Arial"/>
        <family val="0"/>
      </rPr>
      <t>User's Guide</t>
    </r>
  </si>
  <si>
    <t>Rural Business Development Project</t>
  </si>
  <si>
    <t>$33.7 million</t>
  </si>
  <si>
    <t>Net income</t>
  </si>
  <si>
    <t>Cost Sharing Analysis</t>
  </si>
  <si>
    <t>No Cost Sharing Analysis</t>
  </si>
  <si>
    <t>Plantain</t>
  </si>
  <si>
    <t>Cashew</t>
  </si>
  <si>
    <t xml:space="preserve">Organic Sesame </t>
  </si>
  <si>
    <t>Benefits from value added farm production</t>
  </si>
  <si>
    <t>Benefits from value added labor production</t>
  </si>
  <si>
    <t>Portion of program land used for Plantains</t>
  </si>
  <si>
    <t>Portion of program land used for Cashews</t>
  </si>
  <si>
    <t>Portion of program land used for Organic Sesame</t>
  </si>
  <si>
    <t>Sum of land portions</t>
  </si>
  <si>
    <t>Benefits from jobs created by the business center</t>
  </si>
  <si>
    <t>Watershed Management Program ERR</t>
  </si>
  <si>
    <t>Total Weighted ERR for Project</t>
  </si>
  <si>
    <t>Aggregated ERRs</t>
  </si>
  <si>
    <t>10 Year ERR</t>
  </si>
  <si>
    <t>10 year ERR</t>
  </si>
  <si>
    <t>Data Source:  Consultant</t>
  </si>
  <si>
    <t>Investment Memo, Final</t>
  </si>
  <si>
    <t>A. High VA Irrigated Perrenials (eg. cashew, mango)</t>
  </si>
  <si>
    <t>B. High VA Irrigated Annuals (eg. okra, melons, plantain)</t>
  </si>
  <si>
    <t>C. Medium VA, Rapid Adoption (eg. Sesame, Cattle)</t>
  </si>
  <si>
    <t>Benefit Streams</t>
  </si>
  <si>
    <t>Benefits minus baseline (farm income)</t>
  </si>
  <si>
    <t>Benefits minus baseline (labor income)</t>
  </si>
  <si>
    <t>Benefits from new employment</t>
  </si>
  <si>
    <t>Benefits minus costs minus baseline</t>
  </si>
  <si>
    <t>ERR (20 years)</t>
  </si>
  <si>
    <t>ERR (10 years)</t>
  </si>
  <si>
    <t>Sum of Income Increase</t>
  </si>
  <si>
    <t>Benefits from Employment Creation</t>
  </si>
  <si>
    <t>Value Added (profits)</t>
  </si>
  <si>
    <t>Value Added (wages)</t>
  </si>
  <si>
    <t>Baseline per mz.</t>
  </si>
  <si>
    <t>Number of mzs. In program</t>
  </si>
  <si>
    <t>No. mzs. In program</t>
  </si>
  <si>
    <t>Baseline</t>
  </si>
  <si>
    <t>Benefit stream</t>
  </si>
  <si>
    <t>Benefits-costs-baseline</t>
  </si>
  <si>
    <t>-</t>
  </si>
  <si>
    <t>Farmers who use the services of the Center and transition into high value agriculture bear short term initial costs</t>
  </si>
  <si>
    <t>Nicaragua:  Rural Business Development</t>
  </si>
  <si>
    <t>Nicaragua: Rural Business Development</t>
  </si>
  <si>
    <t>Parameter type</t>
  </si>
  <si>
    <t>Economic rate of return (ERR):</t>
  </si>
  <si>
    <r>
      <t>Change the "</t>
    </r>
    <r>
      <rPr>
        <sz val="10"/>
        <color indexed="12"/>
        <rFont val="Arial"/>
        <family val="2"/>
      </rPr>
      <t>User Input</t>
    </r>
    <r>
      <rPr>
        <sz val="10"/>
        <rFont val="Arial"/>
        <family val="0"/>
      </rPr>
      <t>" cells in the table below to see the effect on the compact's Economic Rate of Return (ERR) and net benefits (see chart below).  To reset all values to the default MCC estimates, click the "</t>
    </r>
    <r>
      <rPr>
        <sz val="10"/>
        <color indexed="12"/>
        <rFont val="Arial"/>
        <family val="2"/>
      </rPr>
      <t>Reset Parameters</t>
    </r>
    <r>
      <rPr>
        <sz val="10"/>
        <rFont val="Arial"/>
        <family val="0"/>
      </rPr>
      <t>" button at right.  Be sure to reset all summary parameters to their original values ("MCC Estimate" values) before changing specific parameters.</t>
    </r>
  </si>
  <si>
    <t>80 - 120%</t>
  </si>
  <si>
    <t>Last updated 5/26/2005</t>
  </si>
  <si>
    <t>Last updated:  5/26/2005</t>
  </si>
  <si>
    <r>
      <t xml:space="preserve">MCC Estimated ERR </t>
    </r>
    <r>
      <rPr>
        <b/>
        <sz val="8"/>
        <rFont val="Arial"/>
        <family val="2"/>
      </rPr>
      <t>(as of 5/26/2005)</t>
    </r>
    <r>
      <rPr>
        <b/>
        <sz val="10"/>
        <rFont val="Arial"/>
        <family val="2"/>
      </rPr>
      <t>:</t>
    </r>
  </si>
  <si>
    <t>A brief summary of the project's key parameters and ERR calculations.</t>
  </si>
  <si>
    <t>Shows the details of existing and expected plantain production for Nicaraguan farmers used as part of the ERR calculations.</t>
  </si>
  <si>
    <t>Shows the details of existing and expected cashew production for Nicaraguan farmers used as part of the ERR calculations.</t>
  </si>
  <si>
    <t>Shows the details of existing and expected organic esame production for Nicraguan farmers used as part of the ERR calculations.</t>
  </si>
  <si>
    <t>Price of Cashews (US$/lb)</t>
  </si>
  <si>
    <t>Price of Organic Sesame (US$/100 lbs)</t>
  </si>
  <si>
    <t>$0.036 - 0.063</t>
  </si>
  <si>
    <t>$0.040 - 0.080</t>
  </si>
  <si>
    <t>$0.37 - 0.55</t>
  </si>
  <si>
    <t>$26 - 38</t>
  </si>
  <si>
    <t>26 - 40%</t>
  </si>
  <si>
    <t>Price of Plantains Top Grade (US$/unit finger)</t>
  </si>
  <si>
    <t>Price of Plantains Second Grade (US$/unit finger)</t>
  </si>
  <si>
    <t>Net benefits</t>
  </si>
  <si>
    <t>MCC Funding will be used to increase profits and wages in farms and non-farm businesses in León-Chinandega through the following activities:</t>
  </si>
  <si>
    <r>
      <t xml:space="preserve">     1.   </t>
    </r>
    <r>
      <rPr>
        <i/>
        <sz val="10"/>
        <rFont val="Arial"/>
        <family val="2"/>
      </rPr>
      <t>Rural Business Development Services</t>
    </r>
    <r>
      <rPr>
        <sz val="10"/>
        <rFont val="Arial"/>
        <family val="2"/>
      </rPr>
      <t>. Expand higher-profit agriculture and agribusiness by providing business 
             development services, disseminating market information, developing improved production techniques, and managing the 
             two Project Activities described below.</t>
    </r>
  </si>
  <si>
    <r>
      <t xml:space="preserve">     2.   </t>
    </r>
    <r>
      <rPr>
        <i/>
        <sz val="10"/>
        <rFont val="Arial"/>
        <family val="2"/>
      </rPr>
      <t>Technical and Financial Assistance</t>
    </r>
    <r>
      <rPr>
        <sz val="10"/>
        <rFont val="Arial"/>
        <family val="2"/>
      </rPr>
      <t>. To help small- and medium-size farms and agribusinesses transition to higher-profit 
             activities, provide technical and financial assistance to these enterprises, including support that will directly offset 
             certain costs of small farms</t>
    </r>
  </si>
  <si>
    <r>
      <t xml:space="preserve">     3.   </t>
    </r>
    <r>
      <rPr>
        <i/>
        <sz val="10"/>
        <rFont val="Arial"/>
        <family val="2"/>
      </rPr>
      <t>Grants to Improve Water Supply for Farming and Forest Production</t>
    </r>
    <r>
      <rPr>
        <sz val="10"/>
        <rFont val="Arial"/>
        <family val="2"/>
      </rPr>
      <t>. Based on a watershed management action plan, 
             provide grants to improve the water supply for irrigation and facilitate higher value, sustainable agriculture and forestry in 
             the upper watershed areas of the region.</t>
    </r>
  </si>
  <si>
    <t>Details the economic impact of the Rural Business Development Project on farmers if MCC does not cover any portion of the costs of changing production.</t>
  </si>
  <si>
    <t>Details the economic impact of the Rural Business Development Project on farmers if MCC covers 30% of the costs of changing production.</t>
  </si>
  <si>
    <t>Number of manzanas in program relative to initial estimates</t>
  </si>
  <si>
    <t>Although the above distributional figure was not part of the Investment Memorandum (IM) ERR calculation, 
it reflects the best information available on parameters as of the IM (5/26/2005).</t>
  </si>
  <si>
    <t>18.1% over 10 years</t>
  </si>
  <si>
    <t>The Rural Business Development Project will support services that help develop higher-profit agriculture and agribusiness enterprises.  The Project will particularly focus on reaching poor farmers who require more help in making the transition into these businesses.  In addition, the Project will help sustain these enterprises by linking and coordinating businesses throughout the farm to market value chain - producers, entrepreneurs, buyers service providers, and investors.  Investments in public goods such as applied research and investment promotion promise to attract investment and expand productivity in the region.  Grants will support activities to improve water supply to facilitate higher-value, sustainable agriculture and forestry in the upper watershed areas of the region.  This will help poor families that live in the degraded upper watersheds and, in the long term, protect business developed downstream from damages caused by environmental degradation on the hillsides.</t>
  </si>
  <si>
    <t xml:space="preserve">     As most of the activities of the Rural Business Development Project will be undertaken out of a Rural Office of MCA-Nicaragua, a unified economic rate of return (ERR) was calculated for the first two activities described above (approximately 24%).  This ERR was then combined with the expected return for the watershed management component (8%) to compute a single weighted ERR for the entire Project (18%).</t>
  </si>
  <si>
    <t>Provides accounting for the activities of the Rural Office and the total 10 year ERR for the project combining both watershed management and the Rural Office.</t>
  </si>
  <si>
    <t xml:space="preserve">     In addition to on-farm benefits, we estimated the number of new jobs that are expected as a result of this farm transition. We calculated the benefits of these jobs by multiplying each new job by a discounted annual wage rate. Based on these benefits and costs, we computed an ERR for the "cost-sharing" and "no cost-sharing" scenarios, and averaged these returns to estimate an ERR for the Rural Office Activity of 24% over 10 years.</t>
  </si>
  <si>
    <t>Rural Office ERR with cost sharing</t>
  </si>
  <si>
    <t>Rural Office ERR without cost sharing</t>
  </si>
  <si>
    <t>Rural Office with cost sharing</t>
  </si>
  <si>
    <t>Rural Office without cost sharing</t>
  </si>
  <si>
    <t>The Rural Business Development Project will support services that help develop higher-profit agriculture and agribusiness enterprises.  The Project will particularly focus on reaching poor farmers who require more help in making the transition into these businesses.  In addition, the Project will help sustain these enterprises by linking and coordinating businesses throughout the farm-to-market value chain - producers, entrepreneurs, buyers, service providers, and investors.  Investments in public goods such as applied research and investment promotion promise to attract investment and expand productivity in the region.  Grants will support activities to improve water supply to facilitate higher-value, sustainable agriculture and forestry in the upper watershed areas of the region.  This will help poor families that live in the degraded upper watersheds and, in the long term, protect business developed downstream from damages caused by environmental degradation on the hillsides.</t>
  </si>
  <si>
    <t xml:space="preserve">     The specific activities for the watershed management component will be determined over the course of the Project. These activities, however, will be required to achieve at least a 10% rate of return without considering social or environmental externalities (which would add to the benefits). Since 10% is the minimum, we expect that the actual average return will exceed 10%.</t>
  </si>
  <si>
    <t>Costs Per Year</t>
  </si>
  <si>
    <t>Cost of Wastershed Management</t>
  </si>
  <si>
    <t>Total Cost of Watershed and Project</t>
  </si>
  <si>
    <t>Contingency</t>
  </si>
  <si>
    <t>Total Excluding Overhead</t>
  </si>
  <si>
    <t>Aggregated ERR</t>
  </si>
  <si>
    <t>Cost Sharing</t>
  </si>
  <si>
    <t>No Cost Sharing</t>
  </si>
  <si>
    <t>Sesame</t>
  </si>
  <si>
    <r>
      <t>Note:</t>
    </r>
    <r>
      <rPr>
        <sz val="10"/>
        <color indexed="17"/>
        <rFont val="Arial"/>
        <family val="2"/>
      </rPr>
      <t xml:space="preserve"> The spreadsheets reflect the best data available to MCC at the time the project was approved for investment.  Many of the parameters that are used in these pre-investment estimates change over time, so ERRs may not reflect the actual implementation experience. When project designs or model parameters change significantly, MCC may revise these models; updated information will be posted on the MCC website as it becomes available.</t>
    </r>
  </si>
  <si>
    <t xml:space="preserve">     To estimate the economic benefit of the Rural Office, we estimated the change in on-farm income resulting from the Project based on data from similar projects in Nicaragua and data from Australia. As a baseline, we assumed that one manzana of land (0.7 hectares) generates $100 in net income under current production practices.  From a menu of crops suitable to Nicaragua’s growing conditions, we chose three illustrative crops (plantain, cashew and organic sesame) that generate respectively, $2,902, $779 and $169 in average net income per manzana. Benefits, in the form of increased income per manzana, begin to occur after 12 months of project intervention.  The costs of changing production are generally borne by local producers, with grants from the MCC when necessary; we refer to the latter scenario in which MCC funds are used to partially offset these costs as the "cost-sharing" scenario, while the former scenario is the "no cost-sharing" scenario.  </t>
  </si>
  <si>
    <t>Activity A*</t>
  </si>
  <si>
    <t>Activity B* (Farm TA packages only)</t>
  </si>
  <si>
    <t>Activity C*</t>
  </si>
  <si>
    <t>Activity D*</t>
  </si>
  <si>
    <t>Activity E*</t>
  </si>
  <si>
    <t>Activity F* (watershed management)</t>
  </si>
  <si>
    <t>* Activity details specified in the Compact</t>
  </si>
  <si>
    <t>Rural Office ERR - weighted average of with and without cost-sharing scenarios</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</si>
</sst>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quot;$&quot;* #,##0_-;\-&quot;$&quot;* #,##0_-;_-&quot;$&quot;* &quot;-&quot;??_-;_-@_-"/>
    <numFmt numFmtId="166" formatCode="_(* #,##0_);_(* \(#,##0\);_(* &quot;-&quot;??_);_(@_)"/>
    <numFmt numFmtId="167" formatCode="0.000"/>
    <numFmt numFmtId="168" formatCode="0.0%"/>
    <numFmt numFmtId="169" formatCode="_(* #,##0.0_);_(* \(#,##0.0\);_(* &quot;-&quot;?_);_(@_)"/>
    <numFmt numFmtId="170" formatCode="_ * #,##0_ ;_ * \-#,##0_ ;_ * &quot;-&quot;??_ ;_ @_ "/>
    <numFmt numFmtId="171" formatCode="_ * #,##0.00_ ;_ * \-#,##0.00_ ;_ * &quot;-&quot;??_ ;_ @_ "/>
    <numFmt numFmtId="172" formatCode="0.00_);\(0.00\)"/>
    <numFmt numFmtId="173" formatCode="&quot;Yes&quot;;&quot;Yes&quot;;&quot;No&quot;"/>
    <numFmt numFmtId="174" formatCode="&quot;True&quot;;&quot;True&quot;;&quot;False&quot;"/>
    <numFmt numFmtId="175" formatCode="&quot;On&quot;;&quot;On&quot;;&quot;Off&quot;"/>
    <numFmt numFmtId="176" formatCode="[$€-2]\ #,##0.00_);[Red]\([$€-2]\ #,##0.00\)"/>
    <numFmt numFmtId="177" formatCode="[$-409]dddd\,\ mmmm\ dd\,\ yyyy"/>
    <numFmt numFmtId="178" formatCode="[$-409]h:mm:ss\ AM/PM"/>
    <numFmt numFmtId="179" formatCode="00000"/>
    <numFmt numFmtId="180" formatCode="&quot;$&quot;#,##0.00"/>
    <numFmt numFmtId="181" formatCode="&quot;$&quot;#,##0.000"/>
    <numFmt numFmtId="182" formatCode="0.0"/>
    <numFmt numFmtId="183" formatCode="#,##0.000"/>
  </numFmts>
  <fonts count="37">
    <font>
      <sz val="10"/>
      <name val="Arial"/>
      <family val="0"/>
    </font>
    <font>
      <b/>
      <sz val="10"/>
      <name val="Arial"/>
      <family val="2"/>
    </font>
    <font>
      <i/>
      <sz val="10"/>
      <name val="Arial"/>
      <family val="2"/>
    </font>
    <font>
      <b/>
      <i/>
      <sz val="10"/>
      <name val="Arial"/>
      <family val="2"/>
    </font>
    <font>
      <b/>
      <i/>
      <sz val="11"/>
      <name val="Arial"/>
      <family val="2"/>
    </font>
    <font>
      <b/>
      <sz val="11"/>
      <name val="Arial"/>
      <family val="2"/>
    </font>
    <font>
      <b/>
      <sz val="12"/>
      <name val="Arial"/>
      <family val="2"/>
    </font>
    <font>
      <b/>
      <sz val="10"/>
      <color indexed="12"/>
      <name val="Arial"/>
      <family val="2"/>
    </font>
    <font>
      <u val="single"/>
      <sz val="10"/>
      <color indexed="36"/>
      <name val="Arial"/>
      <family val="0"/>
    </font>
    <font>
      <u val="single"/>
      <sz val="10"/>
      <color indexed="12"/>
      <name val="Arial"/>
      <family val="0"/>
    </font>
    <font>
      <b/>
      <sz val="16"/>
      <name val="Arial"/>
      <family val="2"/>
    </font>
    <font>
      <sz val="10"/>
      <color indexed="50"/>
      <name val="Arial"/>
      <family val="2"/>
    </font>
    <font>
      <sz val="14"/>
      <name val="Arial"/>
      <family val="2"/>
    </font>
    <font>
      <sz val="10"/>
      <color indexed="12"/>
      <name val="Arial"/>
      <family val="2"/>
    </font>
    <font>
      <b/>
      <sz val="10"/>
      <color indexed="55"/>
      <name val="Arial"/>
      <family val="2"/>
    </font>
    <font>
      <b/>
      <sz val="8"/>
      <name val="Arial"/>
      <family val="2"/>
    </font>
    <font>
      <sz val="10"/>
      <color indexed="8"/>
      <name val="Arial"/>
      <family val="2"/>
    </font>
    <font>
      <sz val="8"/>
      <name val="Arial"/>
      <family val="0"/>
    </font>
    <font>
      <b/>
      <sz val="10"/>
      <color indexed="8"/>
      <name val="Arial"/>
      <family val="2"/>
    </font>
    <font>
      <sz val="10"/>
      <color indexed="9"/>
      <name val="Arial"/>
      <family val="0"/>
    </font>
    <font>
      <sz val="10"/>
      <color indexed="10"/>
      <name val="Arial"/>
      <family val="2"/>
    </font>
    <font>
      <sz val="10"/>
      <color indexed="17"/>
      <name val="Arial"/>
      <family val="2"/>
    </font>
    <font>
      <i/>
      <sz val="10"/>
      <color indexed="10"/>
      <name val="Arial"/>
      <family val="2"/>
    </font>
    <font>
      <b/>
      <sz val="10"/>
      <color indexed="9"/>
      <name val="Arial"/>
      <family val="2"/>
    </font>
    <font>
      <b/>
      <sz val="15"/>
      <name val="Arial"/>
      <family val="2"/>
    </font>
    <font>
      <sz val="9"/>
      <color indexed="23"/>
      <name val="Arial"/>
      <family val="2"/>
    </font>
    <font>
      <sz val="8"/>
      <color indexed="17"/>
      <name val="Arial"/>
      <family val="2"/>
    </font>
    <font>
      <sz val="12"/>
      <name val="Arial"/>
      <family val="2"/>
    </font>
    <font>
      <sz val="16"/>
      <name val="Arial"/>
      <family val="2"/>
    </font>
    <font>
      <b/>
      <sz val="16"/>
      <color indexed="50"/>
      <name val="Arial"/>
      <family val="2"/>
    </font>
    <font>
      <b/>
      <sz val="18"/>
      <color indexed="32"/>
      <name val="Arial"/>
      <family val="2"/>
    </font>
    <font>
      <sz val="10"/>
      <color indexed="23"/>
      <name val="Arial"/>
      <family val="2"/>
    </font>
    <font>
      <b/>
      <sz val="11.75"/>
      <name val="Arial"/>
      <family val="0"/>
    </font>
    <font>
      <b/>
      <sz val="9.75"/>
      <name val="Arial"/>
      <family val="0"/>
    </font>
    <font>
      <sz val="9.75"/>
      <name val="Arial"/>
      <family val="0"/>
    </font>
    <font>
      <b/>
      <sz val="10"/>
      <color indexed="17"/>
      <name val="Arial"/>
      <family val="2"/>
    </font>
    <font>
      <i/>
      <sz val="8"/>
      <name val="Arial"/>
      <family val="2"/>
    </font>
  </fonts>
  <fills count="7">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10"/>
        <bgColor indexed="64"/>
      </patternFill>
    </fill>
    <fill>
      <patternFill patternType="solid">
        <fgColor indexed="43"/>
        <bgColor indexed="64"/>
      </patternFill>
    </fill>
  </fills>
  <borders count="145">
    <border>
      <left/>
      <right/>
      <top/>
      <bottom/>
      <diagonal/>
    </border>
    <border>
      <left style="thin"/>
      <right style="thin"/>
      <top>
        <color indexed="63"/>
      </top>
      <bottom style="thin"/>
    </border>
    <border>
      <left style="thin"/>
      <right style="thin"/>
      <top>
        <color indexed="63"/>
      </top>
      <bottom>
        <color indexed="63"/>
      </bottom>
    </border>
    <border>
      <left style="thin">
        <color indexed="9"/>
      </left>
      <right style="thin">
        <color indexed="9"/>
      </right>
      <top style="thin">
        <color indexed="9"/>
      </top>
      <bottom style="thin">
        <color indexed="9"/>
      </bottom>
    </border>
    <border>
      <left>
        <color indexed="63"/>
      </left>
      <right>
        <color indexed="63"/>
      </right>
      <top>
        <color indexed="63"/>
      </top>
      <bottom style="medium"/>
    </border>
    <border>
      <left>
        <color indexed="63"/>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medium"/>
      <right>
        <color indexed="63"/>
      </right>
      <top style="medium"/>
      <bottom style="medium"/>
    </border>
    <border>
      <left style="medium"/>
      <right>
        <color indexed="63"/>
      </right>
      <top>
        <color indexed="63"/>
      </top>
      <bottom style="medium"/>
    </border>
    <border>
      <left>
        <color indexed="63"/>
      </left>
      <right style="medium"/>
      <top style="medium"/>
      <bottom style="medium"/>
    </border>
    <border>
      <left>
        <color indexed="63"/>
      </left>
      <right style="medium"/>
      <top>
        <color indexed="63"/>
      </top>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medium"/>
      <right>
        <color indexed="63"/>
      </right>
      <top style="thin"/>
      <bottom>
        <color indexed="63"/>
      </bottom>
    </border>
    <border>
      <left style="medium"/>
      <right style="medium">
        <color indexed="9"/>
      </right>
      <top style="medium">
        <color indexed="9"/>
      </top>
      <bottom style="medium"/>
    </border>
    <border>
      <left style="medium"/>
      <right style="medium">
        <color indexed="9"/>
      </right>
      <top style="medium"/>
      <bottom style="medium">
        <color indexed="9"/>
      </bottom>
    </border>
    <border>
      <left style="medium">
        <color indexed="9"/>
      </left>
      <right style="medium">
        <color indexed="9"/>
      </right>
      <top style="medium"/>
      <bottom style="medium">
        <color indexed="9"/>
      </bottom>
    </border>
    <border>
      <left style="medium">
        <color indexed="9"/>
      </left>
      <right style="medium"/>
      <top style="medium"/>
      <bottom style="medium">
        <color indexed="9"/>
      </bottom>
    </border>
    <border>
      <left style="medium"/>
      <right style="medium">
        <color indexed="9"/>
      </right>
      <top style="medium">
        <color indexed="9"/>
      </top>
      <bottom style="medium">
        <color indexed="9"/>
      </bottom>
    </border>
    <border>
      <left style="medium">
        <color indexed="9"/>
      </left>
      <right style="medium">
        <color indexed="9"/>
      </right>
      <top style="medium">
        <color indexed="9"/>
      </top>
      <bottom style="medium"/>
    </border>
    <border>
      <left style="medium">
        <color indexed="9"/>
      </left>
      <right style="medium"/>
      <top style="medium">
        <color indexed="9"/>
      </top>
      <bottom style="medium"/>
    </border>
    <border>
      <left style="thin">
        <color indexed="9"/>
      </left>
      <right style="thin">
        <color indexed="9"/>
      </right>
      <top style="thin">
        <color indexed="9"/>
      </top>
      <bottom>
        <color indexed="63"/>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color indexed="9"/>
      </left>
      <right style="thin"/>
      <top style="thin">
        <color indexed="9"/>
      </top>
      <bottom style="thin"/>
    </border>
    <border>
      <left style="thin">
        <color indexed="9"/>
      </left>
      <right style="thin">
        <color indexed="9"/>
      </right>
      <top style="thin"/>
      <bottom style="thin"/>
    </border>
    <border>
      <left style="thin">
        <color indexed="9"/>
      </left>
      <right style="thin">
        <color indexed="9"/>
      </right>
      <top>
        <color indexed="63"/>
      </top>
      <bottom>
        <color indexed="63"/>
      </bottom>
    </border>
    <border>
      <left>
        <color indexed="63"/>
      </left>
      <right>
        <color indexed="63"/>
      </right>
      <top>
        <color indexed="63"/>
      </top>
      <bottom style="thin">
        <color indexed="9"/>
      </bottom>
    </border>
    <border>
      <left style="thin">
        <color indexed="9"/>
      </left>
      <right>
        <color indexed="63"/>
      </right>
      <top style="thin">
        <color indexed="9"/>
      </top>
      <bottom>
        <color indexed="63"/>
      </bottom>
    </border>
    <border>
      <left>
        <color indexed="63"/>
      </left>
      <right>
        <color indexed="63"/>
      </right>
      <top style="thin">
        <color indexed="9"/>
      </top>
      <bottom style="thin">
        <color indexed="9"/>
      </bottom>
    </border>
    <border>
      <left style="thin">
        <color indexed="9"/>
      </left>
      <right>
        <color indexed="63"/>
      </right>
      <top style="thin">
        <color indexed="9"/>
      </top>
      <bottom style="thin">
        <color indexed="9"/>
      </bottom>
    </border>
    <border>
      <left style="medium">
        <color indexed="9"/>
      </left>
      <right style="medium">
        <color indexed="9"/>
      </right>
      <top style="medium">
        <color indexed="9"/>
      </top>
      <bottom style="medium">
        <color indexed="9"/>
      </bottom>
    </border>
    <border>
      <left style="medium">
        <color indexed="9"/>
      </left>
      <right style="medium"/>
      <top style="medium">
        <color indexed="9"/>
      </top>
      <bottom style="medium">
        <color indexed="9"/>
      </bottom>
    </border>
    <border>
      <left style="thin">
        <color indexed="9"/>
      </left>
      <right>
        <color indexed="63"/>
      </right>
      <top>
        <color indexed="63"/>
      </top>
      <bottom style="thin">
        <color indexed="9"/>
      </bottom>
    </border>
    <border>
      <left style="thin">
        <color indexed="9"/>
      </left>
      <right style="thin">
        <color indexed="9"/>
      </right>
      <top style="thin"/>
      <bottom style="thin">
        <color indexed="9"/>
      </bottom>
    </border>
    <border>
      <left style="thin">
        <color indexed="9"/>
      </left>
      <right>
        <color indexed="63"/>
      </right>
      <top style="thin"/>
      <bottom style="thin">
        <color indexed="9"/>
      </bottom>
    </border>
    <border>
      <left style="thin"/>
      <right style="thin">
        <color indexed="9"/>
      </right>
      <top style="thin">
        <color indexed="9"/>
      </top>
      <bottom style="thin">
        <color indexed="9"/>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color indexed="9"/>
      </left>
      <right style="medium">
        <color indexed="9"/>
      </right>
      <top style="thin">
        <color indexed="9"/>
      </top>
      <bottom style="thin">
        <color indexed="9"/>
      </bottom>
    </border>
    <border>
      <left style="medium">
        <color indexed="9"/>
      </left>
      <right style="thin">
        <color indexed="9"/>
      </right>
      <top style="thin">
        <color indexed="9"/>
      </top>
      <bottom style="thin">
        <color indexed="9"/>
      </bottom>
    </border>
    <border>
      <left>
        <color indexed="63"/>
      </left>
      <right style="thin">
        <color indexed="9"/>
      </right>
      <top style="thin">
        <color indexed="9"/>
      </top>
      <bottom>
        <color indexed="63"/>
      </bottom>
    </border>
    <border>
      <left style="thin"/>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color indexed="9"/>
      </bottom>
    </border>
    <border>
      <left>
        <color indexed="63"/>
      </left>
      <right style="medium">
        <color indexed="9"/>
      </right>
      <top>
        <color indexed="63"/>
      </top>
      <bottom style="medium"/>
    </border>
    <border>
      <left style="medium">
        <color indexed="9"/>
      </left>
      <right style="medium">
        <color indexed="9"/>
      </right>
      <top>
        <color indexed="63"/>
      </top>
      <bottom style="medium"/>
    </border>
    <border>
      <left style="medium">
        <color indexed="9"/>
      </left>
      <right>
        <color indexed="63"/>
      </right>
      <top>
        <color indexed="63"/>
      </top>
      <bottom style="medium"/>
    </border>
    <border>
      <left style="thin">
        <color indexed="9"/>
      </left>
      <right>
        <color indexed="63"/>
      </right>
      <top style="thin">
        <color indexed="9"/>
      </top>
      <bottom style="thin"/>
    </border>
    <border>
      <left>
        <color indexed="63"/>
      </left>
      <right style="thin">
        <color indexed="9"/>
      </right>
      <top>
        <color indexed="63"/>
      </top>
      <bottom style="thin">
        <color indexed="9"/>
      </bottom>
    </border>
    <border>
      <left style="medium"/>
      <right>
        <color indexed="63"/>
      </right>
      <top style="thin"/>
      <bottom style="medium"/>
    </border>
    <border>
      <left style="medium"/>
      <right style="thin">
        <color indexed="9"/>
      </right>
      <top style="medium"/>
      <bottom style="thin">
        <color indexed="9"/>
      </bottom>
    </border>
    <border>
      <left style="thin">
        <color indexed="9"/>
      </left>
      <right style="thin">
        <color indexed="9"/>
      </right>
      <top style="medium"/>
      <bottom style="thin">
        <color indexed="9"/>
      </bottom>
    </border>
    <border>
      <left style="thin">
        <color indexed="9"/>
      </left>
      <right style="medium"/>
      <top style="medium"/>
      <bottom style="thin">
        <color indexed="9"/>
      </bottom>
    </border>
    <border>
      <left style="medium"/>
      <right style="thin">
        <color indexed="9"/>
      </right>
      <top style="thin">
        <color indexed="9"/>
      </top>
      <bottom style="thin">
        <color indexed="9"/>
      </bottom>
    </border>
    <border>
      <left style="thin">
        <color indexed="9"/>
      </left>
      <right style="medium"/>
      <top style="thin">
        <color indexed="9"/>
      </top>
      <bottom style="thin">
        <color indexed="9"/>
      </bottom>
    </border>
    <border>
      <left style="medium"/>
      <right style="thin">
        <color indexed="9"/>
      </right>
      <top style="thin">
        <color indexed="9"/>
      </top>
      <bottom style="medium"/>
    </border>
    <border>
      <left style="thin">
        <color indexed="9"/>
      </left>
      <right style="thin">
        <color indexed="9"/>
      </right>
      <top style="thin">
        <color indexed="9"/>
      </top>
      <bottom style="medium"/>
    </border>
    <border>
      <left style="thin">
        <color indexed="9"/>
      </left>
      <right style="medium"/>
      <top style="thin">
        <color indexed="9"/>
      </top>
      <bottom style="medium"/>
    </border>
    <border>
      <left>
        <color indexed="63"/>
      </left>
      <right style="medium">
        <color indexed="9"/>
      </right>
      <top>
        <color indexed="63"/>
      </top>
      <bottom>
        <color indexed="63"/>
      </bottom>
    </border>
    <border>
      <left style="medium">
        <color indexed="9"/>
      </left>
      <right style="medium">
        <color indexed="9"/>
      </right>
      <top style="medium"/>
      <bottom style="medium"/>
    </border>
    <border>
      <left style="medium">
        <color indexed="9"/>
      </left>
      <right style="medium"/>
      <top style="medium"/>
      <bottom style="medium"/>
    </border>
    <border>
      <left style="medium"/>
      <right style="thin">
        <color indexed="9"/>
      </right>
      <top style="medium"/>
      <bottom>
        <color indexed="63"/>
      </bottom>
    </border>
    <border>
      <left style="thin"/>
      <right style="thin">
        <color indexed="9"/>
      </right>
      <top style="thin"/>
      <bottom style="thin"/>
    </border>
    <border>
      <left style="thin">
        <color indexed="9"/>
      </left>
      <right style="thin">
        <color indexed="9"/>
      </right>
      <top style="medium"/>
      <bottom style="medium"/>
    </border>
    <border>
      <left style="thin">
        <color indexed="9"/>
      </left>
      <right style="medium"/>
      <top style="medium"/>
      <bottom style="medium"/>
    </border>
    <border>
      <left style="thin">
        <color indexed="9"/>
      </left>
      <right style="thin">
        <color indexed="9"/>
      </right>
      <top style="medium"/>
      <bottom>
        <color indexed="63"/>
      </bottom>
    </border>
    <border>
      <left style="thin">
        <color indexed="9"/>
      </left>
      <right style="medium"/>
      <top style="medium"/>
      <bottom>
        <color indexed="63"/>
      </bottom>
    </border>
    <border>
      <left>
        <color indexed="63"/>
      </left>
      <right style="thin">
        <color indexed="9"/>
      </right>
      <top style="medium"/>
      <bottom style="thin">
        <color indexed="9"/>
      </bottom>
    </border>
    <border>
      <left>
        <color indexed="63"/>
      </left>
      <right style="thin">
        <color indexed="9"/>
      </right>
      <top style="thin">
        <color indexed="9"/>
      </top>
      <bottom style="medium"/>
    </border>
    <border>
      <left style="medium"/>
      <right style="thin"/>
      <top style="thin"/>
      <bottom style="thin"/>
    </border>
    <border>
      <left style="thin"/>
      <right style="medium"/>
      <top style="thin"/>
      <bottom style="thin"/>
    </border>
    <border>
      <left style="thin">
        <color indexed="9"/>
      </left>
      <right style="thin"/>
      <top style="thin"/>
      <bottom style="thin"/>
    </border>
    <border>
      <left style="thin">
        <color indexed="9"/>
      </left>
      <right style="medium"/>
      <top>
        <color indexed="63"/>
      </top>
      <bottom style="thin">
        <color indexed="9"/>
      </bottom>
    </border>
    <border>
      <left style="medium"/>
      <right style="thin">
        <color indexed="9"/>
      </right>
      <top style="medium"/>
      <bottom style="medium"/>
    </border>
    <border>
      <left style="medium"/>
      <right style="thin">
        <color indexed="9"/>
      </right>
      <top>
        <color indexed="63"/>
      </top>
      <bottom style="thin">
        <color indexed="9"/>
      </bottom>
    </border>
    <border>
      <left>
        <color indexed="63"/>
      </left>
      <right>
        <color indexed="63"/>
      </right>
      <top style="thin">
        <color indexed="9"/>
      </top>
      <bottom>
        <color indexed="63"/>
      </bottom>
    </border>
    <border>
      <left style="thin">
        <color indexed="9"/>
      </left>
      <right>
        <color indexed="63"/>
      </right>
      <top>
        <color indexed="63"/>
      </top>
      <bottom>
        <color indexed="63"/>
      </bottom>
    </border>
    <border>
      <left style="double"/>
      <right style="thin"/>
      <top style="thin"/>
      <bottom style="thin"/>
    </border>
    <border>
      <left>
        <color indexed="63"/>
      </left>
      <right style="double"/>
      <top style="thin"/>
      <bottom style="thin"/>
    </border>
    <border>
      <left style="double"/>
      <right style="thin"/>
      <top>
        <color indexed="63"/>
      </top>
      <bottom>
        <color indexed="63"/>
      </bottom>
    </border>
    <border>
      <left>
        <color indexed="63"/>
      </left>
      <right style="double"/>
      <top>
        <color indexed="63"/>
      </top>
      <bottom>
        <color indexed="63"/>
      </bottom>
    </border>
    <border>
      <left style="double"/>
      <right style="thin"/>
      <top style="thin"/>
      <bottom>
        <color indexed="63"/>
      </bottom>
    </border>
    <border>
      <left>
        <color indexed="63"/>
      </left>
      <right style="double"/>
      <top style="thin"/>
      <bottom>
        <color indexed="63"/>
      </bottom>
    </border>
    <border>
      <left style="double"/>
      <right style="thin"/>
      <top>
        <color indexed="63"/>
      </top>
      <bottom style="thin"/>
    </border>
    <border>
      <left>
        <color indexed="63"/>
      </left>
      <right style="double"/>
      <top>
        <color indexed="63"/>
      </top>
      <bottom style="thin"/>
    </border>
    <border>
      <left style="thin"/>
      <right style="double"/>
      <top style="thin"/>
      <bottom>
        <color indexed="63"/>
      </bottom>
    </border>
    <border>
      <left style="double"/>
      <right style="thin"/>
      <top>
        <color indexed="63"/>
      </top>
      <bottom style="double"/>
    </border>
    <border>
      <left>
        <color indexed="63"/>
      </left>
      <right style="double"/>
      <top>
        <color indexed="63"/>
      </top>
      <bottom style="double"/>
    </border>
    <border>
      <left style="double"/>
      <right style="thin"/>
      <top style="double"/>
      <bottom style="double"/>
    </border>
    <border>
      <left>
        <color indexed="63"/>
      </left>
      <right style="double"/>
      <top style="double"/>
      <bottom style="double"/>
    </border>
    <border>
      <left style="thin"/>
      <right style="thin"/>
      <top style="thin"/>
      <bottom style="thin"/>
    </border>
    <border>
      <left style="hair"/>
      <right>
        <color indexed="63"/>
      </right>
      <top>
        <color indexed="63"/>
      </top>
      <bottom>
        <color indexed="63"/>
      </bottom>
    </border>
    <border>
      <left style="thin"/>
      <right style="thin"/>
      <top style="thin"/>
      <bottom>
        <color indexed="63"/>
      </bottom>
    </border>
    <border>
      <left style="hair"/>
      <right>
        <color indexed="63"/>
      </right>
      <top style="hair"/>
      <bottom>
        <color indexed="63"/>
      </bottom>
    </border>
    <border>
      <left>
        <color indexed="63"/>
      </left>
      <right>
        <color indexed="63"/>
      </right>
      <top style="hair"/>
      <bottom>
        <color indexed="63"/>
      </bottom>
    </border>
    <border>
      <left style="thin"/>
      <right style="thin"/>
      <top>
        <color indexed="63"/>
      </top>
      <bottom style="dashDot"/>
    </border>
    <border>
      <left>
        <color indexed="63"/>
      </left>
      <right>
        <color indexed="63"/>
      </right>
      <top>
        <color indexed="63"/>
      </top>
      <bottom style="dashDot"/>
    </border>
    <border>
      <left>
        <color indexed="63"/>
      </left>
      <right style="thin"/>
      <top>
        <color indexed="63"/>
      </top>
      <bottom style="dashDot"/>
    </border>
    <border>
      <left style="thin"/>
      <right style="thin"/>
      <top>
        <color indexed="63"/>
      </top>
      <bottom style="dashDotDot"/>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color indexed="9"/>
      </right>
      <top style="medium"/>
      <bottom style="medium"/>
    </border>
    <border>
      <left style="medium">
        <color indexed="9"/>
      </left>
      <right>
        <color indexed="63"/>
      </right>
      <top style="medium"/>
      <bottom style="medium"/>
    </border>
    <border>
      <left>
        <color indexed="63"/>
      </left>
      <right style="medium">
        <color indexed="9"/>
      </right>
      <top style="medium"/>
      <bottom style="medium">
        <color indexed="9"/>
      </bottom>
    </border>
    <border>
      <left style="medium">
        <color indexed="9"/>
      </left>
      <right style="thin">
        <color indexed="9"/>
      </right>
      <top style="medium"/>
      <bottom style="thin">
        <color indexed="9"/>
      </bottom>
    </border>
    <border>
      <left>
        <color indexed="63"/>
      </left>
      <right style="medium">
        <color indexed="9"/>
      </right>
      <top style="medium">
        <color indexed="9"/>
      </top>
      <bottom style="medium">
        <color indexed="9"/>
      </bottom>
    </border>
    <border>
      <left>
        <color indexed="63"/>
      </left>
      <right style="medium">
        <color indexed="9"/>
      </right>
      <top style="medium">
        <color indexed="9"/>
      </top>
      <bottom>
        <color indexed="63"/>
      </bottom>
    </border>
    <border>
      <left style="medium">
        <color indexed="9"/>
      </left>
      <right style="medium">
        <color indexed="9"/>
      </right>
      <top style="medium">
        <color indexed="9"/>
      </top>
      <bottom>
        <color indexed="63"/>
      </bottom>
    </border>
    <border>
      <left style="medium"/>
      <right style="medium"/>
      <top style="medium"/>
      <bottom style="medium"/>
    </border>
    <border>
      <left>
        <color indexed="63"/>
      </left>
      <right style="medium">
        <color indexed="9"/>
      </right>
      <top style="medium">
        <color indexed="9"/>
      </top>
      <bottom style="thin">
        <color indexed="9"/>
      </bottom>
    </border>
    <border>
      <left style="medium">
        <color indexed="9"/>
      </left>
      <right style="medium">
        <color indexed="9"/>
      </right>
      <top style="medium">
        <color indexed="9"/>
      </top>
      <bottom style="thin">
        <color indexed="9"/>
      </bottom>
    </border>
    <border>
      <left style="medium"/>
      <right style="thin">
        <color indexed="9"/>
      </right>
      <top style="thin">
        <color indexed="9"/>
      </top>
      <bottom>
        <color indexed="63"/>
      </bottom>
    </border>
    <border>
      <left style="thin"/>
      <right style="thin">
        <color indexed="9"/>
      </right>
      <top>
        <color indexed="63"/>
      </top>
      <bottom style="thin">
        <color indexed="9"/>
      </bottom>
    </border>
    <border>
      <left style="medium"/>
      <right style="thin"/>
      <top style="medium"/>
      <bottom style="thin"/>
    </border>
    <border>
      <left style="thin"/>
      <right style="thin">
        <color indexed="9"/>
      </right>
      <top style="medium"/>
      <bottom style="thin"/>
    </border>
    <border>
      <left style="thin">
        <color indexed="9"/>
      </left>
      <right style="thin">
        <color indexed="9"/>
      </right>
      <top style="medium"/>
      <bottom style="thin"/>
    </border>
    <border>
      <left style="thin">
        <color indexed="9"/>
      </left>
      <right style="medium"/>
      <top style="medium"/>
      <bottom style="thin"/>
    </border>
    <border>
      <left style="medium"/>
      <right style="thin"/>
      <top>
        <color indexed="63"/>
      </top>
      <bottom style="thin">
        <color indexed="9"/>
      </bottom>
    </border>
    <border>
      <left style="medium"/>
      <right style="thin"/>
      <top style="thin">
        <color indexed="9"/>
      </top>
      <bottom style="thin">
        <color indexed="9"/>
      </bottom>
    </border>
    <border>
      <left style="medium"/>
      <right style="thin"/>
      <top style="thin">
        <color indexed="9"/>
      </top>
      <bottom style="medium"/>
    </border>
    <border>
      <left style="thin"/>
      <right style="thin">
        <color indexed="9"/>
      </right>
      <top style="thin">
        <color indexed="9"/>
      </top>
      <bottom style="medium"/>
    </border>
    <border>
      <left style="medium"/>
      <right style="thin">
        <color indexed="9"/>
      </right>
      <top>
        <color indexed="63"/>
      </top>
      <bottom>
        <color indexed="63"/>
      </bottom>
    </border>
    <border>
      <left>
        <color indexed="63"/>
      </left>
      <right style="thin">
        <color indexed="9"/>
      </right>
      <top>
        <color indexed="63"/>
      </top>
      <bottom>
        <color indexed="63"/>
      </bottom>
    </border>
    <border>
      <left style="medium"/>
      <right style="medium">
        <color indexed="9"/>
      </right>
      <top style="medium"/>
      <bottom style="medium"/>
    </border>
    <border>
      <left>
        <color indexed="63"/>
      </left>
      <right style="thin">
        <color indexed="9"/>
      </right>
      <top style="medium"/>
      <bottom style="medium"/>
    </border>
  </borders>
  <cellStyleXfs count="22">
    <xf numFmtId="0"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597">
    <xf numFmtId="0" fontId="0" fillId="0" borderId="0" xfId="0" applyAlignment="1">
      <alignment/>
    </xf>
    <xf numFmtId="0" fontId="1" fillId="0" borderId="0" xfId="0" applyFont="1" applyAlignment="1">
      <alignment/>
    </xf>
    <xf numFmtId="0" fontId="14" fillId="0" borderId="1" xfId="0" applyFont="1" applyFill="1" applyBorder="1" applyAlignment="1">
      <alignment horizontal="center" vertical="center" wrapText="1"/>
    </xf>
    <xf numFmtId="0" fontId="13" fillId="0" borderId="2" xfId="20" applyFont="1" applyBorder="1" applyAlignment="1">
      <alignment vertical="center"/>
    </xf>
    <xf numFmtId="0" fontId="0" fillId="0" borderId="3" xfId="0" applyFont="1" applyBorder="1" applyAlignment="1">
      <alignment/>
    </xf>
    <xf numFmtId="9" fontId="1" fillId="2" borderId="4" xfId="0" applyNumberFormat="1" applyFont="1" applyFill="1" applyBorder="1" applyAlignment="1">
      <alignment/>
    </xf>
    <xf numFmtId="0" fontId="1" fillId="2" borderId="4" xfId="0" applyFont="1" applyFill="1" applyBorder="1" applyAlignment="1">
      <alignment/>
    </xf>
    <xf numFmtId="0" fontId="0" fillId="0" borderId="5" xfId="0" applyFont="1" applyBorder="1" applyAlignment="1">
      <alignment/>
    </xf>
    <xf numFmtId="0" fontId="0" fillId="0" borderId="6" xfId="0" applyFont="1" applyBorder="1" applyAlignment="1">
      <alignment/>
    </xf>
    <xf numFmtId="0" fontId="1" fillId="2" borderId="7" xfId="0" applyFont="1" applyFill="1" applyBorder="1" applyAlignment="1">
      <alignment/>
    </xf>
    <xf numFmtId="0" fontId="1" fillId="2" borderId="8" xfId="0" applyFont="1" applyFill="1" applyBorder="1" applyAlignment="1">
      <alignment/>
    </xf>
    <xf numFmtId="9" fontId="1" fillId="2" borderId="9" xfId="0" applyNumberFormat="1" applyFont="1" applyFill="1" applyBorder="1" applyAlignment="1">
      <alignment/>
    </xf>
    <xf numFmtId="164" fontId="1" fillId="2" borderId="4" xfId="17" applyNumberFormat="1" applyFont="1" applyFill="1" applyBorder="1" applyAlignment="1">
      <alignment/>
    </xf>
    <xf numFmtId="164" fontId="1" fillId="2" borderId="10" xfId="17" applyNumberFormat="1" applyFont="1" applyFill="1" applyBorder="1" applyAlignment="1">
      <alignment/>
    </xf>
    <xf numFmtId="0" fontId="1" fillId="2" borderId="11" xfId="0" applyFont="1" applyFill="1" applyBorder="1" applyAlignment="1">
      <alignment/>
    </xf>
    <xf numFmtId="164" fontId="1" fillId="2" borderId="11" xfId="17" applyNumberFormat="1" applyFont="1" applyFill="1" applyBorder="1" applyAlignment="1">
      <alignment/>
    </xf>
    <xf numFmtId="164" fontId="1" fillId="2" borderId="12" xfId="17" applyNumberFormat="1" applyFont="1" applyFill="1" applyBorder="1" applyAlignment="1">
      <alignment/>
    </xf>
    <xf numFmtId="164" fontId="1" fillId="2" borderId="11" xfId="0" applyNumberFormat="1" applyFont="1" applyFill="1" applyBorder="1" applyAlignment="1">
      <alignment/>
    </xf>
    <xf numFmtId="166" fontId="1" fillId="2" borderId="4" xfId="15" applyNumberFormat="1" applyFont="1" applyFill="1" applyBorder="1" applyAlignment="1">
      <alignment/>
    </xf>
    <xf numFmtId="166" fontId="1" fillId="2" borderId="10" xfId="15" applyNumberFormat="1" applyFont="1" applyFill="1" applyBorder="1" applyAlignment="1">
      <alignment/>
    </xf>
    <xf numFmtId="9" fontId="0" fillId="3" borderId="13" xfId="0" applyNumberFormat="1" applyFont="1" applyFill="1" applyBorder="1" applyAlignment="1">
      <alignment horizontal="center" vertical="center"/>
    </xf>
    <xf numFmtId="0" fontId="0" fillId="0" borderId="3" xfId="0" applyBorder="1" applyAlignment="1">
      <alignment vertical="center"/>
    </xf>
    <xf numFmtId="0" fontId="0" fillId="0" borderId="6" xfId="0" applyBorder="1" applyAlignment="1">
      <alignment vertical="center"/>
    </xf>
    <xf numFmtId="0" fontId="0" fillId="0" borderId="0" xfId="0" applyFont="1" applyAlignment="1">
      <alignment/>
    </xf>
    <xf numFmtId="0" fontId="0" fillId="2" borderId="0" xfId="0" applyFont="1" applyFill="1" applyAlignment="1">
      <alignment/>
    </xf>
    <xf numFmtId="0" fontId="21" fillId="0" borderId="0" xfId="0" applyFont="1" applyAlignment="1">
      <alignment/>
    </xf>
    <xf numFmtId="0" fontId="20" fillId="0" borderId="0" xfId="0" applyFont="1" applyAlignment="1">
      <alignment/>
    </xf>
    <xf numFmtId="0" fontId="0" fillId="0" borderId="14" xfId="0" applyFont="1" applyBorder="1" applyAlignment="1">
      <alignment horizontal="right"/>
    </xf>
    <xf numFmtId="0" fontId="0" fillId="0" borderId="15" xfId="0" applyFont="1" applyBorder="1" applyAlignment="1">
      <alignment horizontal="right"/>
    </xf>
    <xf numFmtId="0" fontId="0" fillId="0" borderId="16" xfId="0" applyFont="1" applyBorder="1" applyAlignment="1">
      <alignment horizontal="right"/>
    </xf>
    <xf numFmtId="0" fontId="0" fillId="0" borderId="17" xfId="0" applyFont="1" applyBorder="1" applyAlignment="1">
      <alignment horizontal="right"/>
    </xf>
    <xf numFmtId="166" fontId="13" fillId="0" borderId="17" xfId="15" applyNumberFormat="1" applyFont="1" applyBorder="1" applyAlignment="1">
      <alignment horizontal="right"/>
    </xf>
    <xf numFmtId="167" fontId="13" fillId="0" borderId="17" xfId="0" applyNumberFormat="1" applyFont="1" applyBorder="1" applyAlignment="1">
      <alignment horizontal="right"/>
    </xf>
    <xf numFmtId="1" fontId="0" fillId="0" borderId="17" xfId="0" applyNumberFormat="1" applyFont="1" applyBorder="1" applyAlignment="1">
      <alignment horizontal="right"/>
    </xf>
    <xf numFmtId="166" fontId="0" fillId="0" borderId="17" xfId="15" applyNumberFormat="1" applyFont="1" applyBorder="1" applyAlignment="1">
      <alignment horizontal="right"/>
    </xf>
    <xf numFmtId="0" fontId="0" fillId="0" borderId="18" xfId="0" applyFont="1" applyBorder="1" applyAlignment="1">
      <alignment horizontal="right"/>
    </xf>
    <xf numFmtId="166" fontId="0" fillId="0" borderId="13" xfId="15" applyNumberFormat="1" applyFont="1" applyBorder="1" applyAlignment="1">
      <alignment horizontal="right"/>
    </xf>
    <xf numFmtId="166" fontId="0" fillId="0" borderId="0" xfId="15" applyNumberFormat="1" applyFont="1" applyAlignment="1">
      <alignment/>
    </xf>
    <xf numFmtId="166" fontId="0" fillId="0" borderId="0" xfId="15" applyNumberFormat="1" applyFont="1" applyBorder="1" applyAlignment="1">
      <alignment horizontal="right"/>
    </xf>
    <xf numFmtId="0" fontId="0" fillId="0" borderId="0" xfId="0" applyFont="1" applyBorder="1" applyAlignment="1">
      <alignment horizontal="right"/>
    </xf>
    <xf numFmtId="0" fontId="0" fillId="0" borderId="14" xfId="0" applyFont="1" applyBorder="1" applyAlignment="1">
      <alignment/>
    </xf>
    <xf numFmtId="166" fontId="0" fillId="0" borderId="19" xfId="15" applyNumberFormat="1" applyFont="1" applyBorder="1" applyAlignment="1">
      <alignment/>
    </xf>
    <xf numFmtId="166" fontId="0" fillId="0" borderId="15" xfId="15" applyNumberFormat="1" applyFont="1" applyBorder="1" applyAlignment="1">
      <alignment/>
    </xf>
    <xf numFmtId="0" fontId="0" fillId="0" borderId="16" xfId="0" applyFont="1" applyBorder="1" applyAlignment="1">
      <alignment/>
    </xf>
    <xf numFmtId="166" fontId="0" fillId="0" borderId="0" xfId="15" applyNumberFormat="1" applyFont="1" applyBorder="1" applyAlignment="1">
      <alignment/>
    </xf>
    <xf numFmtId="166" fontId="0" fillId="0" borderId="17" xfId="15" applyNumberFormat="1" applyFont="1" applyBorder="1" applyAlignment="1">
      <alignment/>
    </xf>
    <xf numFmtId="0" fontId="1" fillId="0" borderId="20" xfId="0" applyFont="1" applyBorder="1" applyAlignment="1">
      <alignment/>
    </xf>
    <xf numFmtId="166" fontId="1" fillId="0" borderId="21" xfId="15" applyNumberFormat="1" applyFont="1" applyBorder="1" applyAlignment="1">
      <alignment/>
    </xf>
    <xf numFmtId="166" fontId="1" fillId="0" borderId="22" xfId="15" applyNumberFormat="1" applyFont="1" applyBorder="1" applyAlignment="1">
      <alignment/>
    </xf>
    <xf numFmtId="1" fontId="0" fillId="0" borderId="0" xfId="0" applyNumberFormat="1" applyFont="1" applyAlignment="1">
      <alignment/>
    </xf>
    <xf numFmtId="166" fontId="0" fillId="0" borderId="0" xfId="0" applyNumberFormat="1" applyFont="1" applyAlignment="1">
      <alignment/>
    </xf>
    <xf numFmtId="9" fontId="0" fillId="0" borderId="0" xfId="21" applyFont="1" applyAlignment="1">
      <alignment/>
    </xf>
    <xf numFmtId="0" fontId="0" fillId="0" borderId="0" xfId="0" applyFont="1" applyBorder="1" applyAlignment="1">
      <alignment/>
    </xf>
    <xf numFmtId="166" fontId="1" fillId="0" borderId="21" xfId="0" applyNumberFormat="1" applyFont="1" applyBorder="1" applyAlignment="1">
      <alignment/>
    </xf>
    <xf numFmtId="0" fontId="0" fillId="0" borderId="19" xfId="0" applyFont="1" applyBorder="1" applyAlignment="1">
      <alignment/>
    </xf>
    <xf numFmtId="0" fontId="1" fillId="0" borderId="21" xfId="0" applyFont="1" applyBorder="1" applyAlignment="1">
      <alignment/>
    </xf>
    <xf numFmtId="166" fontId="0" fillId="0" borderId="19" xfId="0" applyNumberFormat="1" applyFont="1" applyBorder="1" applyAlignment="1">
      <alignment/>
    </xf>
    <xf numFmtId="166" fontId="0" fillId="0" borderId="15" xfId="0" applyNumberFormat="1" applyFont="1" applyBorder="1" applyAlignment="1">
      <alignment/>
    </xf>
    <xf numFmtId="0" fontId="0" fillId="0" borderId="18" xfId="0" applyFont="1" applyBorder="1" applyAlignment="1">
      <alignment/>
    </xf>
    <xf numFmtId="166" fontId="0" fillId="0" borderId="23" xfId="0" applyNumberFormat="1" applyFont="1" applyBorder="1" applyAlignment="1">
      <alignment/>
    </xf>
    <xf numFmtId="166" fontId="0" fillId="0" borderId="13" xfId="0" applyNumberFormat="1" applyFont="1" applyBorder="1" applyAlignment="1">
      <alignment/>
    </xf>
    <xf numFmtId="0" fontId="1" fillId="0" borderId="8" xfId="0" applyFont="1" applyBorder="1" applyAlignment="1">
      <alignment/>
    </xf>
    <xf numFmtId="9" fontId="1" fillId="0" borderId="10" xfId="21" applyFont="1" applyBorder="1" applyAlignment="1">
      <alignment/>
    </xf>
    <xf numFmtId="9" fontId="0" fillId="0" borderId="0" xfId="0" applyNumberFormat="1" applyFont="1" applyAlignment="1">
      <alignment/>
    </xf>
    <xf numFmtId="0" fontId="0" fillId="0" borderId="19" xfId="0" applyFont="1" applyBorder="1" applyAlignment="1">
      <alignment horizontal="right"/>
    </xf>
    <xf numFmtId="0" fontId="0" fillId="0" borderId="15" xfId="0" applyFont="1" applyBorder="1" applyAlignment="1">
      <alignment/>
    </xf>
    <xf numFmtId="0" fontId="13" fillId="0" borderId="17" xfId="0" applyFont="1" applyBorder="1" applyAlignment="1">
      <alignment/>
    </xf>
    <xf numFmtId="0" fontId="0" fillId="0" borderId="17" xfId="0" applyFont="1" applyBorder="1" applyAlignment="1">
      <alignment/>
    </xf>
    <xf numFmtId="0" fontId="0" fillId="0" borderId="23" xfId="0" applyFont="1" applyBorder="1" applyAlignment="1">
      <alignment horizontal="right"/>
    </xf>
    <xf numFmtId="0" fontId="0" fillId="0" borderId="13" xfId="0" applyFont="1" applyBorder="1" applyAlignment="1">
      <alignment/>
    </xf>
    <xf numFmtId="1" fontId="0" fillId="0" borderId="19" xfId="0" applyNumberFormat="1" applyFont="1" applyBorder="1" applyAlignment="1">
      <alignment/>
    </xf>
    <xf numFmtId="1" fontId="0" fillId="0" borderId="19" xfId="15" applyNumberFormat="1" applyFont="1" applyBorder="1" applyAlignment="1">
      <alignment/>
    </xf>
    <xf numFmtId="1" fontId="0" fillId="0" borderId="15" xfId="15" applyNumberFormat="1" applyFont="1" applyBorder="1" applyAlignment="1">
      <alignment/>
    </xf>
    <xf numFmtId="1" fontId="0" fillId="0" borderId="0" xfId="0" applyNumberFormat="1" applyFont="1" applyBorder="1" applyAlignment="1">
      <alignment/>
    </xf>
    <xf numFmtId="1" fontId="0" fillId="0" borderId="0" xfId="15" applyNumberFormat="1" applyFont="1" applyBorder="1" applyAlignment="1">
      <alignment/>
    </xf>
    <xf numFmtId="1" fontId="0" fillId="0" borderId="17" xfId="15" applyNumberFormat="1" applyFont="1" applyBorder="1" applyAlignment="1">
      <alignment/>
    </xf>
    <xf numFmtId="1" fontId="1" fillId="0" borderId="21" xfId="0" applyNumberFormat="1" applyFont="1" applyBorder="1" applyAlignment="1">
      <alignment/>
    </xf>
    <xf numFmtId="1" fontId="1" fillId="0" borderId="21" xfId="15" applyNumberFormat="1" applyFont="1" applyBorder="1" applyAlignment="1">
      <alignment/>
    </xf>
    <xf numFmtId="1" fontId="1" fillId="0" borderId="22" xfId="15" applyNumberFormat="1" applyFont="1" applyBorder="1" applyAlignment="1">
      <alignment/>
    </xf>
    <xf numFmtId="1" fontId="0" fillId="0" borderId="0" xfId="15" applyNumberFormat="1" applyFont="1" applyAlignment="1">
      <alignment/>
    </xf>
    <xf numFmtId="9" fontId="0" fillId="0" borderId="19" xfId="21" applyFont="1" applyBorder="1" applyAlignment="1">
      <alignment/>
    </xf>
    <xf numFmtId="9" fontId="0" fillId="0" borderId="15" xfId="21" applyFont="1" applyBorder="1" applyAlignment="1">
      <alignment/>
    </xf>
    <xf numFmtId="1" fontId="1" fillId="0" borderId="0" xfId="0" applyNumberFormat="1" applyFont="1" applyAlignment="1">
      <alignment/>
    </xf>
    <xf numFmtId="1" fontId="0" fillId="0" borderId="23" xfId="0" applyNumberFormat="1" applyFont="1" applyBorder="1" applyAlignment="1">
      <alignment/>
    </xf>
    <xf numFmtId="1" fontId="0" fillId="0" borderId="14" xfId="0" applyNumberFormat="1" applyFont="1" applyBorder="1" applyAlignment="1">
      <alignment/>
    </xf>
    <xf numFmtId="1" fontId="0" fillId="0" borderId="16" xfId="0" applyNumberFormat="1" applyFont="1" applyBorder="1" applyAlignment="1">
      <alignment/>
    </xf>
    <xf numFmtId="1" fontId="1" fillId="0" borderId="20" xfId="0" applyNumberFormat="1" applyFont="1" applyBorder="1" applyAlignment="1">
      <alignment/>
    </xf>
    <xf numFmtId="1" fontId="1" fillId="0" borderId="22" xfId="0" applyNumberFormat="1" applyFont="1" applyBorder="1" applyAlignment="1">
      <alignment/>
    </xf>
    <xf numFmtId="1" fontId="0" fillId="0" borderId="17" xfId="0" applyNumberFormat="1" applyFont="1" applyBorder="1" applyAlignment="1">
      <alignment/>
    </xf>
    <xf numFmtId="1" fontId="0" fillId="0" borderId="20" xfId="0" applyNumberFormat="1" applyFont="1" applyBorder="1" applyAlignment="1">
      <alignment/>
    </xf>
    <xf numFmtId="1" fontId="0" fillId="0" borderId="21" xfId="0" applyNumberFormat="1" applyFont="1" applyBorder="1" applyAlignment="1">
      <alignment/>
    </xf>
    <xf numFmtId="1" fontId="0" fillId="0" borderId="22" xfId="0" applyNumberFormat="1" applyFont="1" applyBorder="1" applyAlignment="1">
      <alignment/>
    </xf>
    <xf numFmtId="1" fontId="1" fillId="0" borderId="7" xfId="0" applyNumberFormat="1" applyFont="1" applyBorder="1" applyAlignment="1">
      <alignment/>
    </xf>
    <xf numFmtId="9" fontId="1" fillId="0" borderId="9" xfId="21" applyFont="1" applyBorder="1" applyAlignment="1">
      <alignment/>
    </xf>
    <xf numFmtId="0" fontId="11" fillId="0" borderId="0" xfId="0" applyFont="1" applyAlignment="1">
      <alignment/>
    </xf>
    <xf numFmtId="1" fontId="13" fillId="0" borderId="17" xfId="0" applyNumberFormat="1" applyFont="1" applyBorder="1" applyAlignment="1">
      <alignment/>
    </xf>
    <xf numFmtId="1" fontId="0" fillId="0" borderId="13" xfId="0" applyNumberFormat="1" applyFont="1" applyBorder="1" applyAlignment="1">
      <alignment/>
    </xf>
    <xf numFmtId="1" fontId="0" fillId="0" borderId="15" xfId="0" applyNumberFormat="1" applyFont="1" applyBorder="1" applyAlignment="1">
      <alignment/>
    </xf>
    <xf numFmtId="0" fontId="1" fillId="0" borderId="7" xfId="0" applyFont="1" applyBorder="1" applyAlignment="1">
      <alignment/>
    </xf>
    <xf numFmtId="9" fontId="1" fillId="0" borderId="9" xfId="0" applyNumberFormat="1" applyFont="1" applyBorder="1" applyAlignment="1">
      <alignment/>
    </xf>
    <xf numFmtId="0" fontId="1" fillId="2" borderId="24" xfId="0" applyFont="1" applyFill="1" applyBorder="1" applyAlignment="1">
      <alignment/>
    </xf>
    <xf numFmtId="0" fontId="1" fillId="0" borderId="25" xfId="0" applyFont="1" applyFill="1" applyBorder="1" applyAlignment="1">
      <alignment/>
    </xf>
    <xf numFmtId="0" fontId="1" fillId="4" borderId="7" xfId="0" applyFont="1" applyFill="1" applyBorder="1" applyAlignment="1">
      <alignment/>
    </xf>
    <xf numFmtId="0" fontId="1" fillId="0" borderId="14" xfId="0" applyFont="1" applyBorder="1" applyAlignment="1">
      <alignment/>
    </xf>
    <xf numFmtId="1" fontId="1" fillId="0" borderId="19" xfId="0" applyNumberFormat="1" applyFont="1" applyBorder="1" applyAlignment="1">
      <alignment/>
    </xf>
    <xf numFmtId="1" fontId="1" fillId="0" borderId="15" xfId="0" applyNumberFormat="1" applyFont="1" applyBorder="1" applyAlignment="1">
      <alignment/>
    </xf>
    <xf numFmtId="0" fontId="1" fillId="0" borderId="26" xfId="0" applyFont="1" applyFill="1" applyBorder="1" applyAlignment="1">
      <alignment/>
    </xf>
    <xf numFmtId="166" fontId="1" fillId="0" borderId="27" xfId="15" applyNumberFormat="1" applyFont="1" applyFill="1" applyBorder="1" applyAlignment="1">
      <alignment/>
    </xf>
    <xf numFmtId="166" fontId="1" fillId="0" borderId="28" xfId="0" applyNumberFormat="1" applyFont="1" applyFill="1" applyBorder="1" applyAlignment="1">
      <alignment horizontal="right"/>
    </xf>
    <xf numFmtId="0" fontId="0" fillId="0" borderId="29" xfId="0" applyFont="1" applyFill="1" applyBorder="1" applyAlignment="1">
      <alignment vertical="center"/>
    </xf>
    <xf numFmtId="166" fontId="7" fillId="0" borderId="30" xfId="15" applyNumberFormat="1" applyFont="1" applyFill="1" applyBorder="1" applyAlignment="1">
      <alignment/>
    </xf>
    <xf numFmtId="166" fontId="1" fillId="0" borderId="31" xfId="15" applyNumberFormat="1" applyFont="1" applyFill="1" applyBorder="1" applyAlignment="1">
      <alignment/>
    </xf>
    <xf numFmtId="0" fontId="1" fillId="0" borderId="32" xfId="0" applyFont="1" applyBorder="1" applyAlignment="1">
      <alignment/>
    </xf>
    <xf numFmtId="44" fontId="1" fillId="0" borderId="3" xfId="17" applyFont="1" applyBorder="1" applyAlignment="1">
      <alignment/>
    </xf>
    <xf numFmtId="164" fontId="1" fillId="2" borderId="0" xfId="17" applyNumberFormat="1" applyFont="1" applyFill="1" applyBorder="1" applyAlignment="1">
      <alignment/>
    </xf>
    <xf numFmtId="164" fontId="1" fillId="2" borderId="0" xfId="0" applyNumberFormat="1" applyFont="1" applyFill="1" applyBorder="1" applyAlignment="1">
      <alignment/>
    </xf>
    <xf numFmtId="0" fontId="1" fillId="0" borderId="3" xfId="0" applyFont="1" applyBorder="1" applyAlignment="1">
      <alignment/>
    </xf>
    <xf numFmtId="164" fontId="1" fillId="0" borderId="3" xfId="17" applyNumberFormat="1" applyFont="1" applyBorder="1" applyAlignment="1">
      <alignment/>
    </xf>
    <xf numFmtId="0" fontId="1" fillId="2" borderId="33" xfId="0" applyFont="1" applyFill="1" applyBorder="1" applyAlignment="1">
      <alignment/>
    </xf>
    <xf numFmtId="0" fontId="1" fillId="2" borderId="34" xfId="0" applyFont="1" applyFill="1" applyBorder="1" applyAlignment="1">
      <alignment/>
    </xf>
    <xf numFmtId="166" fontId="7" fillId="2" borderId="34" xfId="15" applyNumberFormat="1" applyFont="1" applyFill="1" applyBorder="1" applyAlignment="1">
      <alignment/>
    </xf>
    <xf numFmtId="166" fontId="3" fillId="2" borderId="35" xfId="15" applyNumberFormat="1" applyFont="1" applyFill="1" applyBorder="1" applyAlignment="1">
      <alignment/>
    </xf>
    <xf numFmtId="0" fontId="0" fillId="0" borderId="36" xfId="0" applyFont="1" applyFill="1" applyBorder="1" applyAlignment="1">
      <alignment vertical="center"/>
    </xf>
    <xf numFmtId="0" fontId="19" fillId="0" borderId="37" xfId="0" applyFont="1" applyBorder="1" applyAlignment="1">
      <alignment/>
    </xf>
    <xf numFmtId="0" fontId="19" fillId="0" borderId="6" xfId="0" applyFont="1" applyBorder="1" applyAlignment="1">
      <alignment/>
    </xf>
    <xf numFmtId="0" fontId="0" fillId="0" borderId="38" xfId="0" applyFont="1" applyBorder="1" applyAlignment="1">
      <alignment/>
    </xf>
    <xf numFmtId="0" fontId="0" fillId="2" borderId="9" xfId="0" applyFont="1" applyFill="1" applyBorder="1" applyAlignment="1">
      <alignment/>
    </xf>
    <xf numFmtId="0" fontId="0" fillId="0" borderId="32" xfId="0" applyFont="1" applyBorder="1" applyAlignment="1">
      <alignment/>
    </xf>
    <xf numFmtId="0" fontId="0" fillId="0" borderId="39" xfId="0" applyFont="1" applyBorder="1" applyAlignment="1">
      <alignment/>
    </xf>
    <xf numFmtId="0" fontId="0" fillId="0" borderId="40" xfId="0" applyFont="1" applyBorder="1" applyAlignment="1">
      <alignment/>
    </xf>
    <xf numFmtId="0" fontId="0" fillId="2" borderId="16" xfId="0" applyFont="1" applyFill="1" applyBorder="1" applyAlignment="1">
      <alignment horizontal="left"/>
    </xf>
    <xf numFmtId="0" fontId="0" fillId="2" borderId="17" xfId="0" applyFont="1" applyFill="1" applyBorder="1" applyAlignment="1">
      <alignment/>
    </xf>
    <xf numFmtId="0" fontId="0" fillId="0" borderId="41" xfId="0" applyFont="1" applyBorder="1" applyAlignment="1">
      <alignment/>
    </xf>
    <xf numFmtId="9" fontId="0" fillId="2" borderId="17" xfId="21" applyFont="1" applyFill="1" applyBorder="1" applyAlignment="1">
      <alignment/>
    </xf>
    <xf numFmtId="166" fontId="0" fillId="2" borderId="17" xfId="15" applyNumberFormat="1" applyFont="1" applyFill="1" applyBorder="1" applyAlignment="1">
      <alignment/>
    </xf>
    <xf numFmtId="1" fontId="0" fillId="2" borderId="17" xfId="0" applyNumberFormat="1" applyFont="1" applyFill="1" applyBorder="1" applyAlignment="1">
      <alignment/>
    </xf>
    <xf numFmtId="0" fontId="0" fillId="3" borderId="7" xfId="0" applyFont="1" applyFill="1" applyBorder="1" applyAlignment="1">
      <alignment/>
    </xf>
    <xf numFmtId="0" fontId="20" fillId="2" borderId="0" xfId="0" applyFont="1" applyFill="1" applyAlignment="1">
      <alignment/>
    </xf>
    <xf numFmtId="0" fontId="20" fillId="0" borderId="32" xfId="0" applyFont="1" applyBorder="1" applyAlignment="1">
      <alignment/>
    </xf>
    <xf numFmtId="0" fontId="0" fillId="0" borderId="27" xfId="0" applyFont="1" applyBorder="1" applyAlignment="1">
      <alignment/>
    </xf>
    <xf numFmtId="0" fontId="0" fillId="0" borderId="42" xfId="0" applyFont="1" applyBorder="1" applyAlignment="1">
      <alignment/>
    </xf>
    <xf numFmtId="3" fontId="0" fillId="0" borderId="42" xfId="0" applyNumberFormat="1" applyFont="1" applyFill="1" applyBorder="1" applyAlignment="1">
      <alignment horizontal="center" vertical="center"/>
    </xf>
    <xf numFmtId="166" fontId="0" fillId="0" borderId="43" xfId="0" applyNumberFormat="1" applyFont="1" applyFill="1" applyBorder="1" applyAlignment="1">
      <alignment/>
    </xf>
    <xf numFmtId="0" fontId="0" fillId="0" borderId="30" xfId="0" applyFont="1" applyBorder="1" applyAlignment="1">
      <alignment/>
    </xf>
    <xf numFmtId="0" fontId="0" fillId="0" borderId="6" xfId="0" applyFont="1" applyFill="1" applyBorder="1" applyAlignment="1">
      <alignment/>
    </xf>
    <xf numFmtId="166" fontId="0" fillId="0" borderId="6" xfId="15" applyNumberFormat="1" applyFont="1" applyFill="1" applyBorder="1" applyAlignment="1">
      <alignment/>
    </xf>
    <xf numFmtId="0" fontId="0" fillId="0" borderId="3" xfId="0" applyFont="1" applyFill="1" applyBorder="1" applyAlignment="1">
      <alignment/>
    </xf>
    <xf numFmtId="3" fontId="0" fillId="0" borderId="3" xfId="0" applyNumberFormat="1" applyFont="1" applyFill="1" applyBorder="1" applyAlignment="1">
      <alignment/>
    </xf>
    <xf numFmtId="0" fontId="0" fillId="0" borderId="44" xfId="0" applyFont="1" applyBorder="1" applyAlignment="1">
      <alignment/>
    </xf>
    <xf numFmtId="0" fontId="0" fillId="0" borderId="45" xfId="0" applyFont="1" applyBorder="1" applyAlignment="1">
      <alignment/>
    </xf>
    <xf numFmtId="0" fontId="0" fillId="0" borderId="46" xfId="0" applyFont="1" applyBorder="1" applyAlignment="1">
      <alignment/>
    </xf>
    <xf numFmtId="0" fontId="0" fillId="0" borderId="47" xfId="0" applyFont="1" applyBorder="1" applyAlignment="1">
      <alignment/>
    </xf>
    <xf numFmtId="164" fontId="0" fillId="0" borderId="3" xfId="0" applyNumberFormat="1" applyFont="1" applyBorder="1" applyAlignment="1">
      <alignment/>
    </xf>
    <xf numFmtId="164" fontId="0" fillId="0" borderId="41" xfId="0" applyNumberFormat="1" applyFont="1" applyBorder="1" applyAlignment="1">
      <alignment/>
    </xf>
    <xf numFmtId="0" fontId="0" fillId="0" borderId="47" xfId="0" applyFont="1" applyBorder="1" applyAlignment="1">
      <alignment/>
    </xf>
    <xf numFmtId="0" fontId="0" fillId="0" borderId="34" xfId="0" applyFont="1" applyBorder="1" applyAlignment="1">
      <alignment/>
    </xf>
    <xf numFmtId="0" fontId="0" fillId="2" borderId="48" xfId="0" applyFont="1" applyFill="1" applyBorder="1" applyAlignment="1">
      <alignment/>
    </xf>
    <xf numFmtId="1" fontId="0" fillId="2" borderId="49" xfId="0" applyNumberFormat="1" applyFont="1" applyFill="1" applyBorder="1" applyAlignment="1">
      <alignment/>
    </xf>
    <xf numFmtId="164" fontId="0" fillId="2" borderId="49" xfId="17" applyNumberFormat="1" applyFont="1" applyFill="1" applyBorder="1" applyAlignment="1">
      <alignment/>
    </xf>
    <xf numFmtId="164" fontId="0" fillId="2" borderId="50" xfId="17" applyNumberFormat="1" applyFont="1" applyFill="1" applyBorder="1" applyAlignment="1">
      <alignment/>
    </xf>
    <xf numFmtId="0" fontId="0" fillId="2" borderId="19" xfId="0" applyFont="1" applyFill="1" applyBorder="1" applyAlignment="1">
      <alignment/>
    </xf>
    <xf numFmtId="166" fontId="13" fillId="2" borderId="19" xfId="15" applyNumberFormat="1" applyFont="1" applyFill="1" applyBorder="1" applyAlignment="1">
      <alignment/>
    </xf>
    <xf numFmtId="166" fontId="0" fillId="2" borderId="19" xfId="15" applyNumberFormat="1" applyFont="1" applyFill="1" applyBorder="1" applyAlignment="1">
      <alignment/>
    </xf>
    <xf numFmtId="166" fontId="0" fillId="2" borderId="51" xfId="15" applyNumberFormat="1" applyFont="1" applyFill="1" applyBorder="1" applyAlignment="1">
      <alignment/>
    </xf>
    <xf numFmtId="0" fontId="0" fillId="2" borderId="52" xfId="0" applyFont="1" applyFill="1" applyBorder="1" applyAlignment="1">
      <alignment/>
    </xf>
    <xf numFmtId="1" fontId="0" fillId="2" borderId="0" xfId="0" applyNumberFormat="1" applyFont="1" applyFill="1" applyBorder="1" applyAlignment="1">
      <alignment/>
    </xf>
    <xf numFmtId="166" fontId="0" fillId="2" borderId="0" xfId="15" applyNumberFormat="1" applyFont="1" applyFill="1" applyBorder="1" applyAlignment="1">
      <alignment/>
    </xf>
    <xf numFmtId="0" fontId="0" fillId="2" borderId="0" xfId="0" applyFont="1" applyFill="1" applyBorder="1" applyAlignment="1">
      <alignment/>
    </xf>
    <xf numFmtId="166" fontId="13" fillId="2" borderId="0" xfId="15" applyNumberFormat="1" applyFont="1" applyFill="1" applyBorder="1" applyAlignment="1">
      <alignment/>
    </xf>
    <xf numFmtId="166" fontId="0" fillId="2" borderId="53" xfId="15" applyNumberFormat="1" applyFont="1" applyFill="1" applyBorder="1" applyAlignment="1">
      <alignment/>
    </xf>
    <xf numFmtId="166" fontId="0" fillId="0" borderId="5" xfId="0" applyNumberFormat="1" applyFont="1" applyBorder="1" applyAlignment="1">
      <alignment/>
    </xf>
    <xf numFmtId="0" fontId="0" fillId="2" borderId="54" xfId="0" applyFont="1" applyFill="1" applyBorder="1" applyAlignment="1">
      <alignment/>
    </xf>
    <xf numFmtId="1" fontId="0" fillId="2" borderId="23" xfId="0" applyNumberFormat="1" applyFont="1" applyFill="1" applyBorder="1" applyAlignment="1">
      <alignment/>
    </xf>
    <xf numFmtId="166" fontId="13" fillId="2" borderId="23" xfId="15" applyNumberFormat="1" applyFont="1" applyFill="1" applyBorder="1" applyAlignment="1">
      <alignment/>
    </xf>
    <xf numFmtId="166" fontId="0" fillId="2" borderId="23" xfId="15" applyNumberFormat="1" applyFont="1" applyFill="1" applyBorder="1" applyAlignment="1">
      <alignment/>
    </xf>
    <xf numFmtId="166" fontId="0" fillId="2" borderId="55" xfId="15" applyNumberFormat="1" applyFont="1" applyFill="1" applyBorder="1" applyAlignment="1">
      <alignment/>
    </xf>
    <xf numFmtId="0" fontId="0" fillId="2" borderId="8" xfId="0" applyFont="1" applyFill="1" applyBorder="1" applyAlignment="1">
      <alignment/>
    </xf>
    <xf numFmtId="0" fontId="0" fillId="2" borderId="4" xfId="0" applyFont="1" applyFill="1" applyBorder="1" applyAlignment="1">
      <alignment/>
    </xf>
    <xf numFmtId="43" fontId="0" fillId="0" borderId="5" xfId="0" applyNumberFormat="1" applyFont="1" applyBorder="1" applyAlignment="1">
      <alignment/>
    </xf>
    <xf numFmtId="0" fontId="0" fillId="2" borderId="49" xfId="0" applyFont="1" applyFill="1" applyBorder="1" applyAlignment="1">
      <alignment/>
    </xf>
    <xf numFmtId="0" fontId="0" fillId="0" borderId="56" xfId="0" applyFont="1" applyBorder="1" applyAlignment="1">
      <alignment/>
    </xf>
    <xf numFmtId="0" fontId="0" fillId="0" borderId="57" xfId="0" applyFont="1" applyBorder="1" applyAlignment="1">
      <alignment/>
    </xf>
    <xf numFmtId="164" fontId="0" fillId="2" borderId="0" xfId="17" applyNumberFormat="1" applyFont="1" applyFill="1" applyBorder="1" applyAlignment="1">
      <alignment/>
    </xf>
    <xf numFmtId="164" fontId="0" fillId="2" borderId="53" xfId="17" applyNumberFormat="1" applyFont="1" applyFill="1" applyBorder="1" applyAlignment="1">
      <alignment/>
    </xf>
    <xf numFmtId="0" fontId="0" fillId="0" borderId="58" xfId="0" applyFont="1" applyBorder="1" applyAlignment="1">
      <alignment/>
    </xf>
    <xf numFmtId="0" fontId="0" fillId="0" borderId="59" xfId="0" applyFont="1" applyBorder="1" applyAlignment="1">
      <alignment/>
    </xf>
    <xf numFmtId="164" fontId="0" fillId="0" borderId="45" xfId="0" applyNumberFormat="1" applyFont="1" applyBorder="1" applyAlignment="1">
      <alignment/>
    </xf>
    <xf numFmtId="164" fontId="0" fillId="0" borderId="60" xfId="0" applyNumberFormat="1" applyFont="1" applyBorder="1" applyAlignment="1">
      <alignment/>
    </xf>
    <xf numFmtId="164" fontId="0" fillId="0" borderId="61" xfId="0" applyNumberFormat="1" applyFont="1" applyBorder="1" applyAlignment="1">
      <alignment/>
    </xf>
    <xf numFmtId="0" fontId="0" fillId="0" borderId="33" xfId="0" applyFont="1" applyBorder="1" applyAlignment="1">
      <alignment/>
    </xf>
    <xf numFmtId="164" fontId="0" fillId="0" borderId="34" xfId="0" applyNumberFormat="1" applyFont="1" applyBorder="1" applyAlignment="1">
      <alignment/>
    </xf>
    <xf numFmtId="164" fontId="13" fillId="0" borderId="34" xfId="0" applyNumberFormat="1" applyFont="1" applyBorder="1" applyAlignment="1">
      <alignment/>
    </xf>
    <xf numFmtId="164" fontId="0" fillId="0" borderId="35" xfId="0" applyNumberFormat="1" applyFont="1" applyBorder="1" applyAlignment="1">
      <alignment/>
    </xf>
    <xf numFmtId="0" fontId="0" fillId="0" borderId="62" xfId="0" applyFont="1" applyBorder="1" applyAlignment="1">
      <alignment/>
    </xf>
    <xf numFmtId="0" fontId="0" fillId="0" borderId="63" xfId="0" applyFont="1" applyBorder="1" applyAlignment="1">
      <alignment/>
    </xf>
    <xf numFmtId="164" fontId="0" fillId="0" borderId="63" xfId="0" applyNumberFormat="1" applyFont="1" applyBorder="1" applyAlignment="1">
      <alignment/>
    </xf>
    <xf numFmtId="164" fontId="0" fillId="0" borderId="64" xfId="0" applyNumberFormat="1" applyFont="1" applyBorder="1" applyAlignment="1">
      <alignment/>
    </xf>
    <xf numFmtId="166" fontId="0" fillId="2" borderId="49" xfId="0" applyNumberFormat="1" applyFont="1" applyFill="1" applyBorder="1" applyAlignment="1">
      <alignment/>
    </xf>
    <xf numFmtId="166" fontId="0" fillId="2" borderId="50" xfId="0" applyNumberFormat="1" applyFont="1" applyFill="1" applyBorder="1" applyAlignment="1">
      <alignment/>
    </xf>
    <xf numFmtId="164" fontId="0" fillId="2" borderId="4" xfId="17" applyNumberFormat="1" applyFont="1" applyFill="1" applyBorder="1" applyAlignment="1">
      <alignment/>
    </xf>
    <xf numFmtId="164" fontId="0" fillId="2" borderId="10" xfId="17" applyNumberFormat="1" applyFont="1" applyFill="1" applyBorder="1" applyAlignment="1">
      <alignment/>
    </xf>
    <xf numFmtId="164" fontId="0" fillId="0" borderId="32" xfId="17" applyNumberFormat="1" applyFont="1" applyBorder="1" applyAlignment="1">
      <alignment/>
    </xf>
    <xf numFmtId="166" fontId="0" fillId="2" borderId="49" xfId="15" applyNumberFormat="1" applyFont="1" applyFill="1" applyBorder="1" applyAlignment="1">
      <alignment/>
    </xf>
    <xf numFmtId="166" fontId="0" fillId="2" borderId="50" xfId="15" applyNumberFormat="1" applyFont="1" applyFill="1" applyBorder="1" applyAlignment="1">
      <alignment/>
    </xf>
    <xf numFmtId="166" fontId="0" fillId="0" borderId="5" xfId="15" applyNumberFormat="1" applyFont="1" applyBorder="1" applyAlignment="1">
      <alignment/>
    </xf>
    <xf numFmtId="166" fontId="0" fillId="0" borderId="3" xfId="15" applyNumberFormat="1" applyFont="1" applyBorder="1" applyAlignment="1">
      <alignment/>
    </xf>
    <xf numFmtId="166" fontId="0" fillId="0" borderId="41" xfId="15" applyNumberFormat="1" applyFont="1" applyBorder="1" applyAlignment="1">
      <alignment/>
    </xf>
    <xf numFmtId="166" fontId="0" fillId="2" borderId="0" xfId="15" applyNumberFormat="1" applyFont="1" applyFill="1" applyAlignment="1">
      <alignment/>
    </xf>
    <xf numFmtId="164" fontId="0" fillId="2" borderId="0" xfId="17" applyNumberFormat="1" applyFont="1" applyFill="1" applyAlignment="1">
      <alignment/>
    </xf>
    <xf numFmtId="0" fontId="0" fillId="2" borderId="10" xfId="0" applyFont="1" applyFill="1" applyBorder="1" applyAlignment="1">
      <alignment/>
    </xf>
    <xf numFmtId="164" fontId="0" fillId="0" borderId="6" xfId="17" applyNumberFormat="1" applyFont="1" applyBorder="1" applyAlignment="1">
      <alignment/>
    </xf>
    <xf numFmtId="164" fontId="0" fillId="0" borderId="3" xfId="17" applyNumberFormat="1" applyFont="1" applyBorder="1" applyAlignment="1">
      <alignment/>
    </xf>
    <xf numFmtId="164" fontId="0" fillId="0" borderId="5" xfId="17" applyNumberFormat="1" applyFont="1" applyBorder="1" applyAlignment="1">
      <alignment/>
    </xf>
    <xf numFmtId="9" fontId="0" fillId="0" borderId="3" xfId="0" applyNumberFormat="1" applyFont="1" applyBorder="1" applyAlignment="1">
      <alignment/>
    </xf>
    <xf numFmtId="0" fontId="21" fillId="0" borderId="3" xfId="0" applyFont="1" applyBorder="1" applyAlignment="1">
      <alignment/>
    </xf>
    <xf numFmtId="0" fontId="1" fillId="0" borderId="32" xfId="0" applyFont="1" applyFill="1" applyBorder="1" applyAlignment="1">
      <alignment/>
    </xf>
    <xf numFmtId="0" fontId="0" fillId="0" borderId="59" xfId="0" applyFont="1" applyFill="1" applyBorder="1" applyAlignment="1">
      <alignment horizontal="left" wrapText="1"/>
    </xf>
    <xf numFmtId="0" fontId="2" fillId="0" borderId="45" xfId="0" applyFont="1" applyFill="1" applyBorder="1" applyAlignment="1">
      <alignment wrapText="1"/>
    </xf>
    <xf numFmtId="164" fontId="2" fillId="0" borderId="45" xfId="17" applyNumberFormat="1" applyFont="1" applyBorder="1" applyAlignment="1">
      <alignment/>
    </xf>
    <xf numFmtId="164" fontId="0" fillId="0" borderId="45" xfId="17" applyNumberFormat="1" applyFont="1" applyBorder="1" applyAlignment="1">
      <alignment/>
    </xf>
    <xf numFmtId="0" fontId="0" fillId="0" borderId="47" xfId="0" applyFont="1" applyFill="1" applyBorder="1" applyAlignment="1">
      <alignment horizontal="left" wrapText="1"/>
    </xf>
    <xf numFmtId="0" fontId="0" fillId="0" borderId="3" xfId="0" applyFont="1" applyFill="1" applyBorder="1" applyAlignment="1">
      <alignment horizontal="left" wrapText="1"/>
    </xf>
    <xf numFmtId="164" fontId="13" fillId="0" borderId="3" xfId="17" applyNumberFormat="1" applyFont="1" applyBorder="1" applyAlignment="1">
      <alignment/>
    </xf>
    <xf numFmtId="164" fontId="13" fillId="0" borderId="41" xfId="17" applyNumberFormat="1" applyFont="1" applyBorder="1" applyAlignment="1">
      <alignment/>
    </xf>
    <xf numFmtId="0" fontId="2" fillId="0" borderId="3" xfId="0" applyFont="1" applyFill="1" applyBorder="1" applyAlignment="1">
      <alignment wrapText="1"/>
    </xf>
    <xf numFmtId="164" fontId="2" fillId="0" borderId="3" xfId="17" applyNumberFormat="1" applyFont="1" applyBorder="1" applyAlignment="1">
      <alignment/>
    </xf>
    <xf numFmtId="164" fontId="0" fillId="0" borderId="41" xfId="17" applyNumberFormat="1" applyFont="1" applyBorder="1" applyAlignment="1">
      <alignment/>
    </xf>
    <xf numFmtId="0" fontId="0" fillId="0" borderId="33" xfId="0" applyFont="1" applyFill="1" applyBorder="1" applyAlignment="1">
      <alignment horizontal="left" wrapText="1"/>
    </xf>
    <xf numFmtId="164" fontId="0" fillId="0" borderId="34" xfId="17" applyNumberFormat="1" applyFont="1" applyBorder="1" applyAlignment="1">
      <alignment/>
    </xf>
    <xf numFmtId="164" fontId="0" fillId="0" borderId="65" xfId="17" applyNumberFormat="1" applyFont="1" applyBorder="1" applyAlignment="1">
      <alignment/>
    </xf>
    <xf numFmtId="0" fontId="0" fillId="0" borderId="66" xfId="0" applyFont="1" applyFill="1" applyBorder="1" applyAlignment="1">
      <alignment horizontal="left" wrapText="1"/>
    </xf>
    <xf numFmtId="0" fontId="1" fillId="2" borderId="48" xfId="0" applyFont="1" applyFill="1" applyBorder="1" applyAlignment="1">
      <alignment wrapText="1"/>
    </xf>
    <xf numFmtId="0" fontId="0" fillId="2" borderId="52" xfId="0" applyFont="1" applyFill="1" applyBorder="1" applyAlignment="1">
      <alignment wrapText="1"/>
    </xf>
    <xf numFmtId="0" fontId="0" fillId="2" borderId="52" xfId="0" applyFont="1" applyFill="1" applyBorder="1" applyAlignment="1">
      <alignment horizontal="left" wrapText="1"/>
    </xf>
    <xf numFmtId="0" fontId="1" fillId="2" borderId="67" xfId="0" applyFont="1" applyFill="1" applyBorder="1" applyAlignment="1">
      <alignment horizontal="left" wrapText="1"/>
    </xf>
    <xf numFmtId="0" fontId="1" fillId="2" borderId="48" xfId="0" applyFont="1" applyFill="1" applyBorder="1" applyAlignment="1">
      <alignment horizontal="left" wrapText="1"/>
    </xf>
    <xf numFmtId="0" fontId="1" fillId="2" borderId="0" xfId="0" applyFont="1" applyFill="1" applyBorder="1" applyAlignment="1">
      <alignment horizontal="left" wrapText="1"/>
    </xf>
    <xf numFmtId="0" fontId="1" fillId="2" borderId="48" xfId="0" applyFont="1" applyFill="1" applyBorder="1" applyAlignment="1">
      <alignment/>
    </xf>
    <xf numFmtId="9" fontId="1" fillId="4" borderId="9" xfId="0" applyNumberFormat="1" applyFont="1" applyFill="1" applyBorder="1" applyAlignment="1">
      <alignment/>
    </xf>
    <xf numFmtId="0" fontId="0" fillId="0" borderId="37" xfId="0" applyFont="1" applyBorder="1" applyAlignment="1">
      <alignment/>
    </xf>
    <xf numFmtId="164" fontId="0" fillId="0" borderId="37" xfId="17" applyNumberFormat="1" applyFont="1" applyBorder="1" applyAlignment="1">
      <alignment/>
    </xf>
    <xf numFmtId="0" fontId="1" fillId="0" borderId="68" xfId="0" applyFont="1" applyBorder="1" applyAlignment="1">
      <alignment/>
    </xf>
    <xf numFmtId="0" fontId="0" fillId="0" borderId="69" xfId="0" applyFont="1" applyBorder="1" applyAlignment="1">
      <alignment/>
    </xf>
    <xf numFmtId="0" fontId="1" fillId="0" borderId="69" xfId="0" applyFont="1" applyBorder="1" applyAlignment="1">
      <alignment/>
    </xf>
    <xf numFmtId="0" fontId="1" fillId="0" borderId="70" xfId="0" applyFont="1" applyBorder="1" applyAlignment="1">
      <alignment/>
    </xf>
    <xf numFmtId="0" fontId="0" fillId="0" borderId="71" xfId="0" applyFont="1" applyBorder="1" applyAlignment="1">
      <alignment/>
    </xf>
    <xf numFmtId="164" fontId="0" fillId="0" borderId="72" xfId="17" applyNumberFormat="1" applyFont="1" applyBorder="1" applyAlignment="1">
      <alignment/>
    </xf>
    <xf numFmtId="164" fontId="1" fillId="0" borderId="72" xfId="17" applyNumberFormat="1" applyFont="1" applyBorder="1" applyAlignment="1">
      <alignment/>
    </xf>
    <xf numFmtId="0" fontId="0" fillId="0" borderId="73" xfId="0" applyFont="1" applyBorder="1" applyAlignment="1">
      <alignment/>
    </xf>
    <xf numFmtId="0" fontId="0" fillId="0" borderId="74" xfId="0" applyFont="1" applyBorder="1" applyAlignment="1">
      <alignment/>
    </xf>
    <xf numFmtId="164" fontId="0" fillId="0" borderId="74" xfId="0" applyNumberFormat="1" applyFont="1" applyBorder="1" applyAlignment="1">
      <alignment/>
    </xf>
    <xf numFmtId="164" fontId="0" fillId="0" borderId="74" xfId="17" applyNumberFormat="1" applyFont="1" applyBorder="1" applyAlignment="1">
      <alignment/>
    </xf>
    <xf numFmtId="164" fontId="0" fillId="0" borderId="75" xfId="17" applyNumberFormat="1" applyFont="1" applyBorder="1" applyAlignment="1">
      <alignment/>
    </xf>
    <xf numFmtId="0" fontId="0" fillId="0" borderId="76" xfId="0" applyFont="1" applyBorder="1" applyAlignment="1">
      <alignment/>
    </xf>
    <xf numFmtId="0" fontId="2" fillId="0" borderId="77" xfId="0" applyFont="1" applyBorder="1" applyAlignment="1">
      <alignment/>
    </xf>
    <xf numFmtId="166" fontId="2" fillId="0" borderId="77" xfId="15" applyNumberFormat="1" applyFont="1" applyBorder="1" applyAlignment="1">
      <alignment/>
    </xf>
    <xf numFmtId="0" fontId="0" fillId="0" borderId="77" xfId="0" applyFont="1" applyBorder="1" applyAlignment="1">
      <alignment/>
    </xf>
    <xf numFmtId="0" fontId="0" fillId="0" borderId="78" xfId="0" applyFont="1" applyBorder="1" applyAlignment="1">
      <alignment/>
    </xf>
    <xf numFmtId="0" fontId="1" fillId="0" borderId="77" xfId="0" applyFont="1" applyBorder="1" applyAlignment="1">
      <alignment/>
    </xf>
    <xf numFmtId="166" fontId="1" fillId="0" borderId="77" xfId="15" applyNumberFormat="1" applyFont="1" applyBorder="1" applyAlignment="1">
      <alignment/>
    </xf>
    <xf numFmtId="0" fontId="1" fillId="0" borderId="78" xfId="0" applyFont="1" applyBorder="1" applyAlignment="1">
      <alignment/>
    </xf>
    <xf numFmtId="9" fontId="0" fillId="3" borderId="9" xfId="0" applyNumberFormat="1" applyFont="1" applyFill="1" applyBorder="1" applyAlignment="1">
      <alignment horizontal="right"/>
    </xf>
    <xf numFmtId="0" fontId="1" fillId="2" borderId="79" xfId="0" applyFont="1" applyFill="1" applyBorder="1" applyAlignment="1">
      <alignment/>
    </xf>
    <xf numFmtId="0" fontId="1" fillId="3" borderId="8" xfId="0" applyFont="1" applyFill="1" applyBorder="1" applyAlignment="1">
      <alignment/>
    </xf>
    <xf numFmtId="9" fontId="1" fillId="3" borderId="10" xfId="0" applyNumberFormat="1" applyFont="1" applyFill="1" applyBorder="1" applyAlignment="1">
      <alignment horizontal="right"/>
    </xf>
    <xf numFmtId="0" fontId="1" fillId="0" borderId="80" xfId="0" applyFont="1" applyFill="1" applyBorder="1" applyAlignment="1">
      <alignment vertical="center"/>
    </xf>
    <xf numFmtId="0" fontId="1" fillId="0" borderId="81" xfId="0" applyFont="1" applyBorder="1" applyAlignment="1">
      <alignment/>
    </xf>
    <xf numFmtId="0" fontId="1" fillId="0" borderId="82" xfId="0" applyFont="1" applyBorder="1" applyAlignment="1">
      <alignment/>
    </xf>
    <xf numFmtId="44" fontId="1" fillId="0" borderId="32" xfId="17" applyFont="1" applyBorder="1" applyAlignment="1">
      <alignment/>
    </xf>
    <xf numFmtId="44" fontId="1" fillId="0" borderId="79" xfId="17" applyFont="1" applyBorder="1" applyAlignment="1">
      <alignment/>
    </xf>
    <xf numFmtId="0" fontId="1" fillId="0" borderId="83" xfId="0" applyFont="1" applyBorder="1" applyAlignment="1">
      <alignment/>
    </xf>
    <xf numFmtId="0" fontId="1" fillId="0" borderId="84" xfId="0" applyFont="1" applyBorder="1" applyAlignment="1">
      <alignment/>
    </xf>
    <xf numFmtId="0" fontId="2" fillId="0" borderId="81" xfId="0" applyFont="1" applyBorder="1" applyAlignment="1">
      <alignment/>
    </xf>
    <xf numFmtId="166" fontId="2" fillId="0" borderId="81" xfId="15" applyNumberFormat="1" applyFont="1" applyBorder="1" applyAlignment="1">
      <alignment/>
    </xf>
    <xf numFmtId="0" fontId="1" fillId="0" borderId="85" xfId="0" applyFont="1" applyBorder="1" applyAlignment="1">
      <alignment/>
    </xf>
    <xf numFmtId="0" fontId="0" fillId="0" borderId="86" xfId="0" applyFont="1" applyBorder="1" applyAlignment="1">
      <alignment/>
    </xf>
    <xf numFmtId="0" fontId="0" fillId="2" borderId="84" xfId="0" applyFont="1" applyFill="1" applyBorder="1" applyAlignment="1">
      <alignment/>
    </xf>
    <xf numFmtId="0" fontId="0" fillId="2" borderId="87" xfId="0" applyFont="1" applyFill="1" applyBorder="1" applyAlignment="1">
      <alignment/>
    </xf>
    <xf numFmtId="9" fontId="0" fillId="2" borderId="88" xfId="21" applyFont="1" applyFill="1" applyBorder="1" applyAlignment="1">
      <alignment/>
    </xf>
    <xf numFmtId="0" fontId="20" fillId="0" borderId="3" xfId="0" applyFont="1" applyBorder="1" applyAlignment="1">
      <alignment/>
    </xf>
    <xf numFmtId="166" fontId="0" fillId="2" borderId="88" xfId="15" applyNumberFormat="1" applyFont="1" applyFill="1" applyBorder="1" applyAlignment="1">
      <alignment/>
    </xf>
    <xf numFmtId="1" fontId="0" fillId="2" borderId="88" xfId="0" applyNumberFormat="1" applyFont="1" applyFill="1" applyBorder="1" applyAlignment="1">
      <alignment/>
    </xf>
    <xf numFmtId="0" fontId="20" fillId="2" borderId="5" xfId="0" applyFont="1" applyFill="1" applyBorder="1" applyAlignment="1">
      <alignment/>
    </xf>
    <xf numFmtId="0" fontId="0" fillId="2" borderId="3" xfId="0" applyFont="1" applyFill="1" applyBorder="1" applyAlignment="1">
      <alignment/>
    </xf>
    <xf numFmtId="9" fontId="20" fillId="2" borderId="0" xfId="0" applyNumberFormat="1" applyFont="1" applyFill="1" applyAlignment="1">
      <alignment horizontal="left"/>
    </xf>
    <xf numFmtId="0" fontId="20" fillId="2" borderId="58" xfId="0" applyFont="1" applyFill="1" applyBorder="1" applyAlignment="1">
      <alignment/>
    </xf>
    <xf numFmtId="0" fontId="0" fillId="2" borderId="32" xfId="0" applyFont="1" applyFill="1" applyBorder="1" applyAlignment="1">
      <alignment/>
    </xf>
    <xf numFmtId="166" fontId="0" fillId="2" borderId="36" xfId="15" applyNumberFormat="1" applyFont="1" applyFill="1" applyBorder="1" applyAlignment="1">
      <alignment/>
    </xf>
    <xf numFmtId="166" fontId="0" fillId="2" borderId="89" xfId="0" applyNumberFormat="1" applyFont="1" applyFill="1" applyBorder="1" applyAlignment="1">
      <alignment/>
    </xf>
    <xf numFmtId="3" fontId="0" fillId="2" borderId="3" xfId="0" applyNumberFormat="1" applyFont="1" applyFill="1" applyBorder="1" applyAlignment="1">
      <alignment vertical="center"/>
    </xf>
    <xf numFmtId="0" fontId="0" fillId="0" borderId="81" xfId="0" applyFont="1" applyBorder="1" applyAlignment="1">
      <alignment/>
    </xf>
    <xf numFmtId="0" fontId="0" fillId="0" borderId="90" xfId="0" applyFont="1" applyBorder="1" applyAlignment="1">
      <alignment/>
    </xf>
    <xf numFmtId="164" fontId="0" fillId="0" borderId="72" xfId="0" applyNumberFormat="1" applyFont="1" applyBorder="1" applyAlignment="1">
      <alignment/>
    </xf>
    <xf numFmtId="164" fontId="0" fillId="0" borderId="5" xfId="0" applyNumberFormat="1" applyFont="1" applyBorder="1" applyAlignment="1">
      <alignment/>
    </xf>
    <xf numFmtId="0" fontId="0" fillId="0" borderId="83" xfId="0" applyFont="1" applyBorder="1" applyAlignment="1">
      <alignment/>
    </xf>
    <xf numFmtId="0" fontId="0" fillId="0" borderId="82" xfId="0" applyFont="1" applyBorder="1" applyAlignment="1">
      <alignment/>
    </xf>
    <xf numFmtId="0" fontId="0" fillId="0" borderId="68" xfId="0" applyFont="1" applyBorder="1" applyAlignment="1">
      <alignment/>
    </xf>
    <xf numFmtId="164" fontId="0" fillId="0" borderId="69" xfId="0" applyNumberFormat="1" applyFont="1" applyBorder="1" applyAlignment="1">
      <alignment/>
    </xf>
    <xf numFmtId="164" fontId="0" fillId="0" borderId="70" xfId="0" applyNumberFormat="1" applyFont="1" applyBorder="1" applyAlignment="1">
      <alignment/>
    </xf>
    <xf numFmtId="164" fontId="0" fillId="0" borderId="75" xfId="0" applyNumberFormat="1" applyFont="1" applyBorder="1" applyAlignment="1">
      <alignment/>
    </xf>
    <xf numFmtId="0" fontId="0" fillId="0" borderId="91" xfId="0" applyFont="1" applyBorder="1" applyAlignment="1">
      <alignment/>
    </xf>
    <xf numFmtId="164" fontId="0" fillId="0" borderId="81" xfId="17" applyNumberFormat="1" applyFont="1" applyBorder="1" applyAlignment="1">
      <alignment/>
    </xf>
    <xf numFmtId="164" fontId="0" fillId="0" borderId="82" xfId="17" applyNumberFormat="1" applyFont="1" applyBorder="1" applyAlignment="1">
      <alignment/>
    </xf>
    <xf numFmtId="0" fontId="1" fillId="0" borderId="91" xfId="0" applyFont="1" applyFill="1" applyBorder="1" applyAlignment="1">
      <alignment/>
    </xf>
    <xf numFmtId="0" fontId="1" fillId="0" borderId="81" xfId="0" applyFont="1" applyFill="1" applyBorder="1" applyAlignment="1">
      <alignment/>
    </xf>
    <xf numFmtId="0" fontId="0" fillId="0" borderId="92" xfId="0" applyFont="1" applyFill="1" applyBorder="1" applyAlignment="1">
      <alignment horizontal="left" wrapText="1"/>
    </xf>
    <xf numFmtId="0" fontId="2" fillId="0" borderId="6" xfId="0" applyFont="1" applyFill="1" applyBorder="1" applyAlignment="1">
      <alignment wrapText="1"/>
    </xf>
    <xf numFmtId="0" fontId="2" fillId="0" borderId="6" xfId="0" applyFont="1" applyFill="1" applyBorder="1" applyAlignment="1">
      <alignment/>
    </xf>
    <xf numFmtId="164" fontId="2" fillId="0" borderId="6" xfId="17" applyNumberFormat="1" applyFont="1" applyBorder="1" applyAlignment="1">
      <alignment/>
    </xf>
    <xf numFmtId="0" fontId="0" fillId="0" borderId="71" xfId="0" applyFont="1" applyFill="1" applyBorder="1" applyAlignment="1">
      <alignment horizontal="left" wrapText="1"/>
    </xf>
    <xf numFmtId="164" fontId="13" fillId="0" borderId="72" xfId="17" applyNumberFormat="1" applyFont="1" applyBorder="1" applyAlignment="1">
      <alignment/>
    </xf>
    <xf numFmtId="0" fontId="2" fillId="0" borderId="3" xfId="0" applyFont="1" applyFill="1" applyBorder="1" applyAlignment="1">
      <alignment/>
    </xf>
    <xf numFmtId="0" fontId="0" fillId="0" borderId="73" xfId="0" applyFont="1" applyFill="1" applyBorder="1" applyAlignment="1">
      <alignment horizontal="left" wrapText="1"/>
    </xf>
    <xf numFmtId="0" fontId="0" fillId="0" borderId="74" xfId="0" applyFont="1" applyFill="1" applyBorder="1" applyAlignment="1">
      <alignment/>
    </xf>
    <xf numFmtId="0" fontId="0" fillId="0" borderId="6" xfId="0" applyFont="1" applyFill="1" applyBorder="1" applyAlignment="1">
      <alignment horizontal="left" wrapText="1"/>
    </xf>
    <xf numFmtId="0" fontId="1" fillId="2" borderId="49" xfId="0" applyFont="1" applyFill="1" applyBorder="1" applyAlignment="1">
      <alignment wrapText="1"/>
    </xf>
    <xf numFmtId="0" fontId="0" fillId="2" borderId="0" xfId="0" applyFont="1" applyFill="1" applyBorder="1" applyAlignment="1">
      <alignment wrapText="1"/>
    </xf>
    <xf numFmtId="0" fontId="0" fillId="2" borderId="0" xfId="0" applyFont="1" applyFill="1" applyBorder="1" applyAlignment="1">
      <alignment horizontal="left" wrapText="1"/>
    </xf>
    <xf numFmtId="0" fontId="1" fillId="2" borderId="8" xfId="0" applyFont="1" applyFill="1" applyBorder="1" applyAlignment="1">
      <alignment horizontal="left" wrapText="1"/>
    </xf>
    <xf numFmtId="0" fontId="1" fillId="2" borderId="4" xfId="0" applyFont="1" applyFill="1" applyBorder="1" applyAlignment="1">
      <alignment horizontal="left" wrapText="1"/>
    </xf>
    <xf numFmtId="0" fontId="1" fillId="2" borderId="49" xfId="0" applyFont="1" applyFill="1" applyBorder="1" applyAlignment="1">
      <alignment horizontal="left" wrapText="1"/>
    </xf>
    <xf numFmtId="0" fontId="0" fillId="0" borderId="39" xfId="0" applyFont="1" applyFill="1" applyBorder="1" applyAlignment="1">
      <alignment vertical="center" wrapText="1"/>
    </xf>
    <xf numFmtId="0" fontId="0" fillId="0" borderId="93" xfId="0" applyFont="1" applyFill="1" applyBorder="1" applyAlignment="1">
      <alignment vertical="center" wrapText="1"/>
    </xf>
    <xf numFmtId="2" fontId="11" fillId="0" borderId="93" xfId="0" applyNumberFormat="1" applyFont="1" applyFill="1" applyBorder="1" applyAlignment="1">
      <alignment horizontal="left" vertical="center" wrapText="1"/>
    </xf>
    <xf numFmtId="0" fontId="0" fillId="0" borderId="94" xfId="0" applyFont="1" applyFill="1" applyBorder="1" applyAlignment="1">
      <alignment vertical="center" wrapText="1"/>
    </xf>
    <xf numFmtId="0" fontId="0" fillId="0" borderId="0" xfId="0" applyFont="1" applyFill="1" applyBorder="1" applyAlignment="1">
      <alignment vertical="center" wrapText="1"/>
    </xf>
    <xf numFmtId="0" fontId="26" fillId="0" borderId="0" xfId="0" applyFont="1" applyFill="1" applyBorder="1" applyAlignment="1">
      <alignment horizontal="right" vertical="center" wrapText="1"/>
    </xf>
    <xf numFmtId="0" fontId="27" fillId="0" borderId="0" xfId="0" applyFont="1" applyFill="1" applyBorder="1" applyAlignment="1">
      <alignment vertical="center" wrapText="1"/>
    </xf>
    <xf numFmtId="0" fontId="27"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9" fillId="0" borderId="0" xfId="20" applyFont="1" applyFill="1" applyBorder="1" applyAlignment="1">
      <alignment vertical="center" wrapText="1"/>
    </xf>
    <xf numFmtId="0" fontId="10" fillId="0" borderId="94" xfId="0" applyFont="1" applyFill="1" applyBorder="1" applyAlignment="1">
      <alignment vertical="center" wrapText="1"/>
    </xf>
    <xf numFmtId="0" fontId="29" fillId="0" borderId="0" xfId="0" applyFont="1" applyFill="1" applyBorder="1" applyAlignment="1">
      <alignment vertical="center" wrapText="1"/>
    </xf>
    <xf numFmtId="0" fontId="10" fillId="0" borderId="0" xfId="0" applyFont="1" applyFill="1" applyBorder="1" applyAlignment="1">
      <alignment vertical="center" wrapText="1"/>
    </xf>
    <xf numFmtId="0" fontId="27" fillId="0" borderId="94" xfId="0" applyFont="1" applyFill="1" applyBorder="1" applyAlignment="1">
      <alignment vertical="center" wrapText="1"/>
    </xf>
    <xf numFmtId="0" fontId="0" fillId="0" borderId="95" xfId="0" applyFont="1" applyFill="1" applyBorder="1" applyAlignment="1">
      <alignment vertical="center" wrapText="1"/>
    </xf>
    <xf numFmtId="0" fontId="0" fillId="0" borderId="96" xfId="0" applyFont="1" applyFill="1" applyBorder="1" applyAlignment="1">
      <alignment vertical="center" wrapText="1"/>
    </xf>
    <xf numFmtId="0" fontId="0" fillId="0" borderId="97" xfId="0" applyFont="1" applyFill="1" applyBorder="1" applyAlignment="1">
      <alignment vertical="center" wrapText="1"/>
    </xf>
    <xf numFmtId="14" fontId="0" fillId="0" borderId="98" xfId="0" applyNumberFormat="1" applyFont="1" applyFill="1" applyBorder="1" applyAlignment="1">
      <alignment horizontal="left" vertical="center" wrapText="1"/>
    </xf>
    <xf numFmtId="0" fontId="0" fillId="0" borderId="96" xfId="0" applyFont="1" applyFill="1" applyBorder="1" applyAlignment="1">
      <alignment horizontal="left" vertical="center" wrapText="1"/>
    </xf>
    <xf numFmtId="0" fontId="0" fillId="0" borderId="98" xfId="0" applyNumberFormat="1" applyFont="1" applyFill="1" applyBorder="1" applyAlignment="1">
      <alignment vertical="center" wrapText="1"/>
    </xf>
    <xf numFmtId="0" fontId="0" fillId="0" borderId="99" xfId="0" applyFont="1" applyFill="1" applyBorder="1" applyAlignment="1">
      <alignment vertical="center" wrapText="1"/>
    </xf>
    <xf numFmtId="0" fontId="0" fillId="0" borderId="100" xfId="0" applyFont="1" applyFill="1" applyBorder="1" applyAlignment="1">
      <alignment vertical="center" wrapText="1"/>
    </xf>
    <xf numFmtId="0" fontId="0" fillId="0" borderId="98" xfId="0" applyFont="1" applyFill="1" applyBorder="1" applyAlignment="1">
      <alignment vertical="center" wrapText="1"/>
    </xf>
    <xf numFmtId="0" fontId="0" fillId="0" borderId="101" xfId="0" applyFont="1" applyFill="1" applyBorder="1" applyAlignment="1">
      <alignment vertical="center" wrapText="1"/>
    </xf>
    <xf numFmtId="0" fontId="0" fillId="0" borderId="102" xfId="0" applyFont="1" applyFill="1" applyBorder="1" applyAlignment="1">
      <alignment vertical="center" wrapText="1"/>
    </xf>
    <xf numFmtId="0" fontId="0" fillId="0" borderId="103" xfId="0" applyFont="1" applyFill="1" applyBorder="1" applyAlignment="1">
      <alignment vertical="center" wrapText="1"/>
    </xf>
    <xf numFmtId="0" fontId="9" fillId="0" borderId="98" xfId="20" applyFont="1" applyFill="1" applyBorder="1" applyAlignment="1">
      <alignment vertical="center" wrapText="1"/>
    </xf>
    <xf numFmtId="0" fontId="0" fillId="0" borderId="104" xfId="0" applyFont="1" applyFill="1" applyBorder="1" applyAlignment="1">
      <alignment vertical="center" wrapText="1"/>
    </xf>
    <xf numFmtId="0" fontId="0" fillId="0" borderId="105" xfId="0" applyFont="1" applyFill="1" applyBorder="1" applyAlignment="1">
      <alignment vertical="center" wrapText="1"/>
    </xf>
    <xf numFmtId="0" fontId="0" fillId="0" borderId="106" xfId="0" applyFont="1" applyFill="1" applyBorder="1" applyAlignment="1">
      <alignment vertical="center" wrapText="1"/>
    </xf>
    <xf numFmtId="0" fontId="1" fillId="0" borderId="107" xfId="0" applyFont="1" applyFill="1" applyBorder="1" applyAlignment="1">
      <alignment horizontal="center" vertical="center" wrapText="1"/>
    </xf>
    <xf numFmtId="9" fontId="0" fillId="0" borderId="0" xfId="0" applyNumberFormat="1" applyFont="1" applyFill="1" applyBorder="1" applyAlignment="1">
      <alignment horizontal="center" vertical="center"/>
    </xf>
    <xf numFmtId="0" fontId="0" fillId="0" borderId="0" xfId="0" applyFill="1" applyBorder="1" applyAlignment="1">
      <alignment vertical="center"/>
    </xf>
    <xf numFmtId="0" fontId="25" fillId="0" borderId="0" xfId="0" applyFont="1" applyFill="1" applyBorder="1" applyAlignment="1">
      <alignment horizontal="left" vertical="center" wrapText="1"/>
    </xf>
    <xf numFmtId="0" fontId="0" fillId="0" borderId="0" xfId="0" applyFont="1" applyFill="1" applyBorder="1" applyAlignment="1">
      <alignment vertical="center"/>
    </xf>
    <xf numFmtId="0" fontId="1" fillId="0" borderId="0" xfId="0" applyFont="1" applyFill="1" applyBorder="1" applyAlignment="1">
      <alignment vertical="center"/>
    </xf>
    <xf numFmtId="0" fontId="13" fillId="0" borderId="0" xfId="20" applyFont="1" applyFill="1" applyBorder="1" applyAlignment="1">
      <alignment vertical="center"/>
    </xf>
    <xf numFmtId="0" fontId="7" fillId="0" borderId="108" xfId="0" applyFont="1" applyFill="1" applyBorder="1" applyAlignment="1">
      <alignment horizontal="center" vertical="center" wrapText="1"/>
    </xf>
    <xf numFmtId="0" fontId="0" fillId="0" borderId="108" xfId="0" applyFont="1" applyFill="1" applyBorder="1" applyAlignment="1">
      <alignment horizontal="center" vertical="center" wrapText="1"/>
    </xf>
    <xf numFmtId="0" fontId="0" fillId="0" borderId="109" xfId="0" applyFill="1" applyBorder="1" applyAlignment="1">
      <alignment vertical="center"/>
    </xf>
    <xf numFmtId="0" fontId="0" fillId="0" borderId="0" xfId="0" applyFill="1" applyBorder="1" applyAlignment="1">
      <alignment horizontal="left" vertical="center" wrapText="1"/>
    </xf>
    <xf numFmtId="2" fontId="0" fillId="0" borderId="0" xfId="0" applyNumberFormat="1" applyFill="1" applyBorder="1" applyAlignment="1">
      <alignment vertical="center"/>
    </xf>
    <xf numFmtId="9" fontId="0" fillId="0" borderId="0" xfId="0" applyNumberFormat="1" applyFill="1" applyBorder="1" applyAlignment="1">
      <alignment vertical="center"/>
    </xf>
    <xf numFmtId="0" fontId="1" fillId="0" borderId="0" xfId="0" applyFont="1" applyFill="1" applyBorder="1" applyAlignment="1">
      <alignment horizontal="right" vertical="center"/>
    </xf>
    <xf numFmtId="9" fontId="0" fillId="0" borderId="0" xfId="0" applyNumberFormat="1" applyFill="1" applyBorder="1" applyAlignment="1">
      <alignment horizontal="center" vertical="center"/>
    </xf>
    <xf numFmtId="10" fontId="0" fillId="0" borderId="0" xfId="0" applyNumberFormat="1" applyFill="1" applyBorder="1" applyAlignment="1">
      <alignment vertical="center"/>
    </xf>
    <xf numFmtId="2" fontId="1" fillId="0" borderId="0" xfId="0" applyNumberFormat="1" applyFont="1" applyFill="1" applyBorder="1" applyAlignment="1">
      <alignment vertical="center"/>
    </xf>
    <xf numFmtId="2" fontId="1" fillId="0" borderId="0" xfId="0" applyNumberFormat="1" applyFont="1" applyFill="1" applyBorder="1" applyAlignment="1">
      <alignment horizontal="right" vertical="center"/>
    </xf>
    <xf numFmtId="2" fontId="0" fillId="0" borderId="0" xfId="0" applyNumberFormat="1" applyFont="1" applyFill="1" applyBorder="1" applyAlignment="1">
      <alignment vertical="center"/>
    </xf>
    <xf numFmtId="2" fontId="0" fillId="0" borderId="0" xfId="0" applyNumberFormat="1" applyFont="1" applyFill="1" applyBorder="1" applyAlignment="1">
      <alignment vertical="center"/>
    </xf>
    <xf numFmtId="2" fontId="19" fillId="0" borderId="0" xfId="0" applyNumberFormat="1" applyFont="1" applyFill="1" applyBorder="1" applyAlignment="1">
      <alignment vertical="center"/>
    </xf>
    <xf numFmtId="10" fontId="19" fillId="0" borderId="0" xfId="0" applyNumberFormat="1" applyFont="1" applyFill="1" applyBorder="1" applyAlignment="1">
      <alignment vertical="center"/>
    </xf>
    <xf numFmtId="0" fontId="19" fillId="0" borderId="0" xfId="0" applyFont="1" applyFill="1" applyBorder="1" applyAlignment="1">
      <alignment vertical="center"/>
    </xf>
    <xf numFmtId="10" fontId="0" fillId="0" borderId="0" xfId="0" applyNumberFormat="1" applyFont="1" applyFill="1" applyBorder="1" applyAlignment="1">
      <alignment horizontal="right" vertical="center"/>
    </xf>
    <xf numFmtId="10" fontId="0" fillId="0" borderId="0" xfId="0" applyNumberFormat="1" applyFont="1" applyFill="1" applyBorder="1" applyAlignment="1">
      <alignment vertical="center"/>
    </xf>
    <xf numFmtId="43" fontId="0" fillId="0" borderId="0" xfId="0" applyNumberFormat="1" applyFill="1" applyBorder="1" applyAlignment="1">
      <alignment vertical="center"/>
    </xf>
    <xf numFmtId="172" fontId="0" fillId="0" borderId="0" xfId="0" applyNumberFormat="1" applyFill="1" applyBorder="1" applyAlignment="1">
      <alignment vertical="center"/>
    </xf>
    <xf numFmtId="2" fontId="0" fillId="0" borderId="0" xfId="17" applyNumberFormat="1" applyFont="1" applyFill="1" applyBorder="1" applyAlignment="1">
      <alignment vertical="center"/>
    </xf>
    <xf numFmtId="0" fontId="0" fillId="0" borderId="0" xfId="0" applyFont="1" applyFill="1" applyBorder="1" applyAlignment="1">
      <alignment vertical="center"/>
    </xf>
    <xf numFmtId="44" fontId="0" fillId="0" borderId="0" xfId="17" applyFont="1" applyFill="1" applyBorder="1" applyAlignment="1">
      <alignment vertical="center"/>
    </xf>
    <xf numFmtId="44" fontId="0" fillId="0" borderId="0" xfId="17" applyFill="1" applyBorder="1" applyAlignment="1">
      <alignment vertical="center"/>
    </xf>
    <xf numFmtId="0" fontId="5" fillId="0" borderId="0" xfId="0" applyFont="1" applyFill="1" applyBorder="1" applyAlignment="1">
      <alignment horizontal="center" vertical="center"/>
    </xf>
    <xf numFmtId="2" fontId="19" fillId="0" borderId="0" xfId="0" applyNumberFormat="1" applyFont="1" applyFill="1" applyBorder="1" applyAlignment="1">
      <alignment vertical="center"/>
    </xf>
    <xf numFmtId="43" fontId="0" fillId="0" borderId="0" xfId="0" applyNumberFormat="1" applyFill="1" applyBorder="1" applyAlignment="1">
      <alignment horizontal="right" vertical="center"/>
    </xf>
    <xf numFmtId="0" fontId="0" fillId="0" borderId="16" xfId="0" applyFill="1" applyBorder="1" applyAlignment="1">
      <alignment vertical="center"/>
    </xf>
    <xf numFmtId="0" fontId="0" fillId="0" borderId="18" xfId="0" applyFill="1" applyBorder="1" applyAlignment="1">
      <alignment vertical="center"/>
    </xf>
    <xf numFmtId="168" fontId="23" fillId="5" borderId="108" xfId="0" applyNumberFormat="1" applyFont="1" applyFill="1" applyBorder="1" applyAlignment="1">
      <alignment horizontal="center" vertical="center"/>
    </xf>
    <xf numFmtId="168" fontId="0" fillId="0" borderId="108" xfId="0" applyNumberFormat="1" applyFill="1" applyBorder="1" applyAlignment="1">
      <alignment horizontal="center" vertical="center"/>
    </xf>
    <xf numFmtId="0" fontId="1" fillId="0" borderId="0" xfId="0" applyFont="1" applyAlignment="1">
      <alignment horizontal="right"/>
    </xf>
    <xf numFmtId="0" fontId="1" fillId="0" borderId="0" xfId="0" applyFont="1" applyFill="1" applyAlignment="1">
      <alignment horizontal="right"/>
    </xf>
    <xf numFmtId="0" fontId="0" fillId="0" borderId="22" xfId="0" applyFont="1" applyFill="1" applyBorder="1" applyAlignment="1">
      <alignment horizontal="center" vertical="center" wrapText="1"/>
    </xf>
    <xf numFmtId="10" fontId="0" fillId="0" borderId="2" xfId="0" applyNumberFormat="1" applyFont="1" applyFill="1" applyBorder="1" applyAlignment="1">
      <alignment horizontal="center" vertical="center"/>
    </xf>
    <xf numFmtId="181" fontId="0" fillId="0" borderId="2" xfId="0" applyNumberFormat="1" applyFont="1" applyFill="1" applyBorder="1" applyAlignment="1">
      <alignment horizontal="center" vertical="center"/>
    </xf>
    <xf numFmtId="180" fontId="0" fillId="0" borderId="2" xfId="0" applyNumberFormat="1" applyFont="1" applyFill="1" applyBorder="1" applyAlignment="1">
      <alignment horizontal="center" vertical="center"/>
    </xf>
    <xf numFmtId="0" fontId="0" fillId="0" borderId="14" xfId="0" applyFill="1" applyBorder="1" applyAlignment="1">
      <alignment vertical="center"/>
    </xf>
    <xf numFmtId="9" fontId="0" fillId="0" borderId="110" xfId="0" applyNumberFormat="1" applyFont="1" applyFill="1" applyBorder="1" applyAlignment="1">
      <alignment horizontal="center" vertical="center"/>
    </xf>
    <xf numFmtId="9" fontId="0" fillId="0" borderId="19" xfId="0" applyNumberFormat="1" applyFont="1" applyFill="1" applyBorder="1" applyAlignment="1">
      <alignment horizontal="center" vertical="center"/>
    </xf>
    <xf numFmtId="9" fontId="0" fillId="0" borderId="1" xfId="0" applyNumberFormat="1" applyFont="1" applyFill="1" applyBorder="1" applyAlignment="1">
      <alignment horizontal="center" vertical="center"/>
    </xf>
    <xf numFmtId="9" fontId="0" fillId="0" borderId="23" xfId="0" applyNumberFormat="1" applyFont="1" applyFill="1" applyBorder="1" applyAlignment="1">
      <alignment horizontal="center" vertical="center"/>
    </xf>
    <xf numFmtId="0" fontId="0" fillId="0" borderId="21" xfId="0" applyFont="1" applyFill="1" applyBorder="1" applyAlignment="1">
      <alignment horizontal="center" vertical="center" wrapText="1"/>
    </xf>
    <xf numFmtId="0" fontId="0" fillId="0" borderId="110" xfId="0" applyFont="1" applyFill="1" applyBorder="1" applyAlignment="1">
      <alignment vertical="center" wrapText="1"/>
    </xf>
    <xf numFmtId="0" fontId="0" fillId="0" borderId="1" xfId="0" applyFont="1" applyFill="1" applyBorder="1" applyAlignment="1">
      <alignment vertical="center" wrapText="1"/>
    </xf>
    <xf numFmtId="0" fontId="0" fillId="0" borderId="110" xfId="0" applyFont="1" applyFill="1" applyBorder="1" applyAlignment="1">
      <alignment vertical="center"/>
    </xf>
    <xf numFmtId="0" fontId="0" fillId="0" borderId="2" xfId="0" applyFont="1" applyFill="1" applyBorder="1" applyAlignment="1">
      <alignment vertical="center"/>
    </xf>
    <xf numFmtId="0" fontId="0" fillId="0" borderId="2" xfId="0" applyFont="1" applyFill="1" applyBorder="1" applyAlignment="1">
      <alignment horizontal="left" vertical="center"/>
    </xf>
    <xf numFmtId="0" fontId="0" fillId="0" borderId="110" xfId="0" applyFont="1" applyFill="1" applyBorder="1" applyAlignment="1">
      <alignment horizontal="center" vertical="center"/>
    </xf>
    <xf numFmtId="3" fontId="0" fillId="0" borderId="2" xfId="0" applyNumberFormat="1" applyFont="1" applyFill="1" applyBorder="1" applyAlignment="1">
      <alignment horizontal="center" vertical="center"/>
    </xf>
    <xf numFmtId="9" fontId="7" fillId="6" borderId="110" xfId="0" applyNumberFormat="1" applyFont="1" applyFill="1" applyBorder="1" applyAlignment="1">
      <alignment horizontal="center" vertical="center"/>
    </xf>
    <xf numFmtId="9" fontId="7" fillId="6" borderId="1" xfId="0" applyNumberFormat="1" applyFont="1" applyFill="1" applyBorder="1" applyAlignment="1">
      <alignment horizontal="center" vertical="center"/>
    </xf>
    <xf numFmtId="9" fontId="0" fillId="3" borderId="15" xfId="0" applyNumberFormat="1" applyFont="1" applyFill="1" applyBorder="1" applyAlignment="1">
      <alignment horizontal="center" vertical="center"/>
    </xf>
    <xf numFmtId="10" fontId="0" fillId="3" borderId="17" xfId="0" applyNumberFormat="1" applyFont="1" applyFill="1" applyBorder="1" applyAlignment="1">
      <alignment horizontal="center" vertical="center"/>
    </xf>
    <xf numFmtId="181" fontId="0" fillId="3" borderId="17" xfId="0" applyNumberFormat="1" applyFont="1" applyFill="1" applyBorder="1" applyAlignment="1">
      <alignment horizontal="center" vertical="center"/>
    </xf>
    <xf numFmtId="180" fontId="0" fillId="3" borderId="17" xfId="0" applyNumberFormat="1" applyFont="1" applyFill="1" applyBorder="1" applyAlignment="1">
      <alignment horizontal="center" vertical="center"/>
    </xf>
    <xf numFmtId="0" fontId="0" fillId="0" borderId="111" xfId="0" applyFont="1" applyFill="1" applyBorder="1" applyAlignment="1">
      <alignment vertical="center"/>
    </xf>
    <xf numFmtId="0" fontId="0" fillId="0" borderId="112" xfId="0" applyFont="1" applyFill="1" applyBorder="1" applyAlignment="1">
      <alignment vertical="center"/>
    </xf>
    <xf numFmtId="0" fontId="21" fillId="0" borderId="112" xfId="0" applyFont="1" applyFill="1" applyBorder="1" applyAlignment="1">
      <alignment vertical="center"/>
    </xf>
    <xf numFmtId="0" fontId="0" fillId="0" borderId="109" xfId="0" applyFont="1" applyFill="1" applyBorder="1" applyAlignment="1">
      <alignment vertical="center"/>
    </xf>
    <xf numFmtId="0" fontId="10" fillId="0" borderId="0" xfId="0" applyFont="1" applyAlignment="1">
      <alignment/>
    </xf>
    <xf numFmtId="0" fontId="30" fillId="0" borderId="0" xfId="0" applyFont="1" applyAlignment="1">
      <alignment/>
    </xf>
    <xf numFmtId="0" fontId="26" fillId="0" borderId="0" xfId="0" applyFont="1" applyAlignment="1">
      <alignment horizontal="right"/>
    </xf>
    <xf numFmtId="0" fontId="12" fillId="0" borderId="0" xfId="0" applyFont="1" applyAlignment="1">
      <alignment/>
    </xf>
    <xf numFmtId="14" fontId="26" fillId="0" borderId="0" xfId="0" applyNumberFormat="1" applyFont="1" applyAlignment="1">
      <alignment horizontal="right"/>
    </xf>
    <xf numFmtId="0" fontId="31" fillId="0" borderId="110" xfId="0" applyFont="1" applyBorder="1" applyAlignment="1">
      <alignment horizontal="center" vertical="center" wrapText="1"/>
    </xf>
    <xf numFmtId="0" fontId="19" fillId="0" borderId="0" xfId="0" applyFont="1" applyAlignment="1">
      <alignment horizontal="center" vertical="center"/>
    </xf>
    <xf numFmtId="0" fontId="1" fillId="0" borderId="108" xfId="0" applyFont="1" applyBorder="1" applyAlignment="1">
      <alignment vertical="center"/>
    </xf>
    <xf numFmtId="0" fontId="13" fillId="0" borderId="1" xfId="20" applyFont="1" applyBorder="1" applyAlignment="1">
      <alignment vertical="center"/>
    </xf>
    <xf numFmtId="9" fontId="1" fillId="0" borderId="0" xfId="0" applyNumberFormat="1" applyFont="1" applyFill="1" applyBorder="1" applyAlignment="1">
      <alignment vertical="center" wrapText="1"/>
    </xf>
    <xf numFmtId="0" fontId="1" fillId="0" borderId="0" xfId="0" applyFont="1" applyFill="1" applyBorder="1" applyAlignment="1">
      <alignment vertical="center" wrapText="1"/>
    </xf>
    <xf numFmtId="0" fontId="0" fillId="0" borderId="98" xfId="0" applyBorder="1" applyAlignment="1">
      <alignment vertical="center" wrapText="1"/>
    </xf>
    <xf numFmtId="180" fontId="7" fillId="6" borderId="0" xfId="0" applyNumberFormat="1" applyFont="1" applyFill="1" applyBorder="1" applyAlignment="1">
      <alignment horizontal="center" vertical="center"/>
    </xf>
    <xf numFmtId="0" fontId="22" fillId="0" borderId="1" xfId="0" applyFont="1" applyFill="1" applyBorder="1" applyAlignment="1">
      <alignment horizontal="left" vertical="center"/>
    </xf>
    <xf numFmtId="9" fontId="2" fillId="0" borderId="1" xfId="0" applyNumberFormat="1" applyFont="1" applyFill="1" applyBorder="1" applyAlignment="1">
      <alignment horizontal="center" vertical="center"/>
    </xf>
    <xf numFmtId="9" fontId="7" fillId="6" borderId="19" xfId="0" applyNumberFormat="1" applyFont="1" applyFill="1" applyBorder="1" applyAlignment="1">
      <alignment horizontal="center" vertical="center"/>
    </xf>
    <xf numFmtId="181" fontId="7" fillId="6" borderId="0" xfId="0" applyNumberFormat="1" applyFont="1" applyFill="1" applyBorder="1" applyAlignment="1">
      <alignment horizontal="center" vertical="center"/>
    </xf>
    <xf numFmtId="10" fontId="7" fillId="6" borderId="0" xfId="0" applyNumberFormat="1" applyFont="1" applyFill="1" applyBorder="1" applyAlignment="1">
      <alignment horizontal="center" vertical="center"/>
    </xf>
    <xf numFmtId="10" fontId="0" fillId="0" borderId="113" xfId="0" applyNumberFormat="1" applyFont="1" applyFill="1" applyBorder="1" applyAlignment="1">
      <alignment horizontal="center" vertical="center"/>
    </xf>
    <xf numFmtId="3" fontId="0" fillId="0" borderId="113" xfId="0" applyNumberFormat="1" applyFont="1" applyFill="1" applyBorder="1" applyAlignment="1">
      <alignment horizontal="center" vertical="center"/>
    </xf>
    <xf numFmtId="3" fontId="0" fillId="0" borderId="16" xfId="0" applyNumberFormat="1" applyFont="1" applyFill="1" applyBorder="1" applyAlignment="1">
      <alignment horizontal="center" vertical="center"/>
    </xf>
    <xf numFmtId="10" fontId="0" fillId="3" borderId="114" xfId="0" applyNumberFormat="1" applyFont="1" applyFill="1" applyBorder="1" applyAlignment="1">
      <alignment horizontal="center" vertical="center"/>
    </xf>
    <xf numFmtId="10" fontId="0" fillId="3" borderId="2" xfId="0" applyNumberFormat="1" applyFont="1" applyFill="1" applyBorder="1" applyAlignment="1">
      <alignment horizontal="center" vertical="center"/>
    </xf>
    <xf numFmtId="183" fontId="0" fillId="0" borderId="2" xfId="0" applyNumberFormat="1" applyFont="1" applyFill="1" applyBorder="1" applyAlignment="1">
      <alignment horizontal="center" vertical="center"/>
    </xf>
    <xf numFmtId="9" fontId="2" fillId="6" borderId="23" xfId="0" applyNumberFormat="1" applyFont="1" applyFill="1" applyBorder="1" applyAlignment="1">
      <alignment horizontal="center" vertical="center"/>
    </xf>
    <xf numFmtId="9" fontId="2" fillId="3" borderId="13" xfId="0" applyNumberFormat="1" applyFont="1" applyFill="1" applyBorder="1" applyAlignment="1">
      <alignment horizontal="center" vertical="center"/>
    </xf>
    <xf numFmtId="10" fontId="7" fillId="6" borderId="115" xfId="0" applyNumberFormat="1" applyFont="1" applyFill="1" applyBorder="1" applyAlignment="1">
      <alignment horizontal="center" vertical="center"/>
    </xf>
    <xf numFmtId="0" fontId="0" fillId="0" borderId="115" xfId="0" applyFont="1" applyFill="1" applyBorder="1" applyAlignment="1">
      <alignment horizontal="left" vertical="center"/>
    </xf>
    <xf numFmtId="0" fontId="0" fillId="0" borderId="2" xfId="0" applyFill="1" applyBorder="1" applyAlignment="1">
      <alignment vertical="center"/>
    </xf>
    <xf numFmtId="0" fontId="0" fillId="0" borderId="17" xfId="0" applyFont="1" applyFill="1" applyBorder="1" applyAlignment="1">
      <alignment horizontal="left" vertical="center"/>
    </xf>
    <xf numFmtId="0" fontId="0" fillId="0" borderId="116" xfId="0" applyFill="1" applyBorder="1" applyAlignment="1">
      <alignment vertical="center"/>
    </xf>
    <xf numFmtId="0" fontId="2" fillId="0" borderId="18" xfId="0" applyFont="1" applyFill="1" applyBorder="1" applyAlignment="1">
      <alignment vertical="center"/>
    </xf>
    <xf numFmtId="0" fontId="0" fillId="0" borderId="66" xfId="0" applyBorder="1" applyAlignment="1">
      <alignment vertical="center"/>
    </xf>
    <xf numFmtId="0" fontId="0" fillId="0" borderId="44" xfId="0"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41" xfId="0" applyBorder="1" applyAlignment="1">
      <alignment vertical="center"/>
    </xf>
    <xf numFmtId="0" fontId="0" fillId="0" borderId="7" xfId="0" applyBorder="1" applyAlignment="1">
      <alignment horizontal="center" vertical="center"/>
    </xf>
    <xf numFmtId="0" fontId="0" fillId="0" borderId="117" xfId="0" applyBorder="1" applyAlignment="1">
      <alignment horizontal="center" vertical="center"/>
    </xf>
    <xf numFmtId="0" fontId="0" fillId="0" borderId="9" xfId="0" applyBorder="1" applyAlignment="1">
      <alignment horizontal="center" vertical="center"/>
    </xf>
    <xf numFmtId="0" fontId="0" fillId="0" borderId="118" xfId="0" applyFill="1" applyBorder="1" applyAlignment="1">
      <alignment vertical="center"/>
    </xf>
    <xf numFmtId="164" fontId="0" fillId="0" borderId="118" xfId="17" applyNumberFormat="1" applyFont="1" applyFill="1" applyBorder="1" applyAlignment="1">
      <alignment vertical="center"/>
    </xf>
    <xf numFmtId="164" fontId="0" fillId="0" borderId="49" xfId="17" applyNumberFormat="1" applyFill="1" applyBorder="1" applyAlignment="1">
      <alignment vertical="center"/>
    </xf>
    <xf numFmtId="164" fontId="0" fillId="0" borderId="118" xfId="17" applyNumberFormat="1" applyFill="1" applyBorder="1" applyAlignment="1">
      <alignment vertical="center"/>
    </xf>
    <xf numFmtId="0" fontId="0" fillId="0" borderId="119" xfId="0" applyFill="1" applyBorder="1" applyAlignment="1">
      <alignment vertical="center"/>
    </xf>
    <xf numFmtId="164" fontId="13" fillId="0" borderId="119" xfId="17" applyNumberFormat="1" applyFont="1" applyFill="1" applyBorder="1" applyAlignment="1">
      <alignment vertical="center"/>
    </xf>
    <xf numFmtId="164" fontId="13" fillId="0" borderId="0" xfId="17" applyNumberFormat="1" applyFont="1" applyFill="1" applyBorder="1" applyAlignment="1">
      <alignment vertical="center"/>
    </xf>
    <xf numFmtId="164" fontId="0" fillId="0" borderId="119" xfId="17" applyNumberFormat="1" applyFill="1" applyBorder="1" applyAlignment="1">
      <alignment vertical="center"/>
    </xf>
    <xf numFmtId="164" fontId="0" fillId="0" borderId="5" xfId="0" applyNumberFormat="1" applyBorder="1" applyAlignment="1">
      <alignment vertical="center"/>
    </xf>
    <xf numFmtId="165" fontId="0" fillId="0" borderId="119" xfId="17" applyNumberFormat="1" applyFont="1" applyFill="1" applyBorder="1" applyAlignment="1">
      <alignment horizontal="center" vertical="center"/>
    </xf>
    <xf numFmtId="165" fontId="13" fillId="0" borderId="119" xfId="17" applyNumberFormat="1" applyFont="1" applyFill="1" applyBorder="1" applyAlignment="1">
      <alignment horizontal="center" vertical="center"/>
    </xf>
    <xf numFmtId="165" fontId="13" fillId="0" borderId="0" xfId="17" applyNumberFormat="1" applyFont="1" applyFill="1" applyBorder="1" applyAlignment="1">
      <alignment horizontal="center" vertical="center"/>
    </xf>
    <xf numFmtId="164" fontId="0" fillId="0" borderId="120" xfId="17" applyNumberFormat="1" applyFill="1" applyBorder="1" applyAlignment="1">
      <alignment vertical="center"/>
    </xf>
    <xf numFmtId="164" fontId="0" fillId="0" borderId="0" xfId="17" applyNumberFormat="1" applyFill="1" applyBorder="1" applyAlignment="1">
      <alignment vertical="center"/>
    </xf>
    <xf numFmtId="0" fontId="0" fillId="0" borderId="48" xfId="0" applyFill="1" applyBorder="1" applyAlignment="1">
      <alignment vertical="center"/>
    </xf>
    <xf numFmtId="164" fontId="1" fillId="0" borderId="118" xfId="0" applyNumberFormat="1" applyFont="1" applyFill="1" applyBorder="1" applyAlignment="1">
      <alignment vertical="center"/>
    </xf>
    <xf numFmtId="164" fontId="1" fillId="0" borderId="49" xfId="0" applyNumberFormat="1" applyFont="1" applyFill="1" applyBorder="1" applyAlignment="1">
      <alignment vertical="center"/>
    </xf>
    <xf numFmtId="0" fontId="0" fillId="0" borderId="52" xfId="0" applyFill="1" applyBorder="1" applyAlignment="1">
      <alignment vertical="center"/>
    </xf>
    <xf numFmtId="164" fontId="1" fillId="0" borderId="120" xfId="0" applyNumberFormat="1" applyFont="1" applyFill="1" applyBorder="1" applyAlignment="1">
      <alignment vertical="center"/>
    </xf>
    <xf numFmtId="9" fontId="1" fillId="0" borderId="5" xfId="21" applyFont="1" applyFill="1" applyBorder="1" applyAlignment="1">
      <alignment vertical="center"/>
    </xf>
    <xf numFmtId="9" fontId="1" fillId="0" borderId="3" xfId="21" applyFont="1" applyFill="1" applyBorder="1" applyAlignment="1">
      <alignment vertical="center"/>
    </xf>
    <xf numFmtId="0" fontId="2" fillId="0" borderId="121" xfId="0" applyFont="1" applyBorder="1" applyAlignment="1">
      <alignment vertical="center"/>
    </xf>
    <xf numFmtId="164" fontId="0" fillId="0" borderId="77" xfId="0" applyNumberFormat="1" applyBorder="1" applyAlignment="1">
      <alignment vertical="center"/>
    </xf>
    <xf numFmtId="0" fontId="0" fillId="0" borderId="77" xfId="0" applyBorder="1" applyAlignment="1">
      <alignment vertical="center"/>
    </xf>
    <xf numFmtId="164" fontId="2" fillId="0" borderId="122" xfId="17" applyNumberFormat="1" applyFont="1" applyBorder="1" applyAlignment="1">
      <alignment vertical="center"/>
    </xf>
    <xf numFmtId="0" fontId="1" fillId="0" borderId="7" xfId="0" applyFont="1" applyBorder="1" applyAlignment="1">
      <alignment horizontal="center" vertical="center"/>
    </xf>
    <xf numFmtId="0" fontId="1" fillId="0" borderId="117" xfId="0" applyFont="1" applyBorder="1" applyAlignment="1">
      <alignment horizontal="center" vertical="center"/>
    </xf>
    <xf numFmtId="0" fontId="1" fillId="0" borderId="9" xfId="0" applyFont="1" applyBorder="1" applyAlignment="1">
      <alignment horizontal="center" vertical="center"/>
    </xf>
    <xf numFmtId="0" fontId="2" fillId="0" borderId="48" xfId="0" applyFont="1" applyBorder="1" applyAlignment="1">
      <alignment vertical="center"/>
    </xf>
    <xf numFmtId="164" fontId="0" fillId="0" borderId="49" xfId="0" applyNumberFormat="1" applyBorder="1" applyAlignment="1">
      <alignment vertical="center"/>
    </xf>
    <xf numFmtId="164" fontId="2" fillId="0" borderId="118" xfId="17" applyNumberFormat="1" applyFont="1" applyBorder="1" applyAlignment="1">
      <alignment vertical="center"/>
    </xf>
    <xf numFmtId="0" fontId="2" fillId="0" borderId="8" xfId="0" applyFont="1" applyBorder="1" applyAlignment="1">
      <alignment vertical="center"/>
    </xf>
    <xf numFmtId="164" fontId="0" fillId="0" borderId="4" xfId="17" applyNumberFormat="1" applyFont="1" applyBorder="1" applyAlignment="1">
      <alignment vertical="center"/>
    </xf>
    <xf numFmtId="164" fontId="2" fillId="0" borderId="120" xfId="17" applyNumberFormat="1" applyFont="1" applyBorder="1" applyAlignment="1">
      <alignment vertical="center"/>
    </xf>
    <xf numFmtId="0" fontId="3" fillId="0" borderId="48" xfId="0" applyFont="1" applyBorder="1" applyAlignment="1">
      <alignment vertical="center"/>
    </xf>
    <xf numFmtId="164" fontId="1" fillId="0" borderId="49" xfId="0" applyNumberFormat="1" applyFont="1" applyBorder="1" applyAlignment="1">
      <alignment vertical="center"/>
    </xf>
    <xf numFmtId="164" fontId="1" fillId="0" borderId="49" xfId="21" applyNumberFormat="1" applyFont="1" applyBorder="1" applyAlignment="1">
      <alignment vertical="center"/>
    </xf>
    <xf numFmtId="164" fontId="3" fillId="0" borderId="118" xfId="17" applyNumberFormat="1" applyFont="1" applyBorder="1" applyAlignment="1">
      <alignment vertical="center"/>
    </xf>
    <xf numFmtId="0" fontId="2" fillId="0" borderId="52" xfId="0" applyFont="1" applyBorder="1" applyAlignment="1">
      <alignment vertical="center"/>
    </xf>
    <xf numFmtId="9" fontId="0" fillId="0" borderId="0" xfId="21" applyBorder="1" applyAlignment="1">
      <alignment vertical="center"/>
    </xf>
    <xf numFmtId="164" fontId="0" fillId="0" borderId="0" xfId="0" applyNumberFormat="1" applyBorder="1" applyAlignment="1">
      <alignment vertical="center"/>
    </xf>
    <xf numFmtId="164" fontId="2" fillId="0" borderId="119" xfId="17" applyNumberFormat="1" applyFont="1" applyBorder="1" applyAlignment="1">
      <alignment vertical="center"/>
    </xf>
    <xf numFmtId="164" fontId="0" fillId="0" borderId="0" xfId="17" applyNumberFormat="1" applyBorder="1" applyAlignment="1">
      <alignment vertical="center"/>
    </xf>
    <xf numFmtId="0" fontId="3" fillId="0" borderId="8" xfId="0" applyFont="1" applyBorder="1" applyAlignment="1">
      <alignment vertical="center"/>
    </xf>
    <xf numFmtId="164" fontId="1" fillId="0" borderId="4" xfId="21" applyNumberFormat="1" applyFont="1" applyBorder="1" applyAlignment="1">
      <alignment vertical="center"/>
    </xf>
    <xf numFmtId="164" fontId="3" fillId="0" borderId="120" xfId="17" applyNumberFormat="1" applyFont="1" applyBorder="1" applyAlignment="1">
      <alignment vertical="center"/>
    </xf>
    <xf numFmtId="0" fontId="4" fillId="0" borderId="8" xfId="0" applyFont="1" applyBorder="1" applyAlignment="1">
      <alignment vertical="center"/>
    </xf>
    <xf numFmtId="164" fontId="5" fillId="0" borderId="4" xfId="0" applyNumberFormat="1" applyFont="1" applyBorder="1" applyAlignment="1">
      <alignment vertical="center"/>
    </xf>
    <xf numFmtId="0" fontId="2" fillId="0" borderId="123" xfId="0" applyFont="1" applyBorder="1" applyAlignment="1">
      <alignment vertical="center"/>
    </xf>
    <xf numFmtId="164" fontId="0" fillId="0" borderId="27" xfId="0" applyNumberFormat="1" applyBorder="1" applyAlignment="1">
      <alignment vertical="center"/>
    </xf>
    <xf numFmtId="0" fontId="0" fillId="0" borderId="27" xfId="0" applyBorder="1" applyAlignment="1">
      <alignment vertical="center"/>
    </xf>
    <xf numFmtId="164" fontId="2" fillId="0" borderId="124" xfId="17" applyNumberFormat="1" applyFont="1" applyBorder="1" applyAlignment="1">
      <alignment vertical="center"/>
    </xf>
    <xf numFmtId="0" fontId="0" fillId="0" borderId="125" xfId="0" applyBorder="1" applyAlignment="1">
      <alignment vertical="center"/>
    </xf>
    <xf numFmtId="0" fontId="0" fillId="0" borderId="42" xfId="0" applyBorder="1" applyAlignment="1">
      <alignment vertical="center"/>
    </xf>
    <xf numFmtId="0" fontId="0" fillId="0" borderId="57" xfId="0" applyBorder="1" applyAlignment="1">
      <alignment vertical="center"/>
    </xf>
    <xf numFmtId="0" fontId="0" fillId="0" borderId="126" xfId="0" applyBorder="1" applyAlignment="1">
      <alignment vertical="center"/>
    </xf>
    <xf numFmtId="0" fontId="0" fillId="0" borderId="127" xfId="0" applyBorder="1" applyAlignment="1">
      <alignment vertical="center"/>
    </xf>
    <xf numFmtId="0" fontId="1" fillId="0" borderId="7" xfId="0" applyFont="1" applyBorder="1" applyAlignment="1">
      <alignment vertical="center"/>
    </xf>
    <xf numFmtId="0" fontId="1" fillId="0" borderId="128" xfId="0" applyFont="1" applyBorder="1" applyAlignment="1">
      <alignment horizontal="center" vertical="center" wrapText="1"/>
    </xf>
    <xf numFmtId="0" fontId="1" fillId="0" borderId="129" xfId="0" applyFont="1" applyFill="1" applyBorder="1" applyAlignment="1">
      <alignment horizontal="center" vertical="center" wrapText="1"/>
    </xf>
    <xf numFmtId="0" fontId="0" fillId="0" borderId="130" xfId="0" applyBorder="1" applyAlignment="1">
      <alignment vertical="center"/>
    </xf>
    <xf numFmtId="0" fontId="0" fillId="2" borderId="52" xfId="0" applyFill="1" applyBorder="1" applyAlignment="1">
      <alignment vertical="center"/>
    </xf>
    <xf numFmtId="9" fontId="0" fillId="2" borderId="119" xfId="0" applyNumberFormat="1" applyFill="1" applyBorder="1" applyAlignment="1">
      <alignment vertical="center"/>
    </xf>
    <xf numFmtId="164" fontId="13" fillId="2" borderId="119" xfId="17" applyNumberFormat="1" applyFont="1" applyFill="1" applyBorder="1" applyAlignment="1">
      <alignment vertical="center"/>
    </xf>
    <xf numFmtId="44" fontId="0" fillId="0" borderId="5" xfId="17" applyFill="1" applyBorder="1" applyAlignment="1">
      <alignment vertical="center"/>
    </xf>
    <xf numFmtId="164" fontId="0" fillId="2" borderId="119" xfId="17" applyNumberFormat="1" applyFont="1" applyFill="1" applyBorder="1" applyAlignment="1">
      <alignment vertical="center"/>
    </xf>
    <xf numFmtId="166" fontId="0" fillId="0" borderId="3" xfId="15" applyNumberFormat="1" applyBorder="1" applyAlignment="1">
      <alignment vertical="center"/>
    </xf>
    <xf numFmtId="164" fontId="0" fillId="2" borderId="119" xfId="0" applyNumberFormat="1" applyFont="1" applyFill="1" applyBorder="1" applyAlignment="1">
      <alignment vertical="center"/>
    </xf>
    <xf numFmtId="44" fontId="0" fillId="0" borderId="3" xfId="17" applyBorder="1" applyAlignment="1">
      <alignment vertical="center"/>
    </xf>
    <xf numFmtId="164" fontId="0" fillId="2" borderId="119" xfId="17" applyNumberFormat="1" applyFill="1" applyBorder="1" applyAlignment="1">
      <alignment vertical="center"/>
    </xf>
    <xf numFmtId="0" fontId="1" fillId="4" borderId="7" xfId="0" applyFont="1" applyFill="1" applyBorder="1" applyAlignment="1">
      <alignment vertical="center"/>
    </xf>
    <xf numFmtId="9" fontId="1" fillId="4" borderId="128" xfId="21" applyFont="1" applyFill="1" applyBorder="1" applyAlignment="1">
      <alignment vertical="center"/>
    </xf>
    <xf numFmtId="164" fontId="0" fillId="0" borderId="128" xfId="0" applyNumberFormat="1" applyBorder="1" applyAlignment="1">
      <alignment vertical="center"/>
    </xf>
    <xf numFmtId="0" fontId="0" fillId="0" borderId="131" xfId="0" applyFill="1" applyBorder="1" applyAlignment="1">
      <alignment vertical="center"/>
    </xf>
    <xf numFmtId="3" fontId="0" fillId="0" borderId="3" xfId="0" applyNumberFormat="1" applyBorder="1" applyAlignment="1">
      <alignment vertical="center"/>
    </xf>
    <xf numFmtId="0" fontId="0" fillId="0" borderId="58" xfId="0" applyBorder="1" applyAlignment="1">
      <alignment vertical="center"/>
    </xf>
    <xf numFmtId="0" fontId="0" fillId="0" borderId="32" xfId="0" applyBorder="1" applyAlignment="1">
      <alignment vertical="center"/>
    </xf>
    <xf numFmtId="9" fontId="0" fillId="0" borderId="32" xfId="0" applyNumberFormat="1" applyBorder="1" applyAlignment="1">
      <alignment vertical="center"/>
    </xf>
    <xf numFmtId="164" fontId="0" fillId="0" borderId="32" xfId="17" applyNumberFormat="1" applyBorder="1" applyAlignment="1">
      <alignment vertical="center"/>
    </xf>
    <xf numFmtId="3" fontId="0" fillId="0" borderId="6" xfId="0" applyNumberFormat="1" applyBorder="1" applyAlignment="1">
      <alignment vertical="center"/>
    </xf>
    <xf numFmtId="3" fontId="0" fillId="0" borderId="132" xfId="0" applyNumberFormat="1" applyBorder="1" applyAlignment="1">
      <alignment vertical="center"/>
    </xf>
    <xf numFmtId="3" fontId="0" fillId="0" borderId="47" xfId="0" applyNumberFormat="1" applyBorder="1" applyAlignment="1">
      <alignment vertical="center"/>
    </xf>
    <xf numFmtId="0" fontId="0" fillId="0" borderId="133" xfId="0" applyFont="1" applyBorder="1" applyAlignment="1">
      <alignment vertical="center"/>
    </xf>
    <xf numFmtId="1" fontId="0" fillId="0" borderId="134" xfId="21" applyNumberFormat="1" applyFont="1" applyBorder="1" applyAlignment="1">
      <alignment vertical="center"/>
    </xf>
    <xf numFmtId="1" fontId="0" fillId="0" borderId="135" xfId="0" applyNumberFormat="1" applyFont="1" applyBorder="1" applyAlignment="1">
      <alignment vertical="center"/>
    </xf>
    <xf numFmtId="1" fontId="0" fillId="0" borderId="135" xfId="21" applyNumberFormat="1" applyFont="1" applyBorder="1" applyAlignment="1">
      <alignment vertical="center"/>
    </xf>
    <xf numFmtId="1" fontId="0" fillId="0" borderId="136" xfId="0" applyNumberFormat="1" applyFont="1" applyBorder="1" applyAlignment="1">
      <alignment vertical="center"/>
    </xf>
    <xf numFmtId="0" fontId="0" fillId="0" borderId="137" xfId="0" applyBorder="1" applyAlignment="1">
      <alignment vertical="center"/>
    </xf>
    <xf numFmtId="3" fontId="0" fillId="0" borderId="90" xfId="0" applyNumberFormat="1" applyBorder="1" applyAlignment="1">
      <alignment vertical="center"/>
    </xf>
    <xf numFmtId="0" fontId="0" fillId="0" borderId="138" xfId="0" applyBorder="1" applyAlignment="1">
      <alignment vertical="center"/>
    </xf>
    <xf numFmtId="3" fontId="0" fillId="0" borderId="72" xfId="0" applyNumberFormat="1" applyBorder="1" applyAlignment="1">
      <alignment vertical="center"/>
    </xf>
    <xf numFmtId="0" fontId="0" fillId="0" borderId="139" xfId="0" applyBorder="1" applyAlignment="1">
      <alignment vertical="center"/>
    </xf>
    <xf numFmtId="3" fontId="0" fillId="0" borderId="140" xfId="0" applyNumberFormat="1" applyBorder="1" applyAlignment="1">
      <alignment vertical="center"/>
    </xf>
    <xf numFmtId="3" fontId="0" fillId="0" borderId="74" xfId="0" applyNumberFormat="1" applyBorder="1" applyAlignment="1">
      <alignment vertical="center"/>
    </xf>
    <xf numFmtId="3" fontId="0" fillId="0" borderId="75" xfId="0" applyNumberFormat="1" applyBorder="1" applyAlignment="1">
      <alignment vertical="center"/>
    </xf>
    <xf numFmtId="0" fontId="0" fillId="0" borderId="0" xfId="0" applyNumberFormat="1" applyFont="1" applyFill="1" applyBorder="1" applyAlignment="1">
      <alignment vertical="center" wrapText="1"/>
    </xf>
    <xf numFmtId="0" fontId="16" fillId="0" borderId="39" xfId="0" applyFont="1" applyFill="1" applyBorder="1" applyAlignment="1">
      <alignment vertical="center" wrapText="1"/>
    </xf>
    <xf numFmtId="0" fontId="26" fillId="0" borderId="93" xfId="0" applyFont="1" applyFill="1" applyBorder="1" applyAlignment="1">
      <alignment horizontal="right" vertical="center" wrapText="1"/>
    </xf>
    <xf numFmtId="2" fontId="11" fillId="0" borderId="94" xfId="0" applyNumberFormat="1" applyFont="1" applyFill="1" applyBorder="1" applyAlignment="1">
      <alignment horizontal="left" vertical="center" wrapText="1"/>
    </xf>
    <xf numFmtId="0" fontId="16" fillId="0" borderId="0" xfId="0" applyFont="1" applyFill="1" applyBorder="1" applyAlignment="1">
      <alignment vertical="center" wrapText="1"/>
    </xf>
    <xf numFmtId="0" fontId="16" fillId="0" borderId="0" xfId="0" applyNumberFormat="1" applyFont="1" applyFill="1" applyBorder="1" applyAlignment="1">
      <alignment vertical="center" wrapText="1"/>
    </xf>
    <xf numFmtId="0" fontId="16" fillId="0" borderId="94" xfId="0" applyFont="1" applyFill="1" applyBorder="1" applyAlignment="1">
      <alignment vertical="center" wrapText="1"/>
    </xf>
    <xf numFmtId="0" fontId="28" fillId="0" borderId="0" xfId="0" applyFont="1" applyFill="1" applyBorder="1" applyAlignment="1">
      <alignment vertical="center" wrapText="1"/>
    </xf>
    <xf numFmtId="0" fontId="6" fillId="0" borderId="0" xfId="0" applyFont="1" applyFill="1" applyBorder="1" applyAlignment="1">
      <alignment vertical="center" wrapText="1"/>
    </xf>
    <xf numFmtId="0" fontId="12" fillId="0" borderId="0" xfId="0" applyFont="1" applyFill="1" applyBorder="1" applyAlignment="1">
      <alignment vertical="center" wrapText="1"/>
    </xf>
    <xf numFmtId="0" fontId="18" fillId="0" borderId="0" xfId="0" applyFont="1" applyFill="1" applyBorder="1" applyAlignment="1">
      <alignment vertical="center" wrapText="1"/>
    </xf>
    <xf numFmtId="0" fontId="3" fillId="0" borderId="52" xfId="0" applyFont="1" applyFill="1" applyBorder="1" applyAlignment="1">
      <alignment vertical="center"/>
    </xf>
    <xf numFmtId="0" fontId="3" fillId="0" borderId="8" xfId="0" applyFont="1" applyFill="1" applyBorder="1" applyAlignment="1">
      <alignment vertical="center"/>
    </xf>
    <xf numFmtId="0" fontId="6" fillId="0" borderId="141" xfId="0" applyFont="1" applyBorder="1" applyAlignment="1">
      <alignment vertical="center"/>
    </xf>
    <xf numFmtId="0" fontId="0" fillId="0" borderId="37" xfId="0" applyBorder="1" applyAlignment="1">
      <alignment vertical="center"/>
    </xf>
    <xf numFmtId="0" fontId="1" fillId="0" borderId="142" xfId="0" applyFont="1" applyBorder="1" applyAlignment="1">
      <alignment vertical="center"/>
    </xf>
    <xf numFmtId="0" fontId="1" fillId="0" borderId="141" xfId="0" applyFont="1" applyBorder="1" applyAlignment="1">
      <alignment vertical="center"/>
    </xf>
    <xf numFmtId="0" fontId="35" fillId="0" borderId="0" xfId="0" applyFont="1" applyAlignment="1">
      <alignment vertical="center" wrapText="1"/>
    </xf>
    <xf numFmtId="0" fontId="0" fillId="0" borderId="97" xfId="0" applyFont="1" applyFill="1" applyBorder="1" applyAlignment="1">
      <alignment horizontal="left" vertical="center" wrapText="1"/>
    </xf>
    <xf numFmtId="0" fontId="0" fillId="0" borderId="99" xfId="0" applyFont="1" applyFill="1" applyBorder="1" applyAlignment="1">
      <alignment vertical="center" wrapText="1"/>
    </xf>
    <xf numFmtId="0" fontId="0" fillId="0" borderId="97" xfId="0" applyFont="1" applyFill="1" applyBorder="1" applyAlignment="1">
      <alignment vertical="center" wrapText="1"/>
    </xf>
    <xf numFmtId="0" fontId="0" fillId="0" borderId="101" xfId="0" applyFont="1" applyFill="1" applyBorder="1" applyAlignment="1">
      <alignment vertical="center" wrapText="1"/>
    </xf>
    <xf numFmtId="0" fontId="24" fillId="0" borderId="0" xfId="0" applyFont="1" applyFill="1" applyBorder="1" applyAlignment="1">
      <alignment horizontal="center" vertical="center" wrapText="1"/>
    </xf>
    <xf numFmtId="0" fontId="1" fillId="0" borderId="0" xfId="0" applyFont="1" applyAlignment="1">
      <alignment horizontal="center" vertical="center" wrapText="1"/>
    </xf>
    <xf numFmtId="0" fontId="6" fillId="0" borderId="108" xfId="0" applyFont="1" applyFill="1" applyBorder="1" applyAlignment="1">
      <alignment horizontal="left" vertical="center"/>
    </xf>
    <xf numFmtId="0" fontId="0" fillId="0" borderId="0" xfId="0" applyAlignment="1">
      <alignment horizontal="left" wrapText="1"/>
    </xf>
    <xf numFmtId="0" fontId="1" fillId="0" borderId="0" xfId="0" applyFont="1" applyFill="1" applyAlignment="1">
      <alignment horizontal="left" vertical="center" wrapText="1"/>
    </xf>
    <xf numFmtId="0" fontId="0" fillId="0" borderId="0" xfId="0" applyFill="1" applyBorder="1" applyAlignment="1">
      <alignment horizontal="left" vertical="center"/>
    </xf>
    <xf numFmtId="0" fontId="6" fillId="0" borderId="108" xfId="0" applyFont="1" applyFill="1" applyBorder="1" applyAlignment="1">
      <alignment vertical="center"/>
    </xf>
    <xf numFmtId="0" fontId="6" fillId="0" borderId="20" xfId="0" applyFont="1" applyFill="1" applyBorder="1" applyAlignment="1">
      <alignment vertical="center"/>
    </xf>
    <xf numFmtId="0" fontId="6" fillId="0" borderId="108" xfId="0" applyFont="1" applyFill="1" applyBorder="1" applyAlignment="1">
      <alignment horizontal="center" vertical="center"/>
    </xf>
    <xf numFmtId="0" fontId="6" fillId="0" borderId="0" xfId="0" applyFont="1" applyFill="1" applyBorder="1" applyAlignment="1">
      <alignment horizontal="left" vertical="center"/>
    </xf>
    <xf numFmtId="0" fontId="1" fillId="0" borderId="142" xfId="0" applyFont="1" applyFill="1" applyBorder="1" applyAlignment="1">
      <alignment horizontal="left" vertical="center" wrapText="1"/>
    </xf>
    <xf numFmtId="0" fontId="1" fillId="0" borderId="37"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 fillId="0" borderId="143" xfId="0" applyFont="1" applyFill="1" applyBorder="1" applyAlignment="1">
      <alignment horizontal="left" wrapText="1"/>
    </xf>
    <xf numFmtId="0" fontId="1" fillId="0" borderId="77" xfId="0" applyFont="1" applyFill="1" applyBorder="1" applyAlignment="1">
      <alignment horizontal="left" wrapText="1"/>
    </xf>
    <xf numFmtId="0" fontId="1" fillId="0" borderId="3" xfId="0" applyFont="1" applyFill="1" applyBorder="1" applyAlignment="1">
      <alignment horizontal="left" vertical="center" wrapText="1"/>
    </xf>
    <xf numFmtId="0" fontId="1" fillId="0" borderId="7" xfId="0" applyFont="1" applyFill="1" applyBorder="1" applyAlignment="1">
      <alignment horizontal="left" wrapText="1"/>
    </xf>
    <xf numFmtId="0" fontId="1" fillId="0" borderId="144" xfId="0" applyFont="1" applyFill="1" applyBorder="1" applyAlignment="1">
      <alignment horizontal="left" wrapText="1"/>
    </xf>
    <xf numFmtId="0" fontId="36" fillId="0" borderId="120" xfId="0" applyFont="1" applyFill="1" applyBorder="1" applyAlignment="1">
      <alignment vertical="center" wrapText="1"/>
    </xf>
    <xf numFmtId="0" fontId="0" fillId="2" borderId="52" xfId="0" applyFill="1" applyBorder="1" applyAlignment="1">
      <alignmen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color rgb="FFFFFFFF"/>
      </font>
      <fill>
        <patternFill patternType="none">
          <bgColor indexed="65"/>
        </patternFill>
      </fill>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Undiscounted annual net benefits of Rural Business Development Project
(excluding Watershed Management component)</a:t>
            </a:r>
          </a:p>
        </c:rich>
      </c:tx>
      <c:layout/>
      <c:spPr>
        <a:noFill/>
        <a:ln>
          <a:noFill/>
        </a:ln>
      </c:spPr>
    </c:title>
    <c:plotArea>
      <c:layout/>
      <c:areaChart>
        <c:grouping val="standard"/>
        <c:varyColors val="0"/>
        <c:ser>
          <c:idx val="0"/>
          <c:order val="0"/>
          <c:spPr>
            <a:solidFill>
              <a:srgbClr val="0066CC"/>
            </a:solidFill>
          </c:spPr>
          <c:extLst>
            <c:ext xmlns:c14="http://schemas.microsoft.com/office/drawing/2007/8/2/chart" uri="{6F2FDCE9-48DA-4B69-8628-5D25D57E5C99}">
              <c14:invertSolidFillFmt>
                <c14:spPr>
                  <a:solidFill>
                    <a:srgbClr val="FFFFFF"/>
                  </a:solidFill>
                </c14:spPr>
              </c14:invertSolidFillFmt>
            </c:ext>
          </c:extLst>
          <c:val>
            <c:numRef>
              <c:f>'Aggregated ERRs'!$B$50:$K$50</c:f>
              <c:numCache>
                <c:ptCount val="10"/>
                <c:pt idx="0">
                  <c:v>-3934338.09108028</c:v>
                </c:pt>
                <c:pt idx="1">
                  <c:v>-5869243.84186092</c:v>
                </c:pt>
                <c:pt idx="2">
                  <c:v>-14279134.097854206</c:v>
                </c:pt>
                <c:pt idx="3">
                  <c:v>-13719765.836296652</c:v>
                </c:pt>
                <c:pt idx="4">
                  <c:v>-4726348.682921385</c:v>
                </c:pt>
                <c:pt idx="5">
                  <c:v>715862.7262733986</c:v>
                </c:pt>
                <c:pt idx="6">
                  <c:v>29569920.134216316</c:v>
                </c:pt>
                <c:pt idx="7">
                  <c:v>30240281.794522934</c:v>
                </c:pt>
                <c:pt idx="8">
                  <c:v>31376146.661722947</c:v>
                </c:pt>
                <c:pt idx="9">
                  <c:v>32141573.544840723</c:v>
                </c:pt>
              </c:numCache>
            </c:numRef>
          </c:val>
        </c:ser>
        <c:axId val="30804774"/>
        <c:axId val="8807511"/>
      </c:areaChart>
      <c:catAx>
        <c:axId val="30804774"/>
        <c:scaling>
          <c:orientation val="minMax"/>
        </c:scaling>
        <c:axPos val="b"/>
        <c:title>
          <c:tx>
            <c:rich>
              <a:bodyPr vert="horz" rot="0" anchor="ctr"/>
              <a:lstStyle/>
              <a:p>
                <a:pPr algn="ctr">
                  <a:defRPr/>
                </a:pPr>
                <a:r>
                  <a:rPr lang="en-US" cap="none" sz="9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8807511"/>
        <c:crosses val="autoZero"/>
        <c:auto val="1"/>
        <c:lblOffset val="100"/>
        <c:noMultiLvlLbl val="0"/>
      </c:catAx>
      <c:valAx>
        <c:axId val="8807511"/>
        <c:scaling>
          <c:orientation val="minMax"/>
        </c:scaling>
        <c:axPos val="l"/>
        <c:title>
          <c:tx>
            <c:rich>
              <a:bodyPr vert="horz" rot="-5400000" anchor="ctr"/>
              <a:lstStyle/>
              <a:p>
                <a:pPr algn="ctr">
                  <a:defRPr/>
                </a:pPr>
                <a:r>
                  <a:rPr lang="en-US" cap="none" sz="975" b="1" i="0" u="none" baseline="0">
                    <a:latin typeface="Arial"/>
                    <a:ea typeface="Arial"/>
                    <a:cs typeface="Arial"/>
                  </a:rPr>
                  <a:t>US$</a:t>
                </a:r>
              </a:p>
            </c:rich>
          </c:tx>
          <c:layout/>
          <c:overlay val="0"/>
          <c:spPr>
            <a:noFill/>
            <a:ln>
              <a:noFill/>
            </a:ln>
          </c:spPr>
        </c:title>
        <c:majorGridlines/>
        <c:delete val="0"/>
        <c:numFmt formatCode="General" sourceLinked="1"/>
        <c:majorTickMark val="out"/>
        <c:minorTickMark val="none"/>
        <c:tickLblPos val="nextTo"/>
        <c:crossAx val="30804774"/>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Distribution of ERR Given Uncertainty in Key Parameters
</a:t>
            </a:r>
            <a:r>
              <a:rPr lang="en-US" cap="none" sz="800" b="1" i="0" u="none" baseline="0">
                <a:latin typeface="Arial"/>
                <a:ea typeface="Arial"/>
                <a:cs typeface="Arial"/>
              </a:rPr>
              <a:t>(as of 5/26/2005)</a:t>
            </a:r>
          </a:p>
        </c:rich>
      </c:tx>
      <c:layout/>
      <c:spPr>
        <a:noFill/>
        <a:ln>
          <a:noFill/>
        </a:ln>
      </c:spPr>
    </c:title>
    <c:plotArea>
      <c:layout>
        <c:manualLayout>
          <c:xMode val="edge"/>
          <c:yMode val="edge"/>
          <c:x val="0.0365"/>
          <c:y val="0.137"/>
          <c:w val="0.95225"/>
          <c:h val="0.83325"/>
        </c:manualLayout>
      </c:layout>
      <c:barChart>
        <c:barDir val="col"/>
        <c:grouping val="stacked"/>
        <c:varyColors val="0"/>
        <c:ser>
          <c:idx val="0"/>
          <c:order val="0"/>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0"/>
              <c:pt idx="0">
                <c:v>0.12226279108068819</c:v>
              </c:pt>
              <c:pt idx="10">
                <c:v>0.1463730027118812</c:v>
              </c:pt>
              <c:pt idx="20">
                <c:v>0.1704832143430742</c:v>
              </c:pt>
              <c:pt idx="30">
                <c:v>0.19459342597426718</c:v>
              </c:pt>
              <c:pt idx="40">
                <c:v>0.2187036376054602</c:v>
              </c:pt>
              <c:pt idx="49">
                <c:v>0.24040282807353391</c:v>
              </c:pt>
            </c:strLit>
          </c:cat>
          <c:val>
            <c:numLit>
              <c:ptCount val="50"/>
              <c:pt idx="0">
                <c:v>2</c:v>
              </c:pt>
              <c:pt idx="1">
                <c:v>9</c:v>
              </c:pt>
              <c:pt idx="2">
                <c:v>15</c:v>
              </c:pt>
              <c:pt idx="3">
                <c:v>31</c:v>
              </c:pt>
              <c:pt idx="4">
                <c:v>34</c:v>
              </c:pt>
              <c:pt idx="5">
                <c:v>48</c:v>
              </c:pt>
              <c:pt idx="6">
                <c:v>66</c:v>
              </c:pt>
              <c:pt idx="7">
                <c:v>76</c:v>
              </c:pt>
              <c:pt idx="8">
                <c:v>114</c:v>
              </c:pt>
              <c:pt idx="9">
                <c:v>137</c:v>
              </c:pt>
              <c:pt idx="10">
                <c:v>152</c:v>
              </c:pt>
              <c:pt idx="11">
                <c:v>163</c:v>
              </c:pt>
              <c:pt idx="12">
                <c:v>186</c:v>
              </c:pt>
              <c:pt idx="13">
                <c:v>198</c:v>
              </c:pt>
              <c:pt idx="14">
                <c:v>229</c:v>
              </c:pt>
              <c:pt idx="15">
                <c:v>242</c:v>
              </c:pt>
              <c:pt idx="16">
                <c:v>247</c:v>
              </c:pt>
              <c:pt idx="17">
                <c:v>277</c:v>
              </c:pt>
              <c:pt idx="18">
                <c:v>312</c:v>
              </c:pt>
              <c:pt idx="19">
                <c:v>325</c:v>
              </c:pt>
              <c:pt idx="20">
                <c:v>374</c:v>
              </c:pt>
              <c:pt idx="21">
                <c:v>410</c:v>
              </c:pt>
              <c:pt idx="22">
                <c:v>417</c:v>
              </c:pt>
              <c:pt idx="23">
                <c:v>425</c:v>
              </c:pt>
              <c:pt idx="24">
                <c:v>430</c:v>
              </c:pt>
              <c:pt idx="25">
                <c:v>428</c:v>
              </c:pt>
              <c:pt idx="26">
                <c:v>410</c:v>
              </c:pt>
              <c:pt idx="27">
                <c:v>440</c:v>
              </c:pt>
              <c:pt idx="28">
                <c:v>419</c:v>
              </c:pt>
              <c:pt idx="29">
                <c:v>391</c:v>
              </c:pt>
              <c:pt idx="30">
                <c:v>352</c:v>
              </c:pt>
              <c:pt idx="31">
                <c:v>330</c:v>
              </c:pt>
              <c:pt idx="32">
                <c:v>328</c:v>
              </c:pt>
              <c:pt idx="33">
                <c:v>300</c:v>
              </c:pt>
              <c:pt idx="34">
                <c:v>298</c:v>
              </c:pt>
              <c:pt idx="35">
                <c:v>247</c:v>
              </c:pt>
              <c:pt idx="36">
                <c:v>215</c:v>
              </c:pt>
              <c:pt idx="37">
                <c:v>200</c:v>
              </c:pt>
              <c:pt idx="38">
                <c:v>169</c:v>
              </c:pt>
              <c:pt idx="39">
                <c:v>121</c:v>
              </c:pt>
              <c:pt idx="40">
                <c:v>112</c:v>
              </c:pt>
              <c:pt idx="41">
                <c:v>97</c:v>
              </c:pt>
              <c:pt idx="42">
                <c:v>68</c:v>
              </c:pt>
              <c:pt idx="43">
                <c:v>51</c:v>
              </c:pt>
              <c:pt idx="44">
                <c:v>38</c:v>
              </c:pt>
              <c:pt idx="45">
                <c:v>21</c:v>
              </c:pt>
              <c:pt idx="46">
                <c:v>15</c:v>
              </c:pt>
              <c:pt idx="47">
                <c:v>13</c:v>
              </c:pt>
              <c:pt idx="48">
                <c:v>8</c:v>
              </c:pt>
              <c:pt idx="49">
                <c:v>2</c:v>
              </c:pt>
            </c:numLit>
          </c:val>
        </c:ser>
        <c:overlap val="100"/>
        <c:gapWidth val="10"/>
        <c:axId val="12158736"/>
        <c:axId val="42319761"/>
      </c:barChart>
      <c:catAx>
        <c:axId val="12158736"/>
        <c:scaling>
          <c:orientation val="minMax"/>
        </c:scaling>
        <c:axPos val="b"/>
        <c:delete val="0"/>
        <c:numFmt formatCode="General" sourceLinked="1"/>
        <c:majorTickMark val="out"/>
        <c:minorTickMark val="none"/>
        <c:tickLblPos val="nextTo"/>
        <c:crossAx val="42319761"/>
        <c:crosses val="autoZero"/>
        <c:auto val="0"/>
        <c:lblOffset val="100"/>
        <c:tickLblSkip val="1"/>
        <c:tickMarkSkip val="5"/>
        <c:noMultiLvlLbl val="0"/>
      </c:catAx>
      <c:valAx>
        <c:axId val="42319761"/>
        <c:scaling>
          <c:orientation val="minMax"/>
          <c:min val="0"/>
        </c:scaling>
        <c:axPos val="l"/>
        <c:title>
          <c:tx>
            <c:rich>
              <a:bodyPr vert="horz" rot="-5400000" anchor="ctr"/>
              <a:lstStyle/>
              <a:p>
                <a:pPr algn="ctr">
                  <a:defRPr/>
                </a:pPr>
                <a:r>
                  <a:rPr lang="en-US" cap="none" sz="800" b="1" i="0" u="none" baseline="0">
                    <a:latin typeface="Arial"/>
                    <a:ea typeface="Arial"/>
                    <a:cs typeface="Arial"/>
                  </a:rPr>
                  <a:t>Frequency</a:t>
                </a:r>
              </a:p>
            </c:rich>
          </c:tx>
          <c:layout/>
          <c:overlay val="0"/>
          <c:spPr>
            <a:noFill/>
            <a:ln>
              <a:noFill/>
            </a:ln>
          </c:spPr>
        </c:title>
        <c:majorGridlines>
          <c:spPr>
            <a:ln w="3175">
              <a:solidFill>
                <a:srgbClr val="0000FF"/>
              </a:solidFill>
              <a:prstDash val="sysDot"/>
            </a:ln>
          </c:spPr>
        </c:majorGridlines>
        <c:delete val="0"/>
        <c:numFmt formatCode="General" sourceLinked="1"/>
        <c:majorTickMark val="out"/>
        <c:minorTickMark val="none"/>
        <c:tickLblPos val="nextTo"/>
        <c:crossAx val="12158736"/>
        <c:crossesAt val="1"/>
        <c:crossBetween val="between"/>
        <c:dispUnits/>
      </c:valAx>
      <c:spPr>
        <a:solidFill>
          <a:srgbClr val="FFFFFF"/>
        </a:solidFill>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 Id="rId3"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1</xdr:col>
      <xdr:colOff>19050</xdr:colOff>
      <xdr:row>0</xdr:row>
      <xdr:rowOff>0</xdr:rowOff>
    </xdr:to>
    <xdr:pic>
      <xdr:nvPicPr>
        <xdr:cNvPr id="1" name="Picture 4"/>
        <xdr:cNvPicPr preferRelativeResize="1">
          <a:picLocks noChangeAspect="1"/>
        </xdr:cNvPicPr>
      </xdr:nvPicPr>
      <xdr:blipFill>
        <a:blip r:embed="rId1"/>
        <a:stretch>
          <a:fillRect/>
        </a:stretch>
      </xdr:blipFill>
      <xdr:spPr>
        <a:xfrm>
          <a:off x="38100" y="0"/>
          <a:ext cx="2619375" cy="0"/>
        </a:xfrm>
        <a:prstGeom prst="rect">
          <a:avLst/>
        </a:prstGeom>
        <a:noFill/>
        <a:ln w="9525" cmpd="sng">
          <a:noFill/>
        </a:ln>
      </xdr:spPr>
    </xdr:pic>
    <xdr:clientData/>
  </xdr:twoCellAnchor>
  <xdr:twoCellAnchor>
    <xdr:from>
      <xdr:col>0</xdr:col>
      <xdr:colOff>38100</xdr:colOff>
      <xdr:row>0</xdr:row>
      <xdr:rowOff>85725</xdr:rowOff>
    </xdr:from>
    <xdr:to>
      <xdr:col>1</xdr:col>
      <xdr:colOff>19050</xdr:colOff>
      <xdr:row>5</xdr:row>
      <xdr:rowOff>19050</xdr:rowOff>
    </xdr:to>
    <xdr:pic>
      <xdr:nvPicPr>
        <xdr:cNvPr id="2" name="Picture 6"/>
        <xdr:cNvPicPr preferRelativeResize="1">
          <a:picLocks noChangeAspect="1"/>
        </xdr:cNvPicPr>
      </xdr:nvPicPr>
      <xdr:blipFill>
        <a:blip r:embed="rId1"/>
        <a:stretch>
          <a:fillRect/>
        </a:stretch>
      </xdr:blipFill>
      <xdr:spPr>
        <a:xfrm>
          <a:off x="38100" y="85725"/>
          <a:ext cx="26193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26</xdr:row>
      <xdr:rowOff>19050</xdr:rowOff>
    </xdr:from>
    <xdr:to>
      <xdr:col>1</xdr:col>
      <xdr:colOff>2219325</xdr:colOff>
      <xdr:row>27</xdr:row>
      <xdr:rowOff>9525</xdr:rowOff>
    </xdr:to>
    <xdr:pic>
      <xdr:nvPicPr>
        <xdr:cNvPr id="1" name="Picture 1"/>
        <xdr:cNvPicPr preferRelativeResize="1">
          <a:picLocks noChangeAspect="1"/>
        </xdr:cNvPicPr>
      </xdr:nvPicPr>
      <xdr:blipFill>
        <a:blip r:embed="rId1"/>
        <a:stretch>
          <a:fillRect/>
        </a:stretch>
      </xdr:blipFill>
      <xdr:spPr>
        <a:xfrm>
          <a:off x="428625" y="10201275"/>
          <a:ext cx="2171700"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1000125</xdr:colOff>
      <xdr:row>1</xdr:row>
      <xdr:rowOff>114300</xdr:rowOff>
    </xdr:from>
    <xdr:to>
      <xdr:col>6</xdr:col>
      <xdr:colOff>1095375</xdr:colOff>
      <xdr:row>1</xdr:row>
      <xdr:rowOff>266700</xdr:rowOff>
    </xdr:to>
    <xdr:pic>
      <xdr:nvPicPr>
        <xdr:cNvPr id="1" name="Picture 11"/>
        <xdr:cNvPicPr preferRelativeResize="1">
          <a:picLocks noChangeAspect="1"/>
        </xdr:cNvPicPr>
      </xdr:nvPicPr>
      <xdr:blipFill>
        <a:blip r:embed="rId1"/>
        <a:stretch>
          <a:fillRect/>
        </a:stretch>
      </xdr:blipFill>
      <xdr:spPr>
        <a:xfrm>
          <a:off x="7210425" y="276225"/>
          <a:ext cx="2162175" cy="152400"/>
        </a:xfrm>
        <a:prstGeom prst="rect">
          <a:avLst/>
        </a:prstGeom>
        <a:noFill/>
        <a:ln w="9525" cmpd="sng">
          <a:noFill/>
        </a:ln>
      </xdr:spPr>
    </xdr:pic>
    <xdr:clientData/>
  </xdr:twoCellAnchor>
  <xdr:twoCellAnchor>
    <xdr:from>
      <xdr:col>1</xdr:col>
      <xdr:colOff>285750</xdr:colOff>
      <xdr:row>28</xdr:row>
      <xdr:rowOff>152400</xdr:rowOff>
    </xdr:from>
    <xdr:to>
      <xdr:col>6</xdr:col>
      <xdr:colOff>876300</xdr:colOff>
      <xdr:row>54</xdr:row>
      <xdr:rowOff>76200</xdr:rowOff>
    </xdr:to>
    <xdr:graphicFrame>
      <xdr:nvGraphicFramePr>
        <xdr:cNvPr id="2" name="Chart 18"/>
        <xdr:cNvGraphicFramePr/>
      </xdr:nvGraphicFramePr>
      <xdr:xfrm>
        <a:off x="666750" y="8591550"/>
        <a:ext cx="8486775" cy="4219575"/>
      </xdr:xfrm>
      <a:graphic>
        <a:graphicData uri="http://schemas.openxmlformats.org/drawingml/2006/chart">
          <c:chart xmlns:c="http://schemas.openxmlformats.org/drawingml/2006/chart" r:id="rId2"/>
        </a:graphicData>
      </a:graphic>
    </xdr:graphicFrame>
    <xdr:clientData/>
  </xdr:twoCellAnchor>
  <xdr:twoCellAnchor>
    <xdr:from>
      <xdr:col>1</xdr:col>
      <xdr:colOff>314325</xdr:colOff>
      <xdr:row>58</xdr:row>
      <xdr:rowOff>0</xdr:rowOff>
    </xdr:from>
    <xdr:to>
      <xdr:col>6</xdr:col>
      <xdr:colOff>819150</xdr:colOff>
      <xdr:row>78</xdr:row>
      <xdr:rowOff>28575</xdr:rowOff>
    </xdr:to>
    <xdr:graphicFrame>
      <xdr:nvGraphicFramePr>
        <xdr:cNvPr id="3" name="Chart 22"/>
        <xdr:cNvGraphicFramePr/>
      </xdr:nvGraphicFramePr>
      <xdr:xfrm>
        <a:off x="695325" y="13382625"/>
        <a:ext cx="8401050" cy="335280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85725</xdr:colOff>
      <xdr:row>0</xdr:row>
      <xdr:rowOff>0</xdr:rowOff>
    </xdr:to>
    <xdr:pic>
      <xdr:nvPicPr>
        <xdr:cNvPr id="1" name="Picture 1"/>
        <xdr:cNvPicPr preferRelativeResize="1">
          <a:picLocks noChangeAspect="1"/>
        </xdr:cNvPicPr>
      </xdr:nvPicPr>
      <xdr:blipFill>
        <a:blip r:embed="rId1"/>
        <a:stretch>
          <a:fillRect/>
        </a:stretch>
      </xdr:blipFill>
      <xdr:spPr>
        <a:xfrm>
          <a:off x="0" y="0"/>
          <a:ext cx="24860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G44"/>
  <sheetViews>
    <sheetView showGridLines="0" workbookViewId="0" topLeftCell="A1">
      <selection activeCell="B50" sqref="B50"/>
    </sheetView>
  </sheetViews>
  <sheetFormatPr defaultColWidth="9.140625" defaultRowHeight="12.75"/>
  <cols>
    <col min="1" max="1" width="39.57421875" style="324" customWidth="1"/>
    <col min="2" max="2" width="106.421875" style="325" customWidth="1"/>
    <col min="3" max="3" width="9.140625" style="325" customWidth="1"/>
    <col min="4" max="4" width="14.28125" style="325" customWidth="1"/>
    <col min="5" max="5" width="9.140625" style="325" customWidth="1"/>
    <col min="6" max="6" width="29.421875" style="325" customWidth="1"/>
    <col min="7" max="16384" width="9.140625" style="325" customWidth="1"/>
  </cols>
  <sheetData>
    <row r="1" spans="1:4" s="322" customFormat="1" ht="12.75">
      <c r="A1" s="321"/>
      <c r="B1" s="326" t="s">
        <v>176</v>
      </c>
      <c r="D1" s="323"/>
    </row>
    <row r="2" spans="1:3" s="335" customFormat="1" ht="20.25">
      <c r="A2" s="333"/>
      <c r="B2" s="577" t="s">
        <v>169</v>
      </c>
      <c r="C2" s="334"/>
    </row>
    <row r="3" spans="1:3" s="327" customFormat="1" ht="12.75" customHeight="1">
      <c r="A3" s="336"/>
      <c r="B3" s="577"/>
      <c r="C3" s="328"/>
    </row>
    <row r="4" spans="1:3" s="327" customFormat="1" ht="12.75" customHeight="1">
      <c r="A4" s="336"/>
      <c r="B4" s="577"/>
      <c r="C4" s="328"/>
    </row>
    <row r="5" spans="1:3" s="327" customFormat="1" ht="12.75" customHeight="1">
      <c r="A5" s="336"/>
      <c r="B5" s="577"/>
      <c r="C5" s="328"/>
    </row>
    <row r="6" ht="12.75" customHeight="1">
      <c r="B6" s="577"/>
    </row>
    <row r="7" ht="12.75" customHeight="1" thickBot="1">
      <c r="B7" s="327"/>
    </row>
    <row r="8" spans="1:4" ht="18" customHeight="1" thickBot="1" thickTop="1">
      <c r="A8" s="352" t="s">
        <v>104</v>
      </c>
      <c r="B8" s="353" t="s">
        <v>125</v>
      </c>
      <c r="C8" s="327"/>
      <c r="D8" s="327"/>
    </row>
    <row r="9" spans="1:7" ht="18" customHeight="1" thickTop="1">
      <c r="A9" s="346" t="s">
        <v>97</v>
      </c>
      <c r="B9" s="347" t="s">
        <v>146</v>
      </c>
      <c r="C9" s="328"/>
      <c r="D9" s="328"/>
      <c r="E9" s="328"/>
      <c r="F9" s="327"/>
      <c r="G9" s="327"/>
    </row>
    <row r="10" spans="1:7" ht="18" customHeight="1">
      <c r="A10" s="339" t="s">
        <v>98</v>
      </c>
      <c r="B10" s="340">
        <v>38498</v>
      </c>
      <c r="C10" s="328"/>
      <c r="D10" s="328"/>
      <c r="E10" s="328"/>
      <c r="F10" s="328"/>
      <c r="G10" s="328"/>
    </row>
    <row r="11" spans="1:7" ht="18" customHeight="1">
      <c r="A11" s="337" t="s">
        <v>99</v>
      </c>
      <c r="B11" s="341" t="s">
        <v>126</v>
      </c>
      <c r="F11" s="328"/>
      <c r="G11" s="328"/>
    </row>
    <row r="12" spans="1:5" ht="114.75">
      <c r="A12" s="339" t="s">
        <v>100</v>
      </c>
      <c r="B12" s="342" t="s">
        <v>201</v>
      </c>
      <c r="C12" s="329"/>
      <c r="D12" s="329"/>
      <c r="E12" s="330"/>
    </row>
    <row r="13" spans="1:7" ht="18" customHeight="1">
      <c r="A13" s="574" t="s">
        <v>101</v>
      </c>
      <c r="B13" s="344" t="s">
        <v>133</v>
      </c>
      <c r="C13" s="331"/>
      <c r="D13" s="331"/>
      <c r="E13" s="331"/>
      <c r="F13" s="331"/>
      <c r="G13" s="331"/>
    </row>
    <row r="14" spans="1:7" ht="18" customHeight="1">
      <c r="A14" s="575"/>
      <c r="B14" s="345" t="s">
        <v>139</v>
      </c>
      <c r="C14" s="331"/>
      <c r="D14" s="331"/>
      <c r="E14" s="331"/>
      <c r="F14" s="331"/>
      <c r="G14" s="331"/>
    </row>
    <row r="15" spans="1:7" ht="18" customHeight="1">
      <c r="A15" s="576"/>
      <c r="B15" s="347" t="s">
        <v>134</v>
      </c>
      <c r="C15" s="327"/>
      <c r="D15" s="327"/>
      <c r="E15" s="327"/>
      <c r="F15" s="331"/>
      <c r="G15" s="331"/>
    </row>
    <row r="16" spans="1:7" ht="27.75" customHeight="1">
      <c r="A16" s="337" t="s">
        <v>96</v>
      </c>
      <c r="B16" s="338" t="s">
        <v>168</v>
      </c>
      <c r="D16" s="327"/>
      <c r="E16" s="327"/>
      <c r="F16" s="327"/>
      <c r="G16" s="327"/>
    </row>
    <row r="17" spans="1:2" ht="18" customHeight="1">
      <c r="A17" s="343" t="s">
        <v>102</v>
      </c>
      <c r="B17" s="348" t="s">
        <v>200</v>
      </c>
    </row>
    <row r="18" spans="1:2" ht="6.75" customHeight="1">
      <c r="A18" s="343"/>
      <c r="B18" s="344"/>
    </row>
    <row r="19" spans="1:2" ht="12.75">
      <c r="A19" s="573" t="s">
        <v>103</v>
      </c>
      <c r="B19" s="349" t="s">
        <v>105</v>
      </c>
    </row>
    <row r="20" spans="1:3" ht="25.5">
      <c r="A20" s="573"/>
      <c r="B20" s="345" t="s">
        <v>109</v>
      </c>
      <c r="C20" s="332"/>
    </row>
    <row r="21" spans="1:2" ht="12.75">
      <c r="A21" s="573"/>
      <c r="B21" s="345"/>
    </row>
    <row r="22" spans="1:2" ht="12.75">
      <c r="A22" s="573"/>
      <c r="B22" s="349" t="s">
        <v>110</v>
      </c>
    </row>
    <row r="23" spans="1:3" ht="12.75">
      <c r="A23" s="573"/>
      <c r="B23" s="431" t="s">
        <v>178</v>
      </c>
      <c r="C23" s="332"/>
    </row>
    <row r="24" spans="1:2" ht="12.75">
      <c r="A24" s="573"/>
      <c r="B24" s="345"/>
    </row>
    <row r="25" spans="1:2" ht="12.75">
      <c r="A25" s="573"/>
      <c r="B25" s="349" t="s">
        <v>142</v>
      </c>
    </row>
    <row r="26" spans="1:2" ht="25.5">
      <c r="A26" s="573"/>
      <c r="B26" s="345" t="s">
        <v>203</v>
      </c>
    </row>
    <row r="27" spans="1:2" ht="12.75">
      <c r="A27" s="573"/>
      <c r="B27" s="345"/>
    </row>
    <row r="28" spans="1:2" ht="12.75">
      <c r="A28" s="573"/>
      <c r="B28" s="349" t="s">
        <v>128</v>
      </c>
    </row>
    <row r="29" spans="1:2" ht="25.5">
      <c r="A29" s="573"/>
      <c r="B29" s="345" t="s">
        <v>197</v>
      </c>
    </row>
    <row r="30" spans="1:2" ht="12.75">
      <c r="A30" s="573"/>
      <c r="B30" s="345"/>
    </row>
    <row r="31" spans="1:3" ht="12.75">
      <c r="A31" s="573"/>
      <c r="B31" s="349" t="s">
        <v>129</v>
      </c>
      <c r="C31" s="332"/>
    </row>
    <row r="32" spans="1:2" ht="25.5">
      <c r="A32" s="573"/>
      <c r="B32" s="345" t="s">
        <v>196</v>
      </c>
    </row>
    <row r="33" spans="1:2" ht="12.75">
      <c r="A33" s="573"/>
      <c r="B33" s="345"/>
    </row>
    <row r="34" spans="1:2" ht="12.75">
      <c r="A34" s="573"/>
      <c r="B34" s="349" t="s">
        <v>130</v>
      </c>
    </row>
    <row r="35" spans="1:2" ht="12.75">
      <c r="A35" s="573"/>
      <c r="B35" s="345" t="s">
        <v>179</v>
      </c>
    </row>
    <row r="36" spans="1:2" ht="12.75">
      <c r="A36" s="573"/>
      <c r="B36" s="345"/>
    </row>
    <row r="37" spans="1:2" ht="12.75">
      <c r="A37" s="573"/>
      <c r="B37" s="349" t="s">
        <v>131</v>
      </c>
    </row>
    <row r="38" spans="1:2" ht="12.75">
      <c r="A38" s="573"/>
      <c r="B38" s="345" t="s">
        <v>180</v>
      </c>
    </row>
    <row r="39" spans="1:2" ht="12.75">
      <c r="A39" s="573"/>
      <c r="B39" s="345"/>
    </row>
    <row r="40" spans="1:2" ht="12.75">
      <c r="A40" s="573"/>
      <c r="B40" s="349" t="s">
        <v>132</v>
      </c>
    </row>
    <row r="41" spans="1:2" ht="25.5">
      <c r="A41" s="573"/>
      <c r="B41" s="345" t="s">
        <v>181</v>
      </c>
    </row>
    <row r="42" spans="1:2" ht="6.75" customHeight="1" thickBot="1">
      <c r="A42" s="350"/>
      <c r="B42" s="351"/>
    </row>
    <row r="43" ht="13.5" thickTop="1"/>
    <row r="44" ht="51">
      <c r="B44" s="572" t="s">
        <v>220</v>
      </c>
    </row>
  </sheetData>
  <mergeCells count="3">
    <mergeCell ref="A19:A41"/>
    <mergeCell ref="A13:A15"/>
    <mergeCell ref="B2:B6"/>
  </mergeCells>
  <hyperlinks>
    <hyperlink ref="B19" location="'Project Description'!A1" display="Project Description"/>
    <hyperlink ref="B22" location="'ERR &amp; Sensitivity Analysis'!A1" display="ERR &amp; Sensitivty Analysis"/>
    <hyperlink ref="B40" location="'Organic Sesame'!A1" display="Organic Sesame Worksheet"/>
    <hyperlink ref="B37" location="Cashew!A1" display="Cashew Worksheet"/>
    <hyperlink ref="B34" location="Plantain!A1" display="Plantain Worksheet"/>
    <hyperlink ref="B31" location="'No Cost Sharing'!A1" display="No Cost Sharing Analysis"/>
    <hyperlink ref="B28" location="'Cost Sharing'!A1" display="Cost Sharing Analysis"/>
    <hyperlink ref="B25" location="'Aggregated ERRs'!A1" display="Aggregated ERRs"/>
  </hyperlink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2"/>
  <dimension ref="A1:D27"/>
  <sheetViews>
    <sheetView showGridLines="0" tabSelected="1" workbookViewId="0" topLeftCell="A1">
      <selection activeCell="B2" sqref="B2"/>
    </sheetView>
  </sheetViews>
  <sheetFormatPr defaultColWidth="9.140625" defaultRowHeight="12.75"/>
  <cols>
    <col min="1" max="1" width="5.7109375" style="324" customWidth="1"/>
    <col min="2" max="2" width="106.421875" style="325" customWidth="1"/>
    <col min="3" max="3" width="11.57421875" style="325" customWidth="1"/>
    <col min="4" max="16384" width="9.140625" style="325" customWidth="1"/>
  </cols>
  <sheetData>
    <row r="1" spans="1:2" s="322" customFormat="1" ht="12.75">
      <c r="A1" s="556"/>
      <c r="B1" s="557" t="s">
        <v>175</v>
      </c>
    </row>
    <row r="2" spans="2:3" ht="20.25">
      <c r="B2" s="335" t="s">
        <v>170</v>
      </c>
      <c r="C2" s="562"/>
    </row>
    <row r="3" ht="12.75">
      <c r="A3" s="558"/>
    </row>
    <row r="4" spans="2:4" ht="18">
      <c r="B4" s="564" t="s">
        <v>105</v>
      </c>
      <c r="C4" s="563"/>
      <c r="D4" s="563"/>
    </row>
    <row r="5" spans="3:4" ht="12.75">
      <c r="C5" s="430"/>
      <c r="D5" s="430"/>
    </row>
    <row r="6" spans="2:4" ht="51">
      <c r="B6" s="572" t="s">
        <v>220</v>
      </c>
      <c r="C6" s="563"/>
      <c r="D6" s="563"/>
    </row>
    <row r="7" ht="12.75">
      <c r="B7" s="559"/>
    </row>
    <row r="8" spans="2:3" ht="12.75">
      <c r="B8" s="565" t="s">
        <v>106</v>
      </c>
      <c r="C8" s="565"/>
    </row>
    <row r="9" spans="2:3" ht="6.75" customHeight="1">
      <c r="B9" s="565"/>
      <c r="C9" s="565"/>
    </row>
    <row r="10" ht="114.75">
      <c r="B10" s="555" t="s">
        <v>209</v>
      </c>
    </row>
    <row r="11" ht="12.75">
      <c r="B11" s="560"/>
    </row>
    <row r="12" spans="1:2" ht="12.75">
      <c r="A12" s="561"/>
      <c r="B12" s="430" t="s">
        <v>107</v>
      </c>
    </row>
    <row r="13" spans="1:2" ht="6.75" customHeight="1">
      <c r="A13" s="561"/>
      <c r="B13" s="430"/>
    </row>
    <row r="14" spans="1:2" ht="32.25" customHeight="1">
      <c r="A14" s="561"/>
      <c r="B14" s="325" t="s">
        <v>192</v>
      </c>
    </row>
    <row r="15" spans="1:2" ht="45.75" customHeight="1">
      <c r="A15" s="561"/>
      <c r="B15" s="325" t="s">
        <v>193</v>
      </c>
    </row>
    <row r="16" spans="1:2" ht="46.5" customHeight="1">
      <c r="A16" s="561"/>
      <c r="B16" s="325" t="s">
        <v>194</v>
      </c>
    </row>
    <row r="17" spans="1:2" ht="40.5" customHeight="1">
      <c r="A17" s="561"/>
      <c r="B17" s="325" t="s">
        <v>195</v>
      </c>
    </row>
    <row r="19" ht="12.75">
      <c r="B19" s="430" t="s">
        <v>108</v>
      </c>
    </row>
    <row r="20" ht="6.75" customHeight="1"/>
    <row r="21" ht="53.25" customHeight="1">
      <c r="B21" s="560" t="s">
        <v>202</v>
      </c>
    </row>
    <row r="22" ht="106.5" customHeight="1">
      <c r="B22" s="560" t="s">
        <v>221</v>
      </c>
    </row>
    <row r="23" ht="55.5" customHeight="1">
      <c r="B23" s="560" t="s">
        <v>204</v>
      </c>
    </row>
    <row r="24" ht="57" customHeight="1">
      <c r="B24" s="560" t="s">
        <v>210</v>
      </c>
    </row>
    <row r="25" ht="12.75">
      <c r="B25" s="559"/>
    </row>
    <row r="27" ht="12.75">
      <c r="B27" s="326" t="s">
        <v>175</v>
      </c>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3"/>
  <dimension ref="A1:O106"/>
  <sheetViews>
    <sheetView showGridLines="0" zoomScale="90" zoomScaleNormal="90" workbookViewId="0" topLeftCell="A1">
      <selection activeCell="A1" sqref="A1"/>
    </sheetView>
  </sheetViews>
  <sheetFormatPr defaultColWidth="9.140625" defaultRowHeight="12.75"/>
  <cols>
    <col min="1" max="1" width="5.7109375" style="362" customWidth="1"/>
    <col min="2" max="2" width="18.8515625" style="355" customWidth="1"/>
    <col min="3" max="3" width="53.57421875" style="355" customWidth="1"/>
    <col min="4" max="4" width="15.00390625" style="355" customWidth="1"/>
    <col min="5" max="5" width="15.7109375" style="355" customWidth="1"/>
    <col min="6" max="6" width="15.28125" style="355" customWidth="1"/>
    <col min="7" max="7" width="16.57421875" style="355" customWidth="1"/>
    <col min="8" max="8" width="5.421875" style="355" customWidth="1"/>
    <col min="9" max="9" width="20.140625" style="355" customWidth="1"/>
    <col min="10" max="16384" width="9.140625" style="355" customWidth="1"/>
  </cols>
  <sheetData>
    <row r="1" spans="1:7" s="417" customFormat="1" ht="12.75">
      <c r="A1" s="416"/>
      <c r="G1" s="418"/>
    </row>
    <row r="2" spans="1:7" s="357" customFormat="1" ht="23.25">
      <c r="A2" s="419"/>
      <c r="B2" s="420" t="s">
        <v>170</v>
      </c>
      <c r="C2" s="23"/>
      <c r="D2" s="421"/>
      <c r="E2" s="23"/>
      <c r="F2" s="23"/>
      <c r="G2" s="23"/>
    </row>
    <row r="3" spans="1:7" s="357" customFormat="1" ht="12.75">
      <c r="A3" s="419"/>
      <c r="B3" s="23"/>
      <c r="C3" s="23"/>
      <c r="D3" s="23"/>
      <c r="E3" s="23"/>
      <c r="F3" s="422"/>
      <c r="G3" s="23"/>
    </row>
    <row r="4" spans="1:7" s="357" customFormat="1" ht="18">
      <c r="A4" s="419"/>
      <c r="B4" s="423" t="s">
        <v>119</v>
      </c>
      <c r="C4" s="23"/>
      <c r="D4" s="23"/>
      <c r="E4" s="23"/>
      <c r="F4" s="23"/>
      <c r="G4" s="424" t="s">
        <v>176</v>
      </c>
    </row>
    <row r="5" spans="1:7" s="357" customFormat="1" ht="12.75">
      <c r="A5" s="419"/>
      <c r="B5" s="23"/>
      <c r="C5" s="23"/>
      <c r="D5" s="23"/>
      <c r="E5" s="23"/>
      <c r="F5" s="23"/>
      <c r="G5" s="23"/>
    </row>
    <row r="6" spans="1:8" s="357" customFormat="1" ht="41.25" customHeight="1">
      <c r="A6" s="419"/>
      <c r="B6" s="580" t="s">
        <v>173</v>
      </c>
      <c r="C6" s="580"/>
      <c r="D6" s="580"/>
      <c r="E6" s="580"/>
      <c r="F6" s="580"/>
      <c r="G6" s="580"/>
      <c r="H6" s="325"/>
    </row>
    <row r="7" spans="3:8" ht="12.75">
      <c r="C7" s="363"/>
      <c r="D7" s="363"/>
      <c r="E7" s="363"/>
      <c r="F7" s="363"/>
      <c r="G7" s="363"/>
      <c r="H7" s="363"/>
    </row>
    <row r="8" spans="2:7" ht="15.75">
      <c r="B8" s="579" t="s">
        <v>171</v>
      </c>
      <c r="C8" s="583" t="s">
        <v>113</v>
      </c>
      <c r="D8" s="585" t="s">
        <v>114</v>
      </c>
      <c r="E8" s="585"/>
      <c r="F8" s="585"/>
      <c r="G8" s="585"/>
    </row>
    <row r="9" spans="2:9" ht="38.25">
      <c r="B9" s="579"/>
      <c r="C9" s="584"/>
      <c r="D9" s="360" t="s">
        <v>115</v>
      </c>
      <c r="E9" s="402" t="s">
        <v>116</v>
      </c>
      <c r="F9" s="361" t="s">
        <v>117</v>
      </c>
      <c r="G9" s="393" t="s">
        <v>118</v>
      </c>
      <c r="I9" s="425" t="s">
        <v>121</v>
      </c>
    </row>
    <row r="10" spans="2:9" ht="33" customHeight="1">
      <c r="B10" s="397" t="s">
        <v>106</v>
      </c>
      <c r="C10" s="403" t="s">
        <v>112</v>
      </c>
      <c r="D10" s="410">
        <v>1</v>
      </c>
      <c r="E10" s="399">
        <v>1</v>
      </c>
      <c r="F10" s="398" t="s">
        <v>174</v>
      </c>
      <c r="G10" s="412">
        <f>IF(D10&gt;=0,D10,0)</f>
        <v>1</v>
      </c>
      <c r="I10" s="2" t="str">
        <f>IF(D10=E10,IF(D11=E11,"Y","N"),"N")</f>
        <v>Y</v>
      </c>
    </row>
    <row r="11" spans="2:9" ht="33" customHeight="1">
      <c r="B11" s="388" t="s">
        <v>106</v>
      </c>
      <c r="C11" s="404" t="s">
        <v>111</v>
      </c>
      <c r="D11" s="411">
        <v>1</v>
      </c>
      <c r="E11" s="401">
        <v>1</v>
      </c>
      <c r="F11" s="400" t="s">
        <v>174</v>
      </c>
      <c r="G11" s="20">
        <f>IF(D11&gt;=0,D11,0)</f>
        <v>1</v>
      </c>
      <c r="I11" s="426" t="str">
        <f>IF(D13=E13,IF(D14=E14,IF(D15=E15,IF(D16=E16,IF(D17=E17,IF(D18=E18,IF(D19=E19,IF(D20=E20,"Y","N"),"N"),"N"),"N"),"N"),"N"),"N"),"N")</f>
        <v>Y</v>
      </c>
    </row>
    <row r="12" spans="3:9" ht="12.75">
      <c r="C12" s="325"/>
      <c r="D12" s="354"/>
      <c r="E12" s="354"/>
      <c r="F12" s="354"/>
      <c r="G12" s="354"/>
      <c r="I12" s="356"/>
    </row>
    <row r="13" spans="2:9" ht="33" customHeight="1">
      <c r="B13" s="397" t="s">
        <v>122</v>
      </c>
      <c r="C13" s="405" t="s">
        <v>198</v>
      </c>
      <c r="D13" s="435">
        <v>1</v>
      </c>
      <c r="E13" s="398">
        <v>1</v>
      </c>
      <c r="F13" s="408" t="s">
        <v>174</v>
      </c>
      <c r="G13" s="412">
        <f>IF($I$10="Y",D13,E13)</f>
        <v>1</v>
      </c>
      <c r="I13" s="427" t="s">
        <v>120</v>
      </c>
    </row>
    <row r="14" spans="2:15" ht="33" customHeight="1">
      <c r="B14" s="387" t="s">
        <v>122</v>
      </c>
      <c r="C14" s="407" t="s">
        <v>189</v>
      </c>
      <c r="D14" s="436">
        <v>0.06</v>
      </c>
      <c r="E14" s="395">
        <v>0.06</v>
      </c>
      <c r="F14" s="409" t="s">
        <v>185</v>
      </c>
      <c r="G14" s="414">
        <f>IF($I$10="Y",D14,E14)</f>
        <v>0.06</v>
      </c>
      <c r="I14" s="3" t="s">
        <v>123</v>
      </c>
      <c r="O14" s="364"/>
    </row>
    <row r="15" spans="2:15" ht="33" customHeight="1">
      <c r="B15" s="387" t="s">
        <v>122</v>
      </c>
      <c r="C15" s="407" t="s">
        <v>190</v>
      </c>
      <c r="D15" s="436">
        <v>0.048</v>
      </c>
      <c r="E15" s="395">
        <v>0.048</v>
      </c>
      <c r="F15" s="443" t="s">
        <v>184</v>
      </c>
      <c r="G15" s="414">
        <f>IF($I$10="Y",D15,E15)</f>
        <v>0.048</v>
      </c>
      <c r="I15" s="428" t="s">
        <v>124</v>
      </c>
      <c r="O15" s="364"/>
    </row>
    <row r="16" spans="2:15" ht="33" customHeight="1">
      <c r="B16" s="387" t="s">
        <v>122</v>
      </c>
      <c r="C16" s="407" t="s">
        <v>182</v>
      </c>
      <c r="D16" s="432">
        <v>0.45</v>
      </c>
      <c r="E16" s="396">
        <v>0.45</v>
      </c>
      <c r="F16" s="396" t="s">
        <v>186</v>
      </c>
      <c r="G16" s="415">
        <f>IF($I$10="Y",D16,E16)</f>
        <v>0.45</v>
      </c>
      <c r="O16" s="364"/>
    </row>
    <row r="17" spans="2:15" ht="33" customHeight="1">
      <c r="B17" s="387" t="s">
        <v>122</v>
      </c>
      <c r="C17" s="407" t="s">
        <v>183</v>
      </c>
      <c r="D17" s="432">
        <v>30</v>
      </c>
      <c r="E17" s="396">
        <v>30</v>
      </c>
      <c r="F17" s="409" t="s">
        <v>187</v>
      </c>
      <c r="G17" s="415">
        <f>IF($I$10="Y",D17,E17)</f>
        <v>30</v>
      </c>
      <c r="O17" s="364"/>
    </row>
    <row r="18" spans="2:15" ht="33" customHeight="1">
      <c r="B18" s="387" t="s">
        <v>122</v>
      </c>
      <c r="C18" s="406" t="s">
        <v>135</v>
      </c>
      <c r="D18" s="437">
        <f>1/3</f>
        <v>0.3333333333333333</v>
      </c>
      <c r="E18" s="394">
        <f>1/3</f>
        <v>0.3333333333333333</v>
      </c>
      <c r="F18" s="409" t="s">
        <v>188</v>
      </c>
      <c r="G18" s="413">
        <f>IF(D18&gt;=0,IF($D$21&gt;1,1/3,D18),0)</f>
        <v>0.3333333333333333</v>
      </c>
      <c r="I18" s="358"/>
      <c r="O18" s="364"/>
    </row>
    <row r="19" spans="2:15" ht="33" customHeight="1">
      <c r="B19" s="448" t="s">
        <v>122</v>
      </c>
      <c r="C19" s="449" t="s">
        <v>136</v>
      </c>
      <c r="D19" s="437">
        <f>1/3</f>
        <v>0.3333333333333333</v>
      </c>
      <c r="E19" s="394">
        <f>1/3</f>
        <v>0.3333333333333333</v>
      </c>
      <c r="F19" s="440" t="s">
        <v>188</v>
      </c>
      <c r="G19" s="442">
        <f>IF(D19&gt;=0,IF($D$21&gt;1,1/3,D19),0)</f>
        <v>0.3333333333333333</v>
      </c>
      <c r="H19" s="387"/>
      <c r="I19" s="359"/>
      <c r="O19" s="364"/>
    </row>
    <row r="20" spans="2:15" ht="33" customHeight="1">
      <c r="B20" s="450" t="s">
        <v>122</v>
      </c>
      <c r="C20" s="447" t="s">
        <v>137</v>
      </c>
      <c r="D20" s="446">
        <f>1/3</f>
        <v>0.3333333333333333</v>
      </c>
      <c r="E20" s="438">
        <f>1/3</f>
        <v>0.3333333333333333</v>
      </c>
      <c r="F20" s="439" t="s">
        <v>188</v>
      </c>
      <c r="G20" s="441">
        <f>IF(D20&gt;=0,IF($D$21&gt;1,1/3,D20),0)</f>
        <v>0.3333333333333333</v>
      </c>
      <c r="H20" s="387"/>
      <c r="I20" s="359"/>
      <c r="O20" s="364"/>
    </row>
    <row r="21" spans="2:15" ht="33" customHeight="1">
      <c r="B21" s="451" t="s">
        <v>138</v>
      </c>
      <c r="C21" s="433">
        <f>IF(G66="Y","","Note: The amount of farm land used must be equal to 100%")</f>
      </c>
      <c r="D21" s="444">
        <f>SUM(D18:D20)</f>
        <v>1</v>
      </c>
      <c r="E21" s="434">
        <v>1</v>
      </c>
      <c r="F21" s="434">
        <v>1</v>
      </c>
      <c r="G21" s="445">
        <f>SUM(G18:G20)</f>
        <v>1</v>
      </c>
      <c r="O21" s="364"/>
    </row>
    <row r="22" spans="4:9" ht="12.75">
      <c r="D22" s="365"/>
      <c r="I22" s="359"/>
    </row>
    <row r="23" spans="2:9" ht="24.75" customHeight="1">
      <c r="B23" s="581">
        <f>IF($I$10="N",IF($I$11="N","Reminder: Please reset all summary parameters to original values before changing specific parameters.  Specific parameters will only be used in ERR computation when all summary parameters are set to initial values",0),0)</f>
        <v>0</v>
      </c>
      <c r="C23" s="581"/>
      <c r="D23" s="581"/>
      <c r="E23" s="581"/>
      <c r="F23" s="581"/>
      <c r="G23" s="581"/>
      <c r="H23" s="430"/>
      <c r="I23" s="359"/>
    </row>
    <row r="24" spans="3:9" ht="12.75">
      <c r="C24" s="429"/>
      <c r="D24" s="430"/>
      <c r="E24" s="430"/>
      <c r="F24" s="430"/>
      <c r="G24" s="430"/>
      <c r="H24" s="430"/>
      <c r="I24" s="359"/>
    </row>
    <row r="25" spans="3:4" ht="12.75">
      <c r="C25" s="391" t="s">
        <v>172</v>
      </c>
      <c r="D25" s="389">
        <f>'Aggregated ERRs'!B44</f>
        <v>0.18144420570441797</v>
      </c>
    </row>
    <row r="26" spans="3:4" ht="12.75">
      <c r="C26" s="392"/>
      <c r="D26" s="367"/>
    </row>
    <row r="27" spans="3:4" ht="12.75">
      <c r="C27" s="391" t="s">
        <v>177</v>
      </c>
      <c r="D27" s="390">
        <v>0.181</v>
      </c>
    </row>
    <row r="31" ht="12.75">
      <c r="D31" s="364"/>
    </row>
    <row r="32" ht="12.75">
      <c r="D32" s="364"/>
    </row>
    <row r="33" ht="12.75">
      <c r="D33" s="364"/>
    </row>
    <row r="34" ht="12.75">
      <c r="D34" s="364"/>
    </row>
    <row r="35" ht="12.75">
      <c r="D35" s="364"/>
    </row>
    <row r="36" ht="16.5" customHeight="1">
      <c r="D36" s="364"/>
    </row>
    <row r="37" ht="12.75">
      <c r="D37" s="364"/>
    </row>
    <row r="38" ht="12.75">
      <c r="D38" s="364"/>
    </row>
    <row r="39" ht="12.75">
      <c r="D39" s="364"/>
    </row>
    <row r="40" ht="12.75">
      <c r="D40" s="364"/>
    </row>
    <row r="45" spans="3:4" ht="15.75">
      <c r="C45" s="586"/>
      <c r="D45" s="586"/>
    </row>
    <row r="51" spans="3:5" ht="12.75">
      <c r="C51" s="582"/>
      <c r="D51" s="582"/>
      <c r="E51" s="582"/>
    </row>
    <row r="55" ht="12.75">
      <c r="E55" s="368"/>
    </row>
    <row r="57" ht="12.75">
      <c r="E57" s="368"/>
    </row>
    <row r="60" spans="3:7" ht="12.75">
      <c r="C60" s="369"/>
      <c r="D60" s="369"/>
      <c r="E60" s="370"/>
      <c r="F60" s="370"/>
      <c r="G60" s="370"/>
    </row>
    <row r="61" spans="3:9" ht="12.75">
      <c r="C61" s="371"/>
      <c r="D61" s="372"/>
      <c r="E61" s="372"/>
      <c r="F61" s="372"/>
      <c r="G61" s="372"/>
      <c r="I61" s="366"/>
    </row>
    <row r="62" spans="3:14" ht="12.75">
      <c r="C62" s="371"/>
      <c r="D62" s="373"/>
      <c r="E62" s="373"/>
      <c r="F62" s="372"/>
      <c r="G62" s="372"/>
      <c r="H62" s="366"/>
      <c r="I62" s="364"/>
      <c r="J62" s="366"/>
      <c r="K62" s="366"/>
      <c r="L62" s="366"/>
      <c r="M62" s="366"/>
      <c r="N62" s="366"/>
    </row>
    <row r="63" spans="3:14" ht="12.75">
      <c r="C63" s="371"/>
      <c r="D63" s="374"/>
      <c r="E63" s="375"/>
      <c r="F63" s="376"/>
      <c r="G63" s="372"/>
      <c r="H63" s="364"/>
      <c r="I63" s="364"/>
      <c r="J63" s="364"/>
      <c r="K63" s="364"/>
      <c r="L63" s="364"/>
      <c r="M63" s="364"/>
      <c r="N63" s="364"/>
    </row>
    <row r="64" spans="3:14" ht="12.75">
      <c r="C64" s="371"/>
      <c r="D64" s="374"/>
      <c r="E64" s="375"/>
      <c r="F64" s="377"/>
      <c r="G64" s="372"/>
      <c r="H64" s="364"/>
      <c r="I64" s="378"/>
      <c r="J64" s="364"/>
      <c r="K64" s="364"/>
      <c r="L64" s="364"/>
      <c r="M64" s="364"/>
      <c r="N64" s="364"/>
    </row>
    <row r="65" spans="3:14" ht="12.75">
      <c r="C65" s="371"/>
      <c r="D65" s="374"/>
      <c r="E65" s="375"/>
      <c r="F65" s="377"/>
      <c r="G65" s="372"/>
      <c r="H65" s="378"/>
      <c r="I65" s="378"/>
      <c r="J65" s="364"/>
      <c r="K65" s="364"/>
      <c r="L65" s="364"/>
      <c r="M65" s="364"/>
      <c r="N65" s="364"/>
    </row>
    <row r="66" spans="3:14" ht="12.75">
      <c r="C66" s="371"/>
      <c r="D66" s="377"/>
      <c r="F66" s="377"/>
      <c r="G66" s="373" t="str">
        <f>IF(99.99%&lt;=D21,IF(100.1%&gt;=D21,"Y","N"),"N")</f>
        <v>Y</v>
      </c>
      <c r="H66" s="379"/>
      <c r="I66" s="364"/>
      <c r="J66" s="364"/>
      <c r="K66" s="364"/>
      <c r="L66" s="364"/>
      <c r="M66" s="364"/>
      <c r="N66" s="364"/>
    </row>
    <row r="67" spans="3:14" ht="12.75">
      <c r="C67" s="371"/>
      <c r="D67" s="372"/>
      <c r="E67" s="372"/>
      <c r="F67" s="372"/>
      <c r="G67" s="372"/>
      <c r="H67" s="364"/>
      <c r="J67" s="364"/>
      <c r="K67" s="364"/>
      <c r="L67" s="364"/>
      <c r="M67" s="364"/>
      <c r="N67" s="364"/>
    </row>
    <row r="68" spans="3:7" ht="12.75">
      <c r="C68" s="371"/>
      <c r="D68" s="357"/>
      <c r="E68" s="372"/>
      <c r="F68" s="372"/>
      <c r="G68" s="372"/>
    </row>
    <row r="69" spans="3:9" ht="12.75">
      <c r="C69" s="371"/>
      <c r="D69" s="372"/>
      <c r="E69" s="380"/>
      <c r="F69" s="380"/>
      <c r="G69" s="380"/>
      <c r="I69" s="364"/>
    </row>
    <row r="70" spans="3:15" ht="12.75">
      <c r="C70" s="381"/>
      <c r="D70" s="381"/>
      <c r="E70" s="382"/>
      <c r="F70" s="382"/>
      <c r="G70" s="382"/>
      <c r="H70" s="364"/>
      <c r="I70" s="383"/>
      <c r="J70" s="364"/>
      <c r="K70" s="364"/>
      <c r="L70" s="364"/>
      <c r="M70" s="364"/>
      <c r="N70" s="364"/>
      <c r="O70" s="364"/>
    </row>
    <row r="71" spans="8:14" ht="12.75">
      <c r="H71" s="383"/>
      <c r="I71" s="383"/>
      <c r="J71" s="383"/>
      <c r="K71" s="383"/>
      <c r="L71" s="383"/>
      <c r="M71" s="383"/>
      <c r="N71" s="383"/>
    </row>
    <row r="72" spans="3:14" ht="15">
      <c r="C72" s="384"/>
      <c r="D72" s="384"/>
      <c r="E72" s="384"/>
      <c r="F72" s="384"/>
      <c r="G72" s="385"/>
      <c r="H72" s="383"/>
      <c r="J72" s="383"/>
      <c r="K72" s="383"/>
      <c r="L72" s="383"/>
      <c r="M72" s="383"/>
      <c r="N72" s="383"/>
    </row>
    <row r="73" ht="15">
      <c r="I73" s="384"/>
    </row>
    <row r="74" spans="3:14" ht="15">
      <c r="C74" s="358"/>
      <c r="D74" s="358"/>
      <c r="E74" s="366"/>
      <c r="F74" s="366"/>
      <c r="G74" s="366"/>
      <c r="H74" s="384"/>
      <c r="J74" s="384"/>
      <c r="K74" s="384"/>
      <c r="L74" s="384"/>
      <c r="M74" s="384"/>
      <c r="N74" s="384"/>
    </row>
    <row r="75" spans="5:9" ht="12.75">
      <c r="E75" s="364"/>
      <c r="F75" s="364"/>
      <c r="G75" s="364"/>
      <c r="I75" s="366"/>
    </row>
    <row r="76" spans="5:14" ht="12.75">
      <c r="E76" s="364"/>
      <c r="F76" s="364"/>
      <c r="G76" s="364"/>
      <c r="H76" s="366"/>
      <c r="I76" s="364"/>
      <c r="J76" s="366"/>
      <c r="K76" s="366"/>
      <c r="L76" s="366"/>
      <c r="M76" s="366"/>
      <c r="N76" s="366"/>
    </row>
    <row r="77" spans="5:14" ht="12.75">
      <c r="E77" s="364"/>
      <c r="F77" s="364"/>
      <c r="G77" s="364"/>
      <c r="H77" s="364"/>
      <c r="I77" s="364"/>
      <c r="J77" s="364"/>
      <c r="K77" s="364"/>
      <c r="L77" s="364"/>
      <c r="M77" s="364"/>
      <c r="N77" s="364"/>
    </row>
    <row r="78" spans="5:14" ht="12.75">
      <c r="E78" s="364"/>
      <c r="F78" s="364"/>
      <c r="G78" s="364"/>
      <c r="H78" s="364"/>
      <c r="I78" s="364"/>
      <c r="J78" s="364"/>
      <c r="K78" s="364"/>
      <c r="L78" s="364"/>
      <c r="M78" s="364"/>
      <c r="N78" s="364"/>
    </row>
    <row r="79" spans="5:14" ht="12.75">
      <c r="E79" s="365"/>
      <c r="H79" s="364"/>
      <c r="I79" s="364"/>
      <c r="J79" s="364"/>
      <c r="K79" s="364"/>
      <c r="L79" s="364"/>
      <c r="M79" s="364"/>
      <c r="N79" s="364"/>
    </row>
    <row r="80" spans="8:14" ht="12.75">
      <c r="H80" s="364"/>
      <c r="J80" s="364"/>
      <c r="K80" s="364"/>
      <c r="L80" s="364"/>
      <c r="M80" s="364"/>
      <c r="N80" s="364"/>
    </row>
    <row r="81" spans="2:7" ht="29.25" customHeight="1">
      <c r="B81" s="578" t="s">
        <v>199</v>
      </c>
      <c r="C81" s="578"/>
      <c r="D81" s="578"/>
      <c r="E81" s="578"/>
      <c r="F81" s="578"/>
      <c r="G81" s="578"/>
    </row>
    <row r="82" spans="3:7" ht="12.75">
      <c r="C82" s="358"/>
      <c r="D82" s="358"/>
      <c r="E82" s="366"/>
      <c r="F82" s="366"/>
      <c r="G82" s="366"/>
    </row>
    <row r="83" spans="5:9" ht="12.75">
      <c r="E83" s="364"/>
      <c r="F83" s="364"/>
      <c r="G83" s="364"/>
      <c r="I83" s="366"/>
    </row>
    <row r="84" spans="5:14" ht="12.75">
      <c r="E84" s="364"/>
      <c r="F84" s="364"/>
      <c r="G84" s="364"/>
      <c r="H84" s="366"/>
      <c r="I84" s="364"/>
      <c r="J84" s="366"/>
      <c r="K84" s="366"/>
      <c r="L84" s="366"/>
      <c r="M84" s="366"/>
      <c r="N84" s="366"/>
    </row>
    <row r="85" spans="5:14" ht="12.75">
      <c r="E85" s="364"/>
      <c r="F85" s="364"/>
      <c r="G85" s="364"/>
      <c r="H85" s="364"/>
      <c r="I85" s="364"/>
      <c r="J85" s="364"/>
      <c r="K85" s="364"/>
      <c r="L85" s="364"/>
      <c r="M85" s="364"/>
      <c r="N85" s="364"/>
    </row>
    <row r="86" spans="5:14" ht="12.75">
      <c r="E86" s="364"/>
      <c r="F86" s="364"/>
      <c r="G86" s="364"/>
      <c r="H86" s="364"/>
      <c r="I86" s="364"/>
      <c r="J86" s="364"/>
      <c r="K86" s="364"/>
      <c r="L86" s="364"/>
      <c r="M86" s="364"/>
      <c r="N86" s="364"/>
    </row>
    <row r="87" spans="5:14" ht="12.75">
      <c r="E87" s="365"/>
      <c r="H87" s="364"/>
      <c r="I87" s="364"/>
      <c r="J87" s="364"/>
      <c r="K87" s="364"/>
      <c r="L87" s="364"/>
      <c r="M87" s="364"/>
      <c r="N87" s="364"/>
    </row>
    <row r="88" spans="8:14" ht="12.75">
      <c r="H88" s="364"/>
      <c r="J88" s="364"/>
      <c r="K88" s="364"/>
      <c r="L88" s="364"/>
      <c r="M88" s="364"/>
      <c r="N88" s="364"/>
    </row>
    <row r="91" ht="12.75">
      <c r="D91" s="364"/>
    </row>
    <row r="93" spans="4:14" ht="12.75">
      <c r="D93" s="386"/>
      <c r="E93" s="386"/>
      <c r="F93" s="378"/>
      <c r="G93" s="378"/>
      <c r="N93" s="364"/>
    </row>
    <row r="94" spans="4:7" ht="12.75">
      <c r="D94" s="364"/>
      <c r="E94" s="364"/>
      <c r="F94" s="364"/>
      <c r="G94" s="364"/>
    </row>
    <row r="95" spans="4:9" ht="12.75">
      <c r="D95" s="365"/>
      <c r="H95" s="378"/>
      <c r="I95" s="364"/>
    </row>
    <row r="96" spans="8:13" ht="12.75">
      <c r="H96" s="364"/>
      <c r="J96" s="364"/>
      <c r="K96" s="364"/>
      <c r="L96" s="364"/>
      <c r="M96" s="364"/>
    </row>
    <row r="100" ht="27.75" customHeight="1"/>
    <row r="101" ht="12.75" hidden="1"/>
    <row r="102" ht="30.75" customHeight="1"/>
    <row r="103" ht="9.75" customHeight="1"/>
    <row r="104" ht="13.5" customHeight="1">
      <c r="C104" s="365"/>
    </row>
    <row r="105" ht="35.25" customHeight="1"/>
    <row r="106" ht="27.75" customHeight="1">
      <c r="C106" s="365"/>
    </row>
    <row r="108" ht="23.25" customHeight="1"/>
  </sheetData>
  <mergeCells count="8">
    <mergeCell ref="B81:G81"/>
    <mergeCell ref="B8:B9"/>
    <mergeCell ref="B6:G6"/>
    <mergeCell ref="B23:G23"/>
    <mergeCell ref="C51:E51"/>
    <mergeCell ref="C8:C9"/>
    <mergeCell ref="D8:G8"/>
    <mergeCell ref="C45:D45"/>
  </mergeCells>
  <conditionalFormatting sqref="C24 B23">
    <cfRule type="cellIs" priority="1" dxfId="0" operator="equal" stopIfTrue="1">
      <formula>0</formula>
    </cfRule>
    <cfRule type="cellIs" priority="2" dxfId="1" operator="notEqual" stopIfTrue="1">
      <formula>0</formula>
    </cfRule>
  </conditionalFormatting>
  <hyperlinks>
    <hyperlink ref="I14" location="'Project Description'!A1" display="Project Description"/>
    <hyperlink ref="I15" location="'User''s Guide'!A1" display="User's Guide"/>
  </hyperlinks>
  <printOptions/>
  <pageMargins left="0.75" right="0.75" top="1" bottom="1" header="0.5" footer="0.5"/>
  <pageSetup horizontalDpi="600" verticalDpi="600" orientation="portrait" r:id="rId3"/>
  <drawing r:id="rId2"/>
  <legacyDrawing r:id="rId1"/>
</worksheet>
</file>

<file path=xl/worksheets/sheet4.xml><?xml version="1.0" encoding="utf-8"?>
<worksheet xmlns="http://schemas.openxmlformats.org/spreadsheetml/2006/main" xmlns:r="http://schemas.openxmlformats.org/officeDocument/2006/relationships">
  <sheetPr codeName="Sheet4"/>
  <dimension ref="A1:V82"/>
  <sheetViews>
    <sheetView showGridLines="0" workbookViewId="0" topLeftCell="A22">
      <selection activeCell="D41" sqref="D41"/>
    </sheetView>
  </sheetViews>
  <sheetFormatPr defaultColWidth="9.140625" defaultRowHeight="12.75"/>
  <cols>
    <col min="1" max="1" width="36.00390625" style="454" customWidth="1"/>
    <col min="2" max="2" width="14.57421875" style="454" bestFit="1" customWidth="1"/>
    <col min="3" max="3" width="15.140625" style="454" bestFit="1" customWidth="1"/>
    <col min="4" max="4" width="14.140625" style="454" bestFit="1" customWidth="1"/>
    <col min="5" max="5" width="14.421875" style="454" bestFit="1" customWidth="1"/>
    <col min="6" max="6" width="14.00390625" style="454" customWidth="1"/>
    <col min="7" max="7" width="14.421875" style="454" bestFit="1" customWidth="1"/>
    <col min="8" max="8" width="14.421875" style="455" customWidth="1"/>
    <col min="9" max="11" width="14.421875" style="21" customWidth="1"/>
    <col min="12" max="14" width="13.8515625" style="21" customWidth="1"/>
    <col min="15" max="15" width="16.421875" style="21" bestFit="1" customWidth="1"/>
    <col min="16" max="16" width="15.421875" style="21" bestFit="1" customWidth="1"/>
    <col min="17" max="18" width="13.8515625" style="21" bestFit="1" customWidth="1"/>
    <col min="19" max="19" width="15.421875" style="21" bestFit="1" customWidth="1"/>
    <col min="20" max="21" width="9.140625" style="21" customWidth="1"/>
    <col min="22" max="22" width="9.140625" style="456" customWidth="1"/>
    <col min="23" max="16384" width="9.140625" style="454" customWidth="1"/>
  </cols>
  <sheetData>
    <row r="1" spans="1:7" s="325" customFormat="1" ht="40.5" customHeight="1">
      <c r="A1" s="589" t="s">
        <v>170</v>
      </c>
      <c r="B1" s="589"/>
      <c r="C1" s="589"/>
      <c r="D1" s="589"/>
      <c r="G1" s="557" t="s">
        <v>175</v>
      </c>
    </row>
    <row r="2" spans="1:8" ht="15.75">
      <c r="A2" s="568" t="s">
        <v>216</v>
      </c>
      <c r="B2" s="569"/>
      <c r="C2" s="569"/>
      <c r="D2" s="569"/>
      <c r="E2" s="569"/>
      <c r="F2" s="569"/>
      <c r="G2" s="569"/>
      <c r="H2" s="21"/>
    </row>
    <row r="3" spans="1:22" ht="12.75">
      <c r="A3" s="570"/>
      <c r="B3" s="569"/>
      <c r="C3" s="569"/>
      <c r="D3" s="569"/>
      <c r="E3" s="569"/>
      <c r="F3" s="569"/>
      <c r="G3" s="569"/>
      <c r="H3" s="22"/>
      <c r="I3" s="22"/>
      <c r="J3" s="22"/>
      <c r="K3" s="22"/>
      <c r="L3" s="22"/>
      <c r="M3" s="22"/>
      <c r="N3" s="22"/>
      <c r="O3" s="22"/>
      <c r="P3" s="22"/>
      <c r="Q3" s="22"/>
      <c r="R3" s="22"/>
      <c r="S3" s="22"/>
      <c r="T3" s="22"/>
      <c r="U3" s="22"/>
      <c r="V3" s="453"/>
    </row>
    <row r="4" spans="1:22" ht="12.75">
      <c r="A4" s="587">
        <f>IF('ERR &amp; Sensitivity Analysis'!$I$10="N","Note: Current calculations are based on user input and are not the original MCC estimates.",IF('ERR &amp; Sensitivity Analysis'!$I$11="N","Note: Current calculations are based on user input and are not the original MCC estimates.",0))</f>
        <v>0</v>
      </c>
      <c r="B4" s="588"/>
      <c r="C4" s="588"/>
      <c r="D4" s="588"/>
      <c r="E4" s="588"/>
      <c r="F4" s="588"/>
      <c r="G4" s="588"/>
      <c r="H4" s="22"/>
      <c r="I4" s="22"/>
      <c r="J4" s="22"/>
      <c r="K4" s="22"/>
      <c r="L4" s="22"/>
      <c r="M4" s="22"/>
      <c r="N4" s="22"/>
      <c r="O4" s="22"/>
      <c r="P4" s="22"/>
      <c r="Q4" s="22"/>
      <c r="R4" s="22"/>
      <c r="S4" s="22"/>
      <c r="T4" s="22"/>
      <c r="U4" s="22"/>
      <c r="V4" s="453"/>
    </row>
    <row r="5" spans="1:8" ht="13.5" thickBot="1">
      <c r="A5" s="571" t="s">
        <v>45</v>
      </c>
      <c r="B5" s="569"/>
      <c r="C5" s="569"/>
      <c r="D5" s="569"/>
      <c r="E5" s="569"/>
      <c r="F5" s="569"/>
      <c r="G5" s="569"/>
      <c r="H5" s="21"/>
    </row>
    <row r="6" spans="1:7" ht="13.5" thickBot="1">
      <c r="A6" s="457" t="s">
        <v>0</v>
      </c>
      <c r="B6" s="458">
        <v>1</v>
      </c>
      <c r="C6" s="458">
        <f>B6+1</f>
        <v>2</v>
      </c>
      <c r="D6" s="458">
        <f>C6+1</f>
        <v>3</v>
      </c>
      <c r="E6" s="458">
        <f>D6+1</f>
        <v>4</v>
      </c>
      <c r="F6" s="458">
        <v>5</v>
      </c>
      <c r="G6" s="459" t="s">
        <v>2</v>
      </c>
    </row>
    <row r="7" spans="1:7" ht="12.75">
      <c r="A7" s="460"/>
      <c r="B7" s="461"/>
      <c r="C7" s="462"/>
      <c r="D7" s="463"/>
      <c r="E7" s="462"/>
      <c r="F7" s="463"/>
      <c r="G7" s="463"/>
    </row>
    <row r="8" spans="1:7" ht="12.75">
      <c r="A8" s="464" t="s">
        <v>222</v>
      </c>
      <c r="B8" s="465">
        <f>1000975*'ERR &amp; Sensitivity Analysis'!G10</f>
        <v>1000975</v>
      </c>
      <c r="C8" s="466">
        <f>970850*'ERR &amp; Sensitivity Analysis'!G10</f>
        <v>970850</v>
      </c>
      <c r="D8" s="465">
        <f>1088650*'ERR &amp; Sensitivity Analysis'!G10</f>
        <v>1088650</v>
      </c>
      <c r="E8" s="466">
        <f>1069250*'ERR &amp; Sensitivity Analysis'!G10</f>
        <v>1069250</v>
      </c>
      <c r="F8" s="465">
        <f>235992.5*'ERR &amp; Sensitivity Analysis'!G10</f>
        <v>235992.5</v>
      </c>
      <c r="G8" s="467">
        <f aca="true" t="shared" si="0" ref="G8:G16">SUM(B8:F8)</f>
        <v>4365717.5</v>
      </c>
    </row>
    <row r="9" spans="1:7" ht="12.75">
      <c r="A9" s="464"/>
      <c r="B9" s="465"/>
      <c r="C9" s="466"/>
      <c r="D9" s="465"/>
      <c r="E9" s="466"/>
      <c r="F9" s="465"/>
      <c r="G9" s="467"/>
    </row>
    <row r="10" spans="1:8" ht="12.75">
      <c r="A10" s="464" t="s">
        <v>223</v>
      </c>
      <c r="B10" s="465">
        <f>845880*'ERR &amp; Sensitivity Analysis'!G10</f>
        <v>845880</v>
      </c>
      <c r="C10" s="466">
        <f>2537640*'ERR &amp; Sensitivity Analysis'!G10</f>
        <v>2537640</v>
      </c>
      <c r="D10" s="465">
        <f>2537640*'ERR &amp; Sensitivity Analysis'!G10</f>
        <v>2537640</v>
      </c>
      <c r="E10" s="466">
        <f>2537640*'ERR &amp; Sensitivity Analysis'!G10</f>
        <v>2537640</v>
      </c>
      <c r="F10" s="465">
        <v>0</v>
      </c>
      <c r="G10" s="467">
        <f t="shared" si="0"/>
        <v>8458800</v>
      </c>
      <c r="H10" s="468"/>
    </row>
    <row r="11" spans="1:7" ht="12.75">
      <c r="A11" s="464"/>
      <c r="B11" s="465"/>
      <c r="C11" s="466"/>
      <c r="D11" s="465"/>
      <c r="E11" s="466"/>
      <c r="F11" s="465"/>
      <c r="G11" s="467"/>
    </row>
    <row r="12" spans="1:7" ht="12.75">
      <c r="A12" s="464" t="s">
        <v>224</v>
      </c>
      <c r="B12" s="465">
        <f>319325*'ERR &amp; Sensitivity Analysis'!G10</f>
        <v>319325</v>
      </c>
      <c r="C12" s="466">
        <f>299325*'ERR &amp; Sensitivity Analysis'!G10</f>
        <v>299325</v>
      </c>
      <c r="D12" s="465">
        <f>299325*'ERR &amp; Sensitivity Analysis'!G10</f>
        <v>299325</v>
      </c>
      <c r="E12" s="466">
        <f>299325*'ERR &amp; Sensitivity Analysis'!G10</f>
        <v>299325</v>
      </c>
      <c r="F12" s="465">
        <v>0</v>
      </c>
      <c r="G12" s="467">
        <f t="shared" si="0"/>
        <v>1217300</v>
      </c>
    </row>
    <row r="13" spans="1:7" ht="12.75">
      <c r="A13" s="464"/>
      <c r="B13" s="465"/>
      <c r="C13" s="466"/>
      <c r="D13" s="465"/>
      <c r="E13" s="466"/>
      <c r="F13" s="465"/>
      <c r="G13" s="467"/>
    </row>
    <row r="14" spans="1:7" ht="12.75">
      <c r="A14" s="464" t="s">
        <v>225</v>
      </c>
      <c r="B14" s="465">
        <f>499571*'ERR &amp; Sensitivity Analysis'!G10</f>
        <v>499571</v>
      </c>
      <c r="C14" s="466">
        <f>499571*'ERR &amp; Sensitivity Analysis'!D10</f>
        <v>499571</v>
      </c>
      <c r="D14" s="465">
        <f>499571*'ERR &amp; Sensitivity Analysis'!G10</f>
        <v>499571</v>
      </c>
      <c r="E14" s="466">
        <f>499571*'ERR &amp; Sensitivity Analysis'!G10</f>
        <v>499571</v>
      </c>
      <c r="F14" s="465">
        <v>0</v>
      </c>
      <c r="G14" s="467">
        <f t="shared" si="0"/>
        <v>1998284</v>
      </c>
    </row>
    <row r="15" spans="1:7" ht="12.75">
      <c r="A15" s="464"/>
      <c r="B15" s="465"/>
      <c r="C15" s="466"/>
      <c r="D15" s="465"/>
      <c r="E15" s="466"/>
      <c r="F15" s="465"/>
      <c r="G15" s="467"/>
    </row>
    <row r="16" spans="1:7" ht="12.75">
      <c r="A16" s="464" t="s">
        <v>226</v>
      </c>
      <c r="B16" s="465">
        <f>256800*'ERR &amp; Sensitivity Analysis'!G10</f>
        <v>256800</v>
      </c>
      <c r="C16" s="466">
        <f>385200*'ERR &amp; Sensitivity Analysis'!G10</f>
        <v>385200</v>
      </c>
      <c r="D16" s="465">
        <f>385200*'ERR &amp; Sensitivity Analysis'!G10</f>
        <v>385200</v>
      </c>
      <c r="E16" s="466">
        <f>256800*'ERR &amp; Sensitivity Analysis'!G10</f>
        <v>256800</v>
      </c>
      <c r="F16" s="465">
        <v>0</v>
      </c>
      <c r="G16" s="467">
        <f t="shared" si="0"/>
        <v>1284000</v>
      </c>
    </row>
    <row r="17" spans="1:7" ht="12.75">
      <c r="A17" s="464"/>
      <c r="B17" s="465"/>
      <c r="C17" s="466"/>
      <c r="D17" s="465"/>
      <c r="E17" s="466"/>
      <c r="F17" s="465"/>
      <c r="G17" s="467"/>
    </row>
    <row r="18" spans="1:7" ht="12.75">
      <c r="A18" s="464" t="s">
        <v>227</v>
      </c>
      <c r="B18" s="465">
        <f>1800325*'ERR &amp; Sensitivity Analysis'!G10</f>
        <v>1800325</v>
      </c>
      <c r="C18" s="466">
        <f>2460000*'ERR &amp; Sensitivity Analysis'!G10</f>
        <v>2460000</v>
      </c>
      <c r="D18" s="465">
        <f>3640000*'ERR &amp; Sensitivity Analysis'!G10</f>
        <v>3640000</v>
      </c>
      <c r="E18" s="466">
        <f>5410000*'ERR &amp; Sensitivity Analysis'!G10</f>
        <v>5410000</v>
      </c>
      <c r="F18" s="465">
        <v>0</v>
      </c>
      <c r="G18" s="467">
        <f>SUM(B18:F18)</f>
        <v>13310325</v>
      </c>
    </row>
    <row r="19" spans="1:7" ht="12.75">
      <c r="A19" s="469" t="s">
        <v>1</v>
      </c>
      <c r="B19" s="470">
        <f>1235427.32342253*'ERR &amp; Sensitivity Analysis'!G10</f>
        <v>1235427.32342253</v>
      </c>
      <c r="C19" s="471">
        <f>971936.490956579*'ERR &amp; Sensitivity Analysis'!G10</f>
        <v>971936.490956579</v>
      </c>
      <c r="D19" s="470">
        <f>1132592.07607282*'ERR &amp; Sensitivity Analysis'!G10</f>
        <v>1132592.07607282</v>
      </c>
      <c r="E19" s="471">
        <f>1161446.06101*'ERR &amp; Sensitivity Analysis'!G10</f>
        <v>1161446.06101</v>
      </c>
      <c r="F19" s="470">
        <f>46456.2218288898*'ERR &amp; Sensitivity Analysis'!G10</f>
        <v>46456.2218288898</v>
      </c>
      <c r="G19" s="467">
        <f>SUM(B19:F19)</f>
        <v>4547858.173290819</v>
      </c>
    </row>
    <row r="20" spans="1:7" ht="34.5" customHeight="1" thickBot="1">
      <c r="A20" s="595" t="s">
        <v>228</v>
      </c>
      <c r="B20" s="472"/>
      <c r="C20" s="473"/>
      <c r="D20" s="472"/>
      <c r="E20" s="473"/>
      <c r="F20" s="472"/>
      <c r="G20" s="467"/>
    </row>
    <row r="21" spans="1:7" ht="12.75">
      <c r="A21" s="474" t="s">
        <v>2</v>
      </c>
      <c r="B21" s="475"/>
      <c r="C21" s="476"/>
      <c r="D21" s="475"/>
      <c r="E21" s="476"/>
      <c r="F21" s="475"/>
      <c r="G21" s="475"/>
    </row>
    <row r="22" spans="1:7" ht="12.75">
      <c r="A22" s="477" t="s">
        <v>214</v>
      </c>
      <c r="B22" s="467"/>
      <c r="C22" s="473"/>
      <c r="D22" s="467"/>
      <c r="E22" s="473"/>
      <c r="F22" s="467"/>
      <c r="G22" s="467">
        <v>3000000</v>
      </c>
    </row>
    <row r="23" spans="1:7" ht="12.75">
      <c r="A23" s="566" t="s">
        <v>215</v>
      </c>
      <c r="B23" s="467"/>
      <c r="C23" s="473"/>
      <c r="D23" s="467"/>
      <c r="E23" s="473"/>
      <c r="F23" s="467"/>
      <c r="G23" s="467">
        <f>SUM(G8:G18)+G22</f>
        <v>33634426.5</v>
      </c>
    </row>
    <row r="24" spans="1:9" ht="13.5" thickBot="1">
      <c r="A24" s="567" t="s">
        <v>2</v>
      </c>
      <c r="B24" s="478">
        <f>(B19+B18+B16+B14+B12+B10+B8)</f>
        <v>5958303.32342253</v>
      </c>
      <c r="C24" s="478">
        <f>(C19+C18+C16+C14+C12+C10+C8)</f>
        <v>8124522.490956578</v>
      </c>
      <c r="D24" s="478">
        <f>(D19+D18+D16+D14+D12+D10+D8)</f>
        <v>9582978.07607282</v>
      </c>
      <c r="E24" s="478">
        <f>(E19+E18+E16+E14+E12+E10+E8)</f>
        <v>11234032.06101</v>
      </c>
      <c r="F24" s="478">
        <f>(F19+F18+F16+F14+F12+F10+F8)</f>
        <v>282448.7218288898</v>
      </c>
      <c r="G24" s="478">
        <f>G19+G18+G16+G14+G12+G10+G8</f>
        <v>35182284.67329082</v>
      </c>
      <c r="H24" s="479"/>
      <c r="I24" s="480"/>
    </row>
    <row r="25" spans="1:7" ht="13.5" thickBot="1">
      <c r="A25" s="481"/>
      <c r="B25" s="482"/>
      <c r="C25" s="482"/>
      <c r="D25" s="482"/>
      <c r="E25" s="482"/>
      <c r="F25" s="483"/>
      <c r="G25" s="484"/>
    </row>
    <row r="26" spans="1:7" ht="13.5" thickBot="1">
      <c r="A26" s="485" t="s">
        <v>0</v>
      </c>
      <c r="B26" s="486">
        <v>1</v>
      </c>
      <c r="C26" s="486">
        <f>B26+1</f>
        <v>2</v>
      </c>
      <c r="D26" s="486">
        <f>C26+1</f>
        <v>3</v>
      </c>
      <c r="E26" s="486">
        <f>D26+1</f>
        <v>4</v>
      </c>
      <c r="F26" s="486">
        <v>5</v>
      </c>
      <c r="G26" s="487" t="s">
        <v>2</v>
      </c>
    </row>
    <row r="27" spans="1:7" ht="12.75">
      <c r="A27" s="488" t="s">
        <v>4</v>
      </c>
      <c r="B27" s="489">
        <f>B10</f>
        <v>845880</v>
      </c>
      <c r="C27" s="489">
        <f>C10</f>
        <v>2537640</v>
      </c>
      <c r="D27" s="489">
        <f>D10</f>
        <v>2537640</v>
      </c>
      <c r="E27" s="489">
        <f>E10</f>
        <v>2537640</v>
      </c>
      <c r="F27" s="489">
        <f>F10</f>
        <v>0</v>
      </c>
      <c r="G27" s="490">
        <f>SUM(B27:F27)</f>
        <v>8458800</v>
      </c>
    </row>
    <row r="28" spans="1:7" ht="13.5" thickBot="1">
      <c r="A28" s="491"/>
      <c r="B28" s="492">
        <f>0.9*B8+B12+B14+B16+B19*0.9</f>
        <v>3088458.091080277</v>
      </c>
      <c r="C28" s="492">
        <f>0.9*C8+C12+C14+C16+C19*0.9</f>
        <v>2932603.841860921</v>
      </c>
      <c r="D28" s="492">
        <f>0.9*D8+D12+D14+D16+D19*0.9</f>
        <v>3183213.868465538</v>
      </c>
      <c r="E28" s="492">
        <f>0.9*E8+E12+E14+E16+E19*0.9</f>
        <v>3063322.454909</v>
      </c>
      <c r="F28" s="492">
        <f>0.9*F8+F12+F14+F16+F19*0.9</f>
        <v>254203.84964600083</v>
      </c>
      <c r="G28" s="493">
        <f>SUM(B28:F28)</f>
        <v>12521802.105961738</v>
      </c>
    </row>
    <row r="29" spans="1:7" ht="12.75">
      <c r="A29" s="494" t="s">
        <v>5</v>
      </c>
      <c r="B29" s="495">
        <f>(B28+B27)</f>
        <v>3934338.091080277</v>
      </c>
      <c r="C29" s="495">
        <f>(C28+C27)</f>
        <v>5470243.841860921</v>
      </c>
      <c r="D29" s="495">
        <f>(D28+D27)</f>
        <v>5720853.868465538</v>
      </c>
      <c r="E29" s="495">
        <f>(E28+E27)</f>
        <v>5600962.454909001</v>
      </c>
      <c r="F29" s="496">
        <f>(SUM(F27:F28))</f>
        <v>254203.84964600083</v>
      </c>
      <c r="G29" s="497">
        <f>SUM(B29:F29)</f>
        <v>20980602.10596174</v>
      </c>
    </row>
    <row r="30" spans="1:7" ht="12.75">
      <c r="A30" s="498"/>
      <c r="B30" s="499"/>
      <c r="C30" s="500"/>
      <c r="D30" s="500"/>
      <c r="E30" s="500"/>
      <c r="F30" s="499"/>
      <c r="G30" s="501"/>
    </row>
    <row r="31" spans="1:7" ht="12.75">
      <c r="A31" s="498" t="s">
        <v>212</v>
      </c>
      <c r="B31" s="500">
        <f>B18</f>
        <v>1800325</v>
      </c>
      <c r="C31" s="500">
        <f>C18</f>
        <v>2460000</v>
      </c>
      <c r="D31" s="500">
        <f>D18</f>
        <v>3640000</v>
      </c>
      <c r="E31" s="500">
        <f>E18</f>
        <v>5410000</v>
      </c>
      <c r="F31" s="500">
        <f>F18</f>
        <v>0</v>
      </c>
      <c r="G31" s="501">
        <f>SUM(B31:F31)</f>
        <v>13310325</v>
      </c>
    </row>
    <row r="32" spans="1:7" ht="12.75">
      <c r="A32" s="498"/>
      <c r="B32" s="502"/>
      <c r="C32" s="502"/>
      <c r="D32" s="502"/>
      <c r="E32" s="502"/>
      <c r="F32" s="499"/>
      <c r="G32" s="501"/>
    </row>
    <row r="33" spans="1:7" ht="13.5" thickBot="1">
      <c r="A33" s="503" t="s">
        <v>213</v>
      </c>
      <c r="B33" s="504">
        <f>B31+B8*0.1+B19*0.1</f>
        <v>2023965.232342253</v>
      </c>
      <c r="C33" s="504">
        <f>C31+C8*0.1+C19*0.1</f>
        <v>2654278.6490956577</v>
      </c>
      <c r="D33" s="504">
        <f>D31+D8*0.1+D19*0.1</f>
        <v>3862124.207607282</v>
      </c>
      <c r="E33" s="504">
        <f>E31+E8*0.1+E19*0.1</f>
        <v>5633069.606101</v>
      </c>
      <c r="F33" s="504">
        <f>F31+F8*0.1+F19*0.1</f>
        <v>28244.87218288898</v>
      </c>
      <c r="G33" s="505">
        <f>SUM(B33:F33)</f>
        <v>14201682.56732908</v>
      </c>
    </row>
    <row r="34" spans="1:7" ht="15.75" thickBot="1">
      <c r="A34" s="506" t="s">
        <v>2</v>
      </c>
      <c r="B34" s="507">
        <f>(B33+B29)</f>
        <v>5958303.323422531</v>
      </c>
      <c r="C34" s="507">
        <f>(C33+C29)</f>
        <v>8124522.490956578</v>
      </c>
      <c r="D34" s="507">
        <f>(D33+D29)</f>
        <v>9582978.07607282</v>
      </c>
      <c r="E34" s="507">
        <f>(E33+E29)</f>
        <v>11234032.06101</v>
      </c>
      <c r="F34" s="507">
        <f>(F33+F29)</f>
        <v>282448.7218288898</v>
      </c>
      <c r="G34" s="505">
        <f>SUM(B34:F34)</f>
        <v>35182284.67329082</v>
      </c>
    </row>
    <row r="35" spans="1:8" ht="13.5" thickBot="1">
      <c r="A35" s="508"/>
      <c r="B35" s="509"/>
      <c r="C35" s="509"/>
      <c r="D35" s="509"/>
      <c r="E35" s="509"/>
      <c r="F35" s="510"/>
      <c r="G35" s="511"/>
      <c r="H35" s="21"/>
    </row>
    <row r="36" spans="1:8" ht="13.5" thickBot="1">
      <c r="A36" s="512"/>
      <c r="B36" s="513"/>
      <c r="C36" s="513"/>
      <c r="D36" s="513"/>
      <c r="E36" s="513"/>
      <c r="F36" s="513"/>
      <c r="G36" s="514"/>
      <c r="H36" s="21"/>
    </row>
    <row r="37" spans="1:8" ht="13.5" thickBot="1">
      <c r="A37" s="515"/>
      <c r="B37" s="516"/>
      <c r="C37" s="516"/>
      <c r="D37" s="513"/>
      <c r="E37" s="513"/>
      <c r="F37" s="513"/>
      <c r="G37" s="514"/>
      <c r="H37" s="21"/>
    </row>
    <row r="38" spans="1:8" ht="26.25" thickBot="1">
      <c r="A38" s="517" t="s">
        <v>6</v>
      </c>
      <c r="B38" s="518" t="s">
        <v>7</v>
      </c>
      <c r="C38" s="518" t="s">
        <v>8</v>
      </c>
      <c r="D38" s="519"/>
      <c r="E38" s="520"/>
      <c r="F38" s="520"/>
      <c r="G38" s="514"/>
      <c r="H38" s="21"/>
    </row>
    <row r="39" spans="1:8" ht="12.75">
      <c r="A39" s="521" t="s">
        <v>205</v>
      </c>
      <c r="B39" s="522">
        <f>'Cost Sharing'!C63</f>
        <v>0.27086106532372206</v>
      </c>
      <c r="C39" s="523">
        <f>12423142.9006144*'ERR &amp; Sensitivity Analysis'!G10</f>
        <v>12423142.9006144</v>
      </c>
      <c r="D39" s="524"/>
      <c r="E39" s="21"/>
      <c r="F39" s="21"/>
      <c r="G39" s="21"/>
      <c r="H39" s="21"/>
    </row>
    <row r="40" spans="1:8" ht="12.75">
      <c r="A40" s="521" t="s">
        <v>206</v>
      </c>
      <c r="B40" s="522">
        <f>'No Cost Sharing'!C59</f>
        <v>0.18945428842015186</v>
      </c>
      <c r="C40" s="523">
        <f>8303255.35570138*'ERR &amp; Sensitivity Analysis'!G10</f>
        <v>8303255.35570138</v>
      </c>
      <c r="D40" s="524"/>
      <c r="E40" s="21"/>
      <c r="F40" s="21"/>
      <c r="G40" s="21"/>
      <c r="H40" s="21"/>
    </row>
    <row r="41" spans="1:8" ht="25.5">
      <c r="A41" s="596" t="s">
        <v>229</v>
      </c>
      <c r="B41" s="522">
        <f>B39*C39/C41+B40*C40/C41</f>
        <v>0.2382484884564903</v>
      </c>
      <c r="C41" s="525">
        <f>(C40+C39)</f>
        <v>20726398.25631578</v>
      </c>
      <c r="D41" s="524"/>
      <c r="E41" s="526"/>
      <c r="F41" s="21"/>
      <c r="G41" s="21"/>
      <c r="H41" s="21"/>
    </row>
    <row r="42" spans="1:8" ht="12.75">
      <c r="A42" s="521" t="s">
        <v>140</v>
      </c>
      <c r="B42" s="522">
        <v>0.1</v>
      </c>
      <c r="C42" s="527">
        <f>(SUM(B33:E33)+F24)</f>
        <v>14455886.416975081</v>
      </c>
      <c r="D42" s="524"/>
      <c r="E42" s="528"/>
      <c r="F42" s="21"/>
      <c r="G42" s="21"/>
      <c r="H42" s="21"/>
    </row>
    <row r="43" spans="1:8" ht="13.5" thickBot="1">
      <c r="A43" s="521"/>
      <c r="B43" s="522"/>
      <c r="C43" s="529"/>
      <c r="D43" s="524"/>
      <c r="E43" s="21"/>
      <c r="F43" s="21"/>
      <c r="G43" s="21"/>
      <c r="H43" s="21"/>
    </row>
    <row r="44" spans="1:8" ht="13.5" thickBot="1">
      <c r="A44" s="530" t="s">
        <v>141</v>
      </c>
      <c r="B44" s="531">
        <f>B41*C41/C44+B42*C42/C44</f>
        <v>0.18144420570441797</v>
      </c>
      <c r="C44" s="532">
        <f>(SUM(C41:C42))</f>
        <v>35182284.67329086</v>
      </c>
      <c r="D44" s="524"/>
      <c r="E44" s="21"/>
      <c r="F44" s="21"/>
      <c r="G44" s="21"/>
      <c r="H44" s="21"/>
    </row>
    <row r="45" spans="1:8" ht="12.75">
      <c r="A45" s="452"/>
      <c r="B45" s="22"/>
      <c r="C45" s="22"/>
      <c r="D45" s="21"/>
      <c r="E45" s="21"/>
      <c r="F45" s="21"/>
      <c r="G45" s="21"/>
      <c r="H45" s="21"/>
    </row>
    <row r="46" spans="1:11" ht="13.5" thickBot="1">
      <c r="A46" s="533"/>
      <c r="B46" s="537"/>
      <c r="C46" s="538"/>
      <c r="D46" s="536"/>
      <c r="E46" s="536"/>
      <c r="F46" s="536"/>
      <c r="G46" s="536"/>
      <c r="H46" s="536"/>
      <c r="I46" s="536"/>
      <c r="J46" s="536"/>
      <c r="K46" s="536"/>
    </row>
    <row r="47" spans="1:12" ht="12.75">
      <c r="A47" s="542" t="s">
        <v>191</v>
      </c>
      <c r="B47" s="543">
        <v>0</v>
      </c>
      <c r="C47" s="544">
        <v>1</v>
      </c>
      <c r="D47" s="545">
        <v>2</v>
      </c>
      <c r="E47" s="544">
        <v>3</v>
      </c>
      <c r="F47" s="545">
        <v>4</v>
      </c>
      <c r="G47" s="544">
        <v>5</v>
      </c>
      <c r="H47" s="545">
        <v>6</v>
      </c>
      <c r="I47" s="544">
        <v>7</v>
      </c>
      <c r="J47" s="545">
        <v>8</v>
      </c>
      <c r="K47" s="546">
        <v>9</v>
      </c>
      <c r="L47" s="455"/>
    </row>
    <row r="48" spans="1:12" ht="12.75">
      <c r="A48" s="547" t="s">
        <v>207</v>
      </c>
      <c r="B48" s="540">
        <f>'Cost Sharing'!C61</f>
        <v>-1232904.82344364</v>
      </c>
      <c r="C48" s="539">
        <f>'Cost Sharing'!D61</f>
        <v>-3532117.88787791</v>
      </c>
      <c r="D48" s="539">
        <f>'Cost Sharing'!E61</f>
        <v>-4620668.444573952</v>
      </c>
      <c r="E48" s="539">
        <f>'Cost Sharing'!F61</f>
        <v>-5795730.472304189</v>
      </c>
      <c r="F48" s="539">
        <f>'Cost Sharing'!G61</f>
        <v>-1004464.7903293339</v>
      </c>
      <c r="G48" s="539">
        <f>'Cost Sharing'!H61</f>
        <v>1204830.4899896812</v>
      </c>
      <c r="H48" s="539">
        <f>'Cost Sharing'!I61</f>
        <v>13810839.925124822</v>
      </c>
      <c r="I48" s="539">
        <f>'Cost Sharing'!J61</f>
        <v>13999781.84889121</v>
      </c>
      <c r="J48" s="539">
        <f>'Cost Sharing'!K61</f>
        <v>14429722.371674046</v>
      </c>
      <c r="K48" s="548">
        <f>'Cost Sharing'!L61</f>
        <v>14742291.969037073</v>
      </c>
      <c r="L48" s="455"/>
    </row>
    <row r="49" spans="1:12" ht="12.75">
      <c r="A49" s="549" t="s">
        <v>208</v>
      </c>
      <c r="B49" s="541">
        <f>'No Cost Sharing'!C57</f>
        <v>-2701433.26763664</v>
      </c>
      <c r="C49" s="534">
        <f>'No Cost Sharing'!D57</f>
        <v>-2337125.95398301</v>
      </c>
      <c r="D49" s="534">
        <f>'No Cost Sharing'!E57</f>
        <v>-9658465.653280254</v>
      </c>
      <c r="E49" s="534">
        <f>'No Cost Sharing'!F57</f>
        <v>-7924035.363992462</v>
      </c>
      <c r="F49" s="534">
        <f>'No Cost Sharing'!G57</f>
        <v>-3721883.892592052</v>
      </c>
      <c r="G49" s="534">
        <f>'No Cost Sharing'!H57</f>
        <v>-488967.76371628256</v>
      </c>
      <c r="H49" s="534">
        <f>'No Cost Sharing'!I57</f>
        <v>15759080.209091496</v>
      </c>
      <c r="I49" s="534">
        <f>'No Cost Sharing'!J57</f>
        <v>16240499.945631724</v>
      </c>
      <c r="J49" s="534">
        <f>'No Cost Sharing'!K57</f>
        <v>16946424.2900489</v>
      </c>
      <c r="K49" s="550">
        <f>'No Cost Sharing'!L57</f>
        <v>17399281.575803652</v>
      </c>
      <c r="L49" s="455"/>
    </row>
    <row r="50" spans="1:12" ht="13.5" thickBot="1">
      <c r="A50" s="551" t="s">
        <v>2</v>
      </c>
      <c r="B50" s="552">
        <f>SUM(B48:B49)</f>
        <v>-3934338.09108028</v>
      </c>
      <c r="C50" s="553">
        <f aca="true" t="shared" si="1" ref="C50:K50">SUM(C48:C49)</f>
        <v>-5869243.84186092</v>
      </c>
      <c r="D50" s="553">
        <f t="shared" si="1"/>
        <v>-14279134.097854206</v>
      </c>
      <c r="E50" s="553">
        <f t="shared" si="1"/>
        <v>-13719765.836296652</v>
      </c>
      <c r="F50" s="553">
        <f t="shared" si="1"/>
        <v>-4726348.682921385</v>
      </c>
      <c r="G50" s="553">
        <f t="shared" si="1"/>
        <v>715862.7262733986</v>
      </c>
      <c r="H50" s="553">
        <f t="shared" si="1"/>
        <v>29569920.134216316</v>
      </c>
      <c r="I50" s="553">
        <f t="shared" si="1"/>
        <v>30240281.794522934</v>
      </c>
      <c r="J50" s="553">
        <f t="shared" si="1"/>
        <v>31376146.661722947</v>
      </c>
      <c r="K50" s="554">
        <f t="shared" si="1"/>
        <v>32141573.544840723</v>
      </c>
      <c r="L50" s="455"/>
    </row>
    <row r="51" spans="1:11" ht="12.75">
      <c r="A51" s="452"/>
      <c r="B51" s="22"/>
      <c r="C51" s="22"/>
      <c r="D51" s="22"/>
      <c r="E51" s="22"/>
      <c r="F51" s="22"/>
      <c r="G51" s="22"/>
      <c r="H51" s="22"/>
      <c r="I51" s="22"/>
      <c r="J51" s="22"/>
      <c r="K51" s="22"/>
    </row>
    <row r="52" spans="1:8" ht="12.75">
      <c r="A52" s="455"/>
      <c r="B52" s="21"/>
      <c r="C52" s="21"/>
      <c r="D52" s="21"/>
      <c r="E52" s="21"/>
      <c r="F52" s="21"/>
      <c r="G52" s="21"/>
      <c r="H52" s="21"/>
    </row>
    <row r="53" spans="1:8" ht="12.75">
      <c r="A53" s="455"/>
      <c r="B53" s="21"/>
      <c r="C53" s="21"/>
      <c r="D53" s="21"/>
      <c r="E53" s="21"/>
      <c r="F53" s="21"/>
      <c r="G53" s="21"/>
      <c r="H53" s="21"/>
    </row>
    <row r="54" spans="1:8" ht="12.75">
      <c r="A54" s="455"/>
      <c r="B54" s="21"/>
      <c r="C54" s="21"/>
      <c r="D54" s="21"/>
      <c r="E54" s="21"/>
      <c r="F54" s="21"/>
      <c r="G54" s="21"/>
      <c r="H54" s="21"/>
    </row>
    <row r="55" spans="1:8" ht="12.75">
      <c r="A55" s="455"/>
      <c r="B55" s="21"/>
      <c r="C55" s="21"/>
      <c r="D55" s="21"/>
      <c r="E55" s="21"/>
      <c r="F55" s="21"/>
      <c r="G55" s="21"/>
      <c r="H55" s="21"/>
    </row>
    <row r="56" spans="1:8" ht="12.75">
      <c r="A56" s="455"/>
      <c r="B56" s="21"/>
      <c r="C56" s="21"/>
      <c r="D56" s="21"/>
      <c r="E56" s="21"/>
      <c r="F56" s="21"/>
      <c r="G56" s="21"/>
      <c r="H56" s="21"/>
    </row>
    <row r="57" spans="1:8" ht="12.75">
      <c r="A57" s="455"/>
      <c r="B57" s="21"/>
      <c r="C57" s="21"/>
      <c r="D57" s="21"/>
      <c r="E57" s="21"/>
      <c r="F57" s="21"/>
      <c r="G57" s="21"/>
      <c r="H57" s="21"/>
    </row>
    <row r="58" spans="1:8" ht="12.75">
      <c r="A58" s="455"/>
      <c r="B58" s="21"/>
      <c r="C58" s="21"/>
      <c r="D58" s="21"/>
      <c r="E58" s="21"/>
      <c r="F58" s="21"/>
      <c r="G58" s="21"/>
      <c r="H58" s="21"/>
    </row>
    <row r="59" spans="1:8" ht="12.75">
      <c r="A59" s="455"/>
      <c r="B59" s="21"/>
      <c r="C59" s="21"/>
      <c r="D59" s="21"/>
      <c r="E59" s="21"/>
      <c r="F59" s="21"/>
      <c r="G59" s="21"/>
      <c r="H59" s="21"/>
    </row>
    <row r="60" spans="1:8" ht="12.75">
      <c r="A60" s="455"/>
      <c r="B60" s="21"/>
      <c r="C60" s="21"/>
      <c r="D60" s="21"/>
      <c r="E60" s="21"/>
      <c r="F60" s="21"/>
      <c r="G60" s="21"/>
      <c r="H60" s="21"/>
    </row>
    <row r="61" spans="1:8" ht="12.75">
      <c r="A61" s="455"/>
      <c r="B61" s="21"/>
      <c r="C61" s="21"/>
      <c r="D61" s="21"/>
      <c r="E61" s="21"/>
      <c r="F61" s="21"/>
      <c r="G61" s="21"/>
      <c r="H61" s="21"/>
    </row>
    <row r="62" spans="1:8" ht="12.75">
      <c r="A62" s="455"/>
      <c r="B62" s="21"/>
      <c r="C62" s="21"/>
      <c r="D62" s="21"/>
      <c r="E62" s="21"/>
      <c r="F62" s="21"/>
      <c r="G62" s="21"/>
      <c r="H62" s="21"/>
    </row>
    <row r="63" spans="1:8" ht="12.75">
      <c r="A63" s="455"/>
      <c r="B63" s="21"/>
      <c r="C63" s="21"/>
      <c r="D63" s="21"/>
      <c r="E63" s="21"/>
      <c r="F63" s="21"/>
      <c r="G63" s="21"/>
      <c r="H63" s="21"/>
    </row>
    <row r="64" spans="1:8" ht="12.75">
      <c r="A64" s="455"/>
      <c r="B64" s="21"/>
      <c r="C64" s="21"/>
      <c r="D64" s="21"/>
      <c r="E64" s="21"/>
      <c r="F64" s="21"/>
      <c r="G64" s="21"/>
      <c r="H64" s="21"/>
    </row>
    <row r="65" spans="1:8" ht="12.75">
      <c r="A65" s="455"/>
      <c r="B65" s="21"/>
      <c r="C65" s="21"/>
      <c r="D65" s="21"/>
      <c r="E65" s="21"/>
      <c r="F65" s="21"/>
      <c r="G65" s="21"/>
      <c r="H65" s="21"/>
    </row>
    <row r="66" spans="1:8" ht="12.75">
      <c r="A66" s="455"/>
      <c r="B66" s="21"/>
      <c r="C66" s="21"/>
      <c r="D66" s="21"/>
      <c r="E66" s="21"/>
      <c r="F66" s="21"/>
      <c r="G66" s="21"/>
      <c r="H66" s="21"/>
    </row>
    <row r="67" spans="1:8" ht="12.75">
      <c r="A67" s="455"/>
      <c r="B67" s="21"/>
      <c r="C67" s="21"/>
      <c r="D67" s="21"/>
      <c r="E67" s="21"/>
      <c r="F67" s="21"/>
      <c r="G67" s="21"/>
      <c r="H67" s="21"/>
    </row>
    <row r="68" spans="1:8" ht="12.75">
      <c r="A68" s="455"/>
      <c r="B68" s="21"/>
      <c r="C68" s="21"/>
      <c r="D68" s="21"/>
      <c r="E68" s="21"/>
      <c r="F68" s="21"/>
      <c r="G68" s="21"/>
      <c r="H68" s="21"/>
    </row>
    <row r="69" spans="1:8" ht="12.75">
      <c r="A69" s="455"/>
      <c r="B69" s="21"/>
      <c r="C69" s="21"/>
      <c r="D69" s="21"/>
      <c r="E69" s="21"/>
      <c r="F69" s="21"/>
      <c r="G69" s="21"/>
      <c r="H69" s="21"/>
    </row>
    <row r="70" spans="1:8" ht="12.75">
      <c r="A70" s="455"/>
      <c r="B70" s="21"/>
      <c r="C70" s="21"/>
      <c r="D70" s="21"/>
      <c r="E70" s="21"/>
      <c r="F70" s="21"/>
      <c r="G70" s="21"/>
      <c r="H70" s="21"/>
    </row>
    <row r="71" spans="1:8" ht="12.75">
      <c r="A71" s="455"/>
      <c r="B71" s="21"/>
      <c r="C71" s="21"/>
      <c r="D71" s="21"/>
      <c r="E71" s="21"/>
      <c r="F71" s="21"/>
      <c r="G71" s="21"/>
      <c r="H71" s="21"/>
    </row>
    <row r="72" spans="1:8" ht="12.75">
      <c r="A72" s="455"/>
      <c r="B72" s="21"/>
      <c r="C72" s="21"/>
      <c r="D72" s="21"/>
      <c r="E72" s="21"/>
      <c r="F72" s="21"/>
      <c r="G72" s="21"/>
      <c r="H72" s="21"/>
    </row>
    <row r="73" spans="1:8" ht="12.75">
      <c r="A73" s="455"/>
      <c r="B73" s="21"/>
      <c r="C73" s="21"/>
      <c r="D73" s="21"/>
      <c r="E73" s="21"/>
      <c r="F73" s="21"/>
      <c r="G73" s="21"/>
      <c r="H73" s="21"/>
    </row>
    <row r="74" spans="1:8" ht="12.75">
      <c r="A74" s="455"/>
      <c r="B74" s="21"/>
      <c r="C74" s="21"/>
      <c r="D74" s="21"/>
      <c r="E74" s="21"/>
      <c r="F74" s="21"/>
      <c r="G74" s="21"/>
      <c r="H74" s="21"/>
    </row>
    <row r="75" spans="1:8" ht="12.75">
      <c r="A75" s="455"/>
      <c r="B75" s="21"/>
      <c r="C75" s="21"/>
      <c r="D75" s="21"/>
      <c r="E75" s="21"/>
      <c r="F75" s="21"/>
      <c r="G75" s="21"/>
      <c r="H75" s="21"/>
    </row>
    <row r="76" spans="1:8" ht="12.75">
      <c r="A76" s="455"/>
      <c r="B76" s="21"/>
      <c r="C76" s="21"/>
      <c r="D76" s="21"/>
      <c r="E76" s="21"/>
      <c r="F76" s="21"/>
      <c r="G76" s="21"/>
      <c r="H76" s="21"/>
    </row>
    <row r="77" spans="1:8" ht="12.75">
      <c r="A77" s="455"/>
      <c r="B77" s="21"/>
      <c r="C77" s="21"/>
      <c r="D77" s="21"/>
      <c r="E77" s="21"/>
      <c r="F77" s="21"/>
      <c r="G77" s="21"/>
      <c r="H77" s="21"/>
    </row>
    <row r="78" spans="1:8" ht="12.75">
      <c r="A78" s="455"/>
      <c r="B78" s="21"/>
      <c r="C78" s="21"/>
      <c r="D78" s="21"/>
      <c r="E78" s="21"/>
      <c r="F78" s="21"/>
      <c r="G78" s="21"/>
      <c r="H78" s="21"/>
    </row>
    <row r="79" spans="1:8" ht="12.75">
      <c r="A79" s="455"/>
      <c r="B79" s="21"/>
      <c r="C79" s="21"/>
      <c r="D79" s="21"/>
      <c r="E79" s="21"/>
      <c r="F79" s="21"/>
      <c r="G79" s="21"/>
      <c r="H79" s="21"/>
    </row>
    <row r="80" spans="1:8" ht="12.75">
      <c r="A80" s="455"/>
      <c r="B80" s="21"/>
      <c r="C80" s="21"/>
      <c r="D80" s="21"/>
      <c r="E80" s="21"/>
      <c r="F80" s="21"/>
      <c r="G80" s="21"/>
      <c r="H80" s="21"/>
    </row>
    <row r="81" spans="1:8" ht="12.75">
      <c r="A81" s="455"/>
      <c r="B81" s="21"/>
      <c r="C81" s="21"/>
      <c r="D81" s="21"/>
      <c r="E81" s="21"/>
      <c r="F81" s="21"/>
      <c r="G81" s="21"/>
      <c r="H81" s="21"/>
    </row>
    <row r="82" spans="1:8" ht="12.75">
      <c r="A82" s="535"/>
      <c r="B82" s="536"/>
      <c r="C82" s="536"/>
      <c r="D82" s="536"/>
      <c r="E82" s="536"/>
      <c r="F82" s="536"/>
      <c r="G82" s="536"/>
      <c r="H82" s="21"/>
    </row>
  </sheetData>
  <mergeCells count="2">
    <mergeCell ref="A4:G4"/>
    <mergeCell ref="A1:D1"/>
  </mergeCells>
  <conditionalFormatting sqref="A4">
    <cfRule type="cellIs" priority="1" dxfId="0" operator="equal" stopIfTrue="1">
      <formula>0</formula>
    </cfRule>
    <cfRule type="cellIs" priority="2" dxfId="1" operator="notEqual" stopIfTrue="1">
      <formula>0</formula>
    </cfRule>
  </conditionalFormatting>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5"/>
  <dimension ref="A1:IO199"/>
  <sheetViews>
    <sheetView showGridLines="0" workbookViewId="0" topLeftCell="A1">
      <selection activeCell="A1" sqref="A1:D1"/>
    </sheetView>
  </sheetViews>
  <sheetFormatPr defaultColWidth="9.140625" defaultRowHeight="12.75"/>
  <cols>
    <col min="1" max="1" width="3.28125" style="23" customWidth="1"/>
    <col min="2" max="2" width="30.8515625" style="23" customWidth="1"/>
    <col min="3" max="3" width="22.00390625" style="23" customWidth="1"/>
    <col min="4" max="4" width="12.57421875" style="23" customWidth="1"/>
    <col min="5" max="5" width="11.57421875" style="23" bestFit="1" customWidth="1"/>
    <col min="6" max="6" width="13.00390625" style="23" bestFit="1" customWidth="1"/>
    <col min="7" max="7" width="12.28125" style="23" bestFit="1" customWidth="1"/>
    <col min="8" max="9" width="12.8515625" style="23" bestFit="1" customWidth="1"/>
    <col min="10" max="12" width="12.28125" style="23" bestFit="1" customWidth="1"/>
    <col min="13" max="13" width="12.00390625" style="23" customWidth="1"/>
    <col min="14" max="23" width="12.140625" style="23" bestFit="1" customWidth="1"/>
    <col min="24" max="24" width="12.28125" style="23" bestFit="1" customWidth="1"/>
    <col min="25" max="25" width="12.8515625" style="23" bestFit="1" customWidth="1"/>
    <col min="26" max="16384" width="9.140625" style="23" customWidth="1"/>
  </cols>
  <sheetData>
    <row r="1" spans="1:7" s="325" customFormat="1" ht="40.5" customHeight="1">
      <c r="A1" s="589" t="s">
        <v>170</v>
      </c>
      <c r="B1" s="589"/>
      <c r="C1" s="589"/>
      <c r="D1" s="589"/>
      <c r="G1" s="557" t="s">
        <v>175</v>
      </c>
    </row>
    <row r="2" spans="1:22" s="454" customFormat="1" ht="15.75">
      <c r="A2" s="568" t="s">
        <v>217</v>
      </c>
      <c r="B2" s="569"/>
      <c r="C2" s="569"/>
      <c r="D2" s="569"/>
      <c r="E2" s="569"/>
      <c r="F2" s="569"/>
      <c r="G2" s="569"/>
      <c r="H2" s="21"/>
      <c r="I2" s="21"/>
      <c r="J2" s="21"/>
      <c r="K2" s="21"/>
      <c r="L2" s="21"/>
      <c r="M2" s="21"/>
      <c r="N2" s="21"/>
      <c r="O2" s="21"/>
      <c r="P2" s="21"/>
      <c r="Q2" s="21"/>
      <c r="R2" s="21"/>
      <c r="S2" s="21"/>
      <c r="T2" s="21"/>
      <c r="U2" s="21"/>
      <c r="V2" s="456"/>
    </row>
    <row r="3" spans="1:38" s="123" customFormat="1" ht="13.5" thickBot="1">
      <c r="A3" s="581">
        <f>IF('ERR &amp; Sensitivity Analysis'!$I$10="N","Note: Current calculations are based on user input and are not the original MCC estimates.",IF('ERR &amp; Sensitivity Analysis'!$I$11="N","Note: Current calculations are based on user input and are not the original MCC estimates.",0))</f>
        <v>0</v>
      </c>
      <c r="B3" s="581"/>
      <c r="C3" s="581"/>
      <c r="D3" s="581"/>
      <c r="E3" s="581"/>
      <c r="F3" s="581"/>
      <c r="G3" s="581"/>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row>
    <row r="4" spans="1:38" ht="13.5" thickBot="1">
      <c r="A4" s="125"/>
      <c r="B4" s="9" t="s">
        <v>13</v>
      </c>
      <c r="C4" s="126"/>
      <c r="D4" s="4"/>
      <c r="E4" s="214" t="s">
        <v>175</v>
      </c>
      <c r="F4" s="4"/>
      <c r="G4" s="4"/>
      <c r="H4" s="4"/>
      <c r="I4" s="4"/>
      <c r="J4" s="4"/>
      <c r="K4" s="4"/>
      <c r="L4" s="4"/>
      <c r="M4" s="4"/>
      <c r="N4" s="4"/>
      <c r="O4" s="4"/>
      <c r="P4" s="4"/>
      <c r="Q4" s="4"/>
      <c r="R4" s="4"/>
      <c r="S4" s="4"/>
      <c r="T4" s="4"/>
      <c r="U4" s="4"/>
      <c r="V4" s="4"/>
      <c r="W4" s="4"/>
      <c r="X4" s="4"/>
      <c r="Y4" s="4"/>
      <c r="Z4" s="4"/>
      <c r="AA4" s="4"/>
      <c r="AB4" s="4"/>
      <c r="AC4" s="4"/>
      <c r="AD4" s="4"/>
      <c r="AE4" s="4"/>
      <c r="AF4" s="127"/>
      <c r="AG4" s="127"/>
      <c r="AH4" s="127"/>
      <c r="AI4" s="127"/>
      <c r="AJ4" s="127"/>
      <c r="AK4" s="127"/>
      <c r="AL4" s="128"/>
    </row>
    <row r="5" spans="1:31" ht="12.75">
      <c r="A5" s="129"/>
      <c r="B5" s="130"/>
      <c r="C5" s="131"/>
      <c r="D5" s="4"/>
      <c r="E5" s="4"/>
      <c r="F5" s="4"/>
      <c r="G5" s="4"/>
      <c r="H5" s="4"/>
      <c r="I5" s="4"/>
      <c r="J5" s="4"/>
      <c r="K5" s="4"/>
      <c r="L5" s="4"/>
      <c r="M5" s="4"/>
      <c r="N5" s="4"/>
      <c r="O5" s="4"/>
      <c r="P5" s="4"/>
      <c r="Q5" s="4"/>
      <c r="R5" s="4"/>
      <c r="S5" s="4"/>
      <c r="T5" s="4"/>
      <c r="U5" s="4"/>
      <c r="V5" s="4"/>
      <c r="W5" s="4"/>
      <c r="X5" s="4"/>
      <c r="Y5" s="4"/>
      <c r="Z5" s="4"/>
      <c r="AA5" s="4"/>
      <c r="AB5" s="4"/>
      <c r="AC5" s="4"/>
      <c r="AD5" s="4"/>
      <c r="AE5" s="132"/>
    </row>
    <row r="6" spans="1:31" ht="12.75" customHeight="1">
      <c r="A6" s="129"/>
      <c r="B6" s="130" t="s">
        <v>14</v>
      </c>
      <c r="C6" s="133">
        <v>0.7</v>
      </c>
      <c r="D6" s="592">
        <f>IF('ERR &amp; Sensitivity Analysis'!I13="N","Note: Current calculations are based on user input and are not the original MCC estimates.",IF('ERR &amp; Sensitivity Analysis'!I14="N","Note: Current calculations are based on user input and are not the original MCC estimates.",0))</f>
        <v>0</v>
      </c>
      <c r="E6" s="592"/>
      <c r="F6" s="592"/>
      <c r="G6" s="592"/>
      <c r="H6" s="592"/>
      <c r="I6" s="592"/>
      <c r="J6" s="592"/>
      <c r="K6" s="4"/>
      <c r="L6" s="4"/>
      <c r="M6" s="4"/>
      <c r="N6" s="4"/>
      <c r="O6" s="4"/>
      <c r="P6" s="4"/>
      <c r="Q6" s="4"/>
      <c r="R6" s="4"/>
      <c r="S6" s="4"/>
      <c r="T6" s="4"/>
      <c r="U6" s="4"/>
      <c r="V6" s="4"/>
      <c r="W6" s="4"/>
      <c r="X6" s="4"/>
      <c r="Y6" s="4"/>
      <c r="Z6" s="4"/>
      <c r="AA6" s="4"/>
      <c r="AB6" s="4"/>
      <c r="AC6" s="4"/>
      <c r="AD6" s="4"/>
      <c r="AE6" s="132"/>
    </row>
    <row r="7" spans="1:31" ht="12.75">
      <c r="A7" s="129"/>
      <c r="B7" s="130" t="s">
        <v>15</v>
      </c>
      <c r="C7" s="133">
        <v>0.1</v>
      </c>
      <c r="D7" s="4"/>
      <c r="E7" s="4"/>
      <c r="F7" s="4"/>
      <c r="G7" s="4"/>
      <c r="H7" s="4"/>
      <c r="I7" s="4"/>
      <c r="J7" s="4"/>
      <c r="K7" s="4"/>
      <c r="L7" s="4"/>
      <c r="M7" s="4"/>
      <c r="N7" s="4"/>
      <c r="O7" s="4"/>
      <c r="P7" s="4"/>
      <c r="Q7" s="4"/>
      <c r="R7" s="4"/>
      <c r="S7" s="4"/>
      <c r="T7" s="4"/>
      <c r="U7" s="4"/>
      <c r="V7" s="4"/>
      <c r="W7" s="4"/>
      <c r="X7" s="4"/>
      <c r="Y7" s="4"/>
      <c r="Z7" s="4"/>
      <c r="AA7" s="4"/>
      <c r="AB7" s="4"/>
      <c r="AC7" s="4"/>
      <c r="AD7" s="4"/>
      <c r="AE7" s="132"/>
    </row>
    <row r="8" spans="1:31" ht="12.75">
      <c r="A8" s="129"/>
      <c r="B8" s="130" t="s">
        <v>16</v>
      </c>
      <c r="C8" s="133">
        <v>0.05</v>
      </c>
      <c r="D8" s="4"/>
      <c r="E8" s="4"/>
      <c r="F8" s="4"/>
      <c r="G8" s="4"/>
      <c r="H8" s="4"/>
      <c r="I8" s="4"/>
      <c r="J8" s="4"/>
      <c r="K8" s="4"/>
      <c r="L8" s="4"/>
      <c r="M8" s="4"/>
      <c r="N8" s="4"/>
      <c r="O8" s="4"/>
      <c r="P8" s="4"/>
      <c r="Q8" s="4"/>
      <c r="R8" s="4"/>
      <c r="S8" s="4"/>
      <c r="T8" s="4"/>
      <c r="U8" s="4"/>
      <c r="V8" s="4"/>
      <c r="W8" s="4"/>
      <c r="X8" s="4"/>
      <c r="Y8" s="4"/>
      <c r="Z8" s="4"/>
      <c r="AA8" s="4"/>
      <c r="AB8" s="4"/>
      <c r="AC8" s="4"/>
      <c r="AD8" s="4"/>
      <c r="AE8" s="132"/>
    </row>
    <row r="9" spans="1:31" ht="12.75">
      <c r="A9" s="129"/>
      <c r="B9" s="130" t="s">
        <v>17</v>
      </c>
      <c r="C9" s="134">
        <v>5</v>
      </c>
      <c r="D9" s="4"/>
      <c r="E9" s="4"/>
      <c r="F9" s="4"/>
      <c r="G9" s="4"/>
      <c r="H9" s="4"/>
      <c r="I9" s="4"/>
      <c r="J9" s="4"/>
      <c r="K9" s="4"/>
      <c r="L9" s="4"/>
      <c r="M9" s="4"/>
      <c r="N9" s="4"/>
      <c r="O9" s="4"/>
      <c r="P9" s="4"/>
      <c r="Q9" s="4"/>
      <c r="R9" s="4"/>
      <c r="S9" s="4"/>
      <c r="T9" s="4"/>
      <c r="U9" s="4"/>
      <c r="V9" s="4"/>
      <c r="W9" s="4"/>
      <c r="X9" s="4"/>
      <c r="Y9" s="4"/>
      <c r="Z9" s="4"/>
      <c r="AA9" s="4"/>
      <c r="AB9" s="4"/>
      <c r="AC9" s="4"/>
      <c r="AD9" s="4"/>
      <c r="AE9" s="132"/>
    </row>
    <row r="10" spans="1:31" ht="13.5" thickBot="1">
      <c r="A10" s="129"/>
      <c r="B10" s="130" t="s">
        <v>18</v>
      </c>
      <c r="C10" s="135">
        <v>100</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132"/>
    </row>
    <row r="11" spans="1:30" ht="13.5" thickBot="1">
      <c r="A11" s="129"/>
      <c r="B11" s="136" t="s">
        <v>19</v>
      </c>
      <c r="C11" s="261">
        <f>1-C6</f>
        <v>0.30000000000000004</v>
      </c>
      <c r="D11" s="7"/>
      <c r="E11" s="4"/>
      <c r="F11" s="4"/>
      <c r="G11" s="4"/>
      <c r="H11" s="4"/>
      <c r="I11" s="4"/>
      <c r="J11" s="4"/>
      <c r="K11" s="4"/>
      <c r="L11" s="4"/>
      <c r="M11" s="4"/>
      <c r="N11" s="4"/>
      <c r="O11" s="4"/>
      <c r="P11" s="4"/>
      <c r="Q11" s="4"/>
      <c r="R11" s="4"/>
      <c r="S11" s="4"/>
      <c r="T11" s="4"/>
      <c r="U11" s="4"/>
      <c r="V11" s="4"/>
      <c r="W11" s="4"/>
      <c r="X11" s="4"/>
      <c r="Y11" s="4"/>
      <c r="Z11" s="4"/>
      <c r="AA11" s="4"/>
      <c r="AB11" s="4"/>
      <c r="AC11" s="4"/>
      <c r="AD11" s="132"/>
    </row>
    <row r="12" spans="1:31" ht="13.5" thickBot="1">
      <c r="A12" s="129"/>
      <c r="B12" s="137"/>
      <c r="C12" s="137"/>
      <c r="D12" s="138"/>
      <c r="E12" s="127"/>
      <c r="F12" s="127"/>
      <c r="G12" s="127"/>
      <c r="H12" s="127"/>
      <c r="I12" s="4"/>
      <c r="J12" s="4"/>
      <c r="K12" s="4"/>
      <c r="L12" s="4"/>
      <c r="M12" s="4"/>
      <c r="N12" s="4"/>
      <c r="O12" s="4"/>
      <c r="P12" s="4"/>
      <c r="Q12" s="4"/>
      <c r="R12" s="4"/>
      <c r="S12" s="4"/>
      <c r="T12" s="4"/>
      <c r="U12" s="4"/>
      <c r="V12" s="4"/>
      <c r="W12" s="4"/>
      <c r="X12" s="4"/>
      <c r="Y12" s="4"/>
      <c r="Z12" s="4"/>
      <c r="AA12" s="4"/>
      <c r="AB12" s="4"/>
      <c r="AC12" s="4"/>
      <c r="AD12" s="4"/>
      <c r="AE12" s="132"/>
    </row>
    <row r="13" spans="1:31" ht="13.5" thickBot="1">
      <c r="A13" s="129"/>
      <c r="B13" s="106" t="s">
        <v>20</v>
      </c>
      <c r="C13" s="139"/>
      <c r="D13" s="107">
        <v>1</v>
      </c>
      <c r="E13" s="107">
        <f>D13+1</f>
        <v>2</v>
      </c>
      <c r="F13" s="107">
        <f>E13+1</f>
        <v>3</v>
      </c>
      <c r="G13" s="107">
        <f>F13+1</f>
        <v>4</v>
      </c>
      <c r="H13" s="108" t="s">
        <v>2</v>
      </c>
      <c r="I13" s="7"/>
      <c r="J13" s="4"/>
      <c r="K13" s="4"/>
      <c r="L13" s="4"/>
      <c r="M13" s="4"/>
      <c r="N13" s="4"/>
      <c r="O13" s="4"/>
      <c r="P13" s="4"/>
      <c r="Q13" s="4"/>
      <c r="R13" s="4"/>
      <c r="S13" s="4"/>
      <c r="T13" s="4"/>
      <c r="U13" s="4"/>
      <c r="V13" s="4"/>
      <c r="W13" s="4"/>
      <c r="X13" s="4"/>
      <c r="Y13" s="4"/>
      <c r="Z13" s="4"/>
      <c r="AA13" s="4"/>
      <c r="AB13" s="4"/>
      <c r="AC13" s="4"/>
      <c r="AD13" s="4"/>
      <c r="AE13" s="132"/>
    </row>
    <row r="14" spans="1:31" ht="13.5" thickBot="1">
      <c r="A14" s="129"/>
      <c r="B14" s="109"/>
      <c r="C14" s="140"/>
      <c r="D14" s="141"/>
      <c r="E14" s="141"/>
      <c r="F14" s="141"/>
      <c r="G14" s="141"/>
      <c r="H14" s="142"/>
      <c r="I14" s="7"/>
      <c r="J14" s="4"/>
      <c r="K14" s="4"/>
      <c r="L14" s="4"/>
      <c r="M14" s="4"/>
      <c r="N14" s="4"/>
      <c r="O14" s="4"/>
      <c r="P14" s="4"/>
      <c r="Q14" s="4"/>
      <c r="R14" s="4"/>
      <c r="S14" s="4"/>
      <c r="T14" s="4"/>
      <c r="U14" s="4"/>
      <c r="V14" s="4"/>
      <c r="W14" s="4"/>
      <c r="X14" s="4"/>
      <c r="Y14" s="4"/>
      <c r="Z14" s="4"/>
      <c r="AA14" s="4"/>
      <c r="AB14" s="4"/>
      <c r="AC14" s="4"/>
      <c r="AD14" s="4"/>
      <c r="AE14" s="132"/>
    </row>
    <row r="15" spans="1:31" ht="13.5" thickBot="1">
      <c r="A15" s="129"/>
      <c r="B15" s="101" t="s">
        <v>3</v>
      </c>
      <c r="C15" s="143"/>
      <c r="D15" s="110">
        <f>1232904.82344364*'ERR &amp; Sensitivity Analysis'!G10</f>
        <v>1232904.82344364</v>
      </c>
      <c r="E15" s="110">
        <f>3482117.88787791*'ERR &amp; Sensitivity Analysis'!G10</f>
        <v>3482117.88787791</v>
      </c>
      <c r="F15" s="110">
        <f>3779465.95648851*'ERR &amp; Sensitivity Analysis'!G10</f>
        <v>3779465.95648851</v>
      </c>
      <c r="G15" s="110">
        <f>3928654.23280429*'ERR &amp; Sensitivity Analysis'!G10</f>
        <v>3928654.23280429</v>
      </c>
      <c r="H15" s="111">
        <f>SUM(D15:G15)</f>
        <v>12423142.900614351</v>
      </c>
      <c r="I15" s="7"/>
      <c r="J15" s="4"/>
      <c r="K15" s="4"/>
      <c r="L15" s="4"/>
      <c r="M15" s="4"/>
      <c r="N15" s="4"/>
      <c r="O15" s="4"/>
      <c r="P15" s="4"/>
      <c r="Q15" s="4"/>
      <c r="R15" s="4"/>
      <c r="S15" s="4"/>
      <c r="T15" s="4"/>
      <c r="U15" s="4"/>
      <c r="V15" s="4"/>
      <c r="W15" s="4"/>
      <c r="X15" s="4"/>
      <c r="Y15" s="4"/>
      <c r="Z15" s="4"/>
      <c r="AA15" s="4"/>
      <c r="AB15" s="4"/>
      <c r="AC15" s="4"/>
      <c r="AD15" s="4"/>
      <c r="AE15" s="132"/>
    </row>
    <row r="16" spans="1:31" ht="12.75">
      <c r="A16" s="7"/>
      <c r="B16" s="144"/>
      <c r="C16" s="8"/>
      <c r="D16" s="145">
        <f>$E$32*D42</f>
        <v>-344080.8525</v>
      </c>
      <c r="E16" s="145">
        <f>$E$32*E41</f>
        <v>-1376323.41</v>
      </c>
      <c r="F16" s="145">
        <f>$E$32*F40</f>
        <v>-2064485.115</v>
      </c>
      <c r="G16" s="145">
        <f>$E$32*G39</f>
        <v>-3096727.6725</v>
      </c>
      <c r="H16" s="145">
        <f>SUM(D16:G16)</f>
        <v>-6881617.05</v>
      </c>
      <c r="I16" s="4"/>
      <c r="J16" s="4"/>
      <c r="K16" s="4"/>
      <c r="L16" s="4"/>
      <c r="M16" s="4"/>
      <c r="N16" s="4"/>
      <c r="O16" s="4"/>
      <c r="P16" s="4"/>
      <c r="Q16" s="4"/>
      <c r="R16" s="4"/>
      <c r="S16" s="4"/>
      <c r="T16" s="4"/>
      <c r="U16" s="4"/>
      <c r="V16" s="4"/>
      <c r="W16" s="4"/>
      <c r="X16" s="4"/>
      <c r="Y16" s="4"/>
      <c r="Z16" s="4"/>
      <c r="AA16" s="4"/>
      <c r="AB16" s="4"/>
      <c r="AC16" s="4"/>
      <c r="AD16" s="4"/>
      <c r="AE16" s="132"/>
    </row>
    <row r="17" spans="1:31" ht="12.75">
      <c r="A17" s="7"/>
      <c r="B17" s="146"/>
      <c r="C17" s="146"/>
      <c r="D17" s="147"/>
      <c r="E17" s="147"/>
      <c r="F17" s="147"/>
      <c r="G17" s="146"/>
      <c r="H17" s="4"/>
      <c r="I17" s="4"/>
      <c r="J17" s="4"/>
      <c r="K17" s="4"/>
      <c r="L17" s="4"/>
      <c r="M17" s="4"/>
      <c r="N17" s="4"/>
      <c r="O17" s="4"/>
      <c r="P17" s="4"/>
      <c r="Q17" s="4"/>
      <c r="R17" s="4"/>
      <c r="S17" s="4"/>
      <c r="T17" s="4"/>
      <c r="U17" s="4"/>
      <c r="V17" s="4"/>
      <c r="W17" s="4"/>
      <c r="X17" s="4"/>
      <c r="Y17" s="4"/>
      <c r="Z17" s="4"/>
      <c r="AA17" s="4"/>
      <c r="AB17" s="4"/>
      <c r="AC17" s="4"/>
      <c r="AD17" s="4"/>
      <c r="AE17" s="132"/>
    </row>
    <row r="18" spans="1:36" ht="12.75">
      <c r="A18" s="7"/>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8"/>
      <c r="AG18" s="8"/>
      <c r="AH18" s="8"/>
      <c r="AI18" s="8"/>
      <c r="AJ18" s="148"/>
    </row>
    <row r="19" spans="1:36" ht="12.75">
      <c r="A19" s="7"/>
      <c r="B19" s="215" t="s">
        <v>21</v>
      </c>
      <c r="C19" s="127"/>
      <c r="D19" s="215">
        <v>1</v>
      </c>
      <c r="E19" s="112">
        <v>2</v>
      </c>
      <c r="F19" s="112">
        <f>E19+1</f>
        <v>3</v>
      </c>
      <c r="G19" s="112">
        <f aca="true" t="shared" si="0" ref="G19:W19">F19+1</f>
        <v>4</v>
      </c>
      <c r="H19" s="112">
        <f t="shared" si="0"/>
        <v>5</v>
      </c>
      <c r="I19" s="112">
        <f t="shared" si="0"/>
        <v>6</v>
      </c>
      <c r="J19" s="112">
        <f t="shared" si="0"/>
        <v>7</v>
      </c>
      <c r="K19" s="112">
        <f t="shared" si="0"/>
        <v>8</v>
      </c>
      <c r="L19" s="112">
        <f t="shared" si="0"/>
        <v>9</v>
      </c>
      <c r="M19" s="112">
        <f t="shared" si="0"/>
        <v>10</v>
      </c>
      <c r="N19" s="112">
        <f t="shared" si="0"/>
        <v>11</v>
      </c>
      <c r="O19" s="112">
        <f t="shared" si="0"/>
        <v>12</v>
      </c>
      <c r="P19" s="112">
        <f t="shared" si="0"/>
        <v>13</v>
      </c>
      <c r="Q19" s="112">
        <f t="shared" si="0"/>
        <v>14</v>
      </c>
      <c r="R19" s="112">
        <f t="shared" si="0"/>
        <v>15</v>
      </c>
      <c r="S19" s="112">
        <f t="shared" si="0"/>
        <v>16</v>
      </c>
      <c r="T19" s="112">
        <f t="shared" si="0"/>
        <v>17</v>
      </c>
      <c r="U19" s="112">
        <f t="shared" si="0"/>
        <v>18</v>
      </c>
      <c r="V19" s="112">
        <f t="shared" si="0"/>
        <v>19</v>
      </c>
      <c r="W19" s="112">
        <f t="shared" si="0"/>
        <v>20</v>
      </c>
      <c r="X19" s="4"/>
      <c r="Y19" s="4"/>
      <c r="Z19" s="4"/>
      <c r="AA19" s="4"/>
      <c r="AB19" s="4"/>
      <c r="AC19" s="4"/>
      <c r="AD19" s="4"/>
      <c r="AE19" s="4"/>
      <c r="AF19" s="4"/>
      <c r="AG19" s="4"/>
      <c r="AH19" s="4"/>
      <c r="AI19" s="4"/>
      <c r="AJ19" s="132"/>
    </row>
    <row r="20" spans="1:36" ht="24.75" customHeight="1">
      <c r="A20" s="129"/>
      <c r="B20" s="216" t="s">
        <v>147</v>
      </c>
      <c r="C20" s="217" t="s">
        <v>22</v>
      </c>
      <c r="D20" s="217"/>
      <c r="E20" s="218">
        <f>C21*$C$11</f>
        <v>-760.160115</v>
      </c>
      <c r="F20" s="218"/>
      <c r="G20" s="218"/>
      <c r="H20" s="218"/>
      <c r="I20" s="218"/>
      <c r="J20" s="218"/>
      <c r="K20" s="218"/>
      <c r="L20" s="218"/>
      <c r="M20" s="218"/>
      <c r="N20" s="218"/>
      <c r="O20" s="219"/>
      <c r="P20" s="149"/>
      <c r="Q20" s="149"/>
      <c r="R20" s="149"/>
      <c r="S20" s="149"/>
      <c r="T20" s="149"/>
      <c r="U20" s="149"/>
      <c r="V20" s="149"/>
      <c r="W20" s="150"/>
      <c r="X20" s="151"/>
      <c r="Y20" s="4"/>
      <c r="Z20" s="4"/>
      <c r="AA20" s="4"/>
      <c r="AB20" s="4"/>
      <c r="AC20" s="4"/>
      <c r="AD20" s="4"/>
      <c r="AE20" s="4"/>
      <c r="AF20" s="4"/>
      <c r="AG20" s="4"/>
      <c r="AH20" s="4"/>
      <c r="AI20" s="4"/>
      <c r="AJ20" s="132"/>
    </row>
    <row r="21" spans="1:36" ht="12" customHeight="1">
      <c r="A21" s="129"/>
      <c r="B21" s="220" t="s">
        <v>23</v>
      </c>
      <c r="C21" s="211">
        <f>-2533.86705</f>
        <v>-2533.86705</v>
      </c>
      <c r="D21" s="211"/>
      <c r="E21" s="152">
        <f>Cashew!C55-E20</f>
        <v>-1307.8398849999999</v>
      </c>
      <c r="F21" s="152">
        <f>Cashew!D55</f>
        <v>-289.24500000000006</v>
      </c>
      <c r="G21" s="152">
        <f>Cashew!E55</f>
        <v>-176.62204999999997</v>
      </c>
      <c r="H21" s="152">
        <f>Cashew!F55</f>
        <v>172.91560000000004</v>
      </c>
      <c r="I21" s="152">
        <f>Cashew!G55</f>
        <v>440.95908999999995</v>
      </c>
      <c r="J21" s="152">
        <f>Cashew!H55</f>
        <v>847.5746620000002</v>
      </c>
      <c r="K21" s="152">
        <f>Cashew!I55</f>
        <v>1155.5319226</v>
      </c>
      <c r="L21" s="152">
        <f>Cashew!J55</f>
        <v>1344.5185537300001</v>
      </c>
      <c r="M21" s="152">
        <f>Cashew!K55</f>
        <v>1553.4183214165002</v>
      </c>
      <c r="N21" s="152">
        <f>Cashew!L55</f>
        <v>1643.310182487325</v>
      </c>
      <c r="O21" s="152">
        <f>Cashew!L55</f>
        <v>1643.310182487325</v>
      </c>
      <c r="P21" s="152">
        <f>Cashew!L55</f>
        <v>1643.310182487325</v>
      </c>
      <c r="Q21" s="152">
        <f>Cashew!L55</f>
        <v>1643.310182487325</v>
      </c>
      <c r="R21" s="152">
        <f>Cashew!L55</f>
        <v>1643.310182487325</v>
      </c>
      <c r="S21" s="152">
        <f>Cashew!L55</f>
        <v>1643.310182487325</v>
      </c>
      <c r="T21" s="152">
        <f>Cashew!L55</f>
        <v>1643.310182487325</v>
      </c>
      <c r="U21" s="152">
        <f>Cashew!L55</f>
        <v>1643.310182487325</v>
      </c>
      <c r="V21" s="152">
        <f>Cashew!L55</f>
        <v>1643.310182487325</v>
      </c>
      <c r="W21" s="153">
        <f>Cashew!L55</f>
        <v>1643.310182487325</v>
      </c>
      <c r="X21" s="151"/>
      <c r="Y21" s="4"/>
      <c r="Z21" s="4"/>
      <c r="AA21" s="4"/>
      <c r="AB21" s="4"/>
      <c r="AC21" s="4"/>
      <c r="AD21" s="4"/>
      <c r="AE21" s="4"/>
      <c r="AF21" s="4"/>
      <c r="AG21" s="4"/>
      <c r="AH21" s="4"/>
      <c r="AI21" s="4"/>
      <c r="AJ21" s="132"/>
    </row>
    <row r="22" spans="1:36" ht="12.75">
      <c r="A22" s="129"/>
      <c r="B22" s="220" t="s">
        <v>24</v>
      </c>
      <c r="C22" s="221"/>
      <c r="D22" s="221"/>
      <c r="E22" s="222">
        <f>100*'ERR &amp; Sensitivity Analysis'!G11</f>
        <v>100</v>
      </c>
      <c r="F22" s="222">
        <f>58.8*'ERR &amp; Sensitivity Analysis'!G11</f>
        <v>58.8</v>
      </c>
      <c r="G22" s="222">
        <f>61.74*'ERR &amp; Sensitivity Analysis'!G11</f>
        <v>61.74</v>
      </c>
      <c r="H22" s="222">
        <f>64.827*'ERR &amp; Sensitivity Analysis'!G11</f>
        <v>64.827</v>
      </c>
      <c r="I22" s="222">
        <f>68.06835*'ERR &amp; Sensitivity Analysis'!G11</f>
        <v>68.06835</v>
      </c>
      <c r="J22" s="222">
        <f>71.4717675*'ERR &amp; Sensitivity Analysis'!G11</f>
        <v>71.4717675</v>
      </c>
      <c r="K22" s="222">
        <f>75.045355875*'ERR &amp; Sensitivity Analysis'!G11</f>
        <v>75.045355875</v>
      </c>
      <c r="L22" s="222">
        <f>78.79762366875*'ERR &amp; Sensitivity Analysis'!G11</f>
        <v>78.79762366875</v>
      </c>
      <c r="M22" s="222">
        <f>82.7375048521875*'ERR &amp; Sensitivity Analysis'!G11</f>
        <v>82.7375048521875</v>
      </c>
      <c r="N22" s="222">
        <f>86.8743800947969*'ERR &amp; Sensitivity Analysis'!G11</f>
        <v>86.8743800947969</v>
      </c>
      <c r="O22" s="222">
        <f>N22*'ERR &amp; Sensitivity Analysis'!G11</f>
        <v>86.8743800947969</v>
      </c>
      <c r="P22" s="222">
        <f>O22*'ERR &amp; Sensitivity Analysis'!G11</f>
        <v>86.8743800947969</v>
      </c>
      <c r="Q22" s="222">
        <f>P22*'ERR &amp; Sensitivity Analysis'!G11</f>
        <v>86.8743800947969</v>
      </c>
      <c r="R22" s="222">
        <f>Q22*'ERR &amp; Sensitivity Analysis'!G11</f>
        <v>86.8743800947969</v>
      </c>
      <c r="S22" s="222">
        <f>R22*'ERR &amp; Sensitivity Analysis'!G11</f>
        <v>86.8743800947969</v>
      </c>
      <c r="T22" s="222">
        <f>S22*'ERR &amp; Sensitivity Analysis'!G11</f>
        <v>86.8743800947969</v>
      </c>
      <c r="U22" s="222">
        <f>T22*'ERR &amp; Sensitivity Analysis'!G11</f>
        <v>86.8743800947969</v>
      </c>
      <c r="V22" s="222">
        <f>U22*'ERR &amp; Sensitivity Analysis'!G11</f>
        <v>86.8743800947969</v>
      </c>
      <c r="W22" s="223">
        <f>V22*'ERR &amp; Sensitivity Analysis'!G11</f>
        <v>86.8743800947969</v>
      </c>
      <c r="X22" s="151"/>
      <c r="Y22" s="4"/>
      <c r="Z22" s="4"/>
      <c r="AA22" s="4"/>
      <c r="AB22" s="4"/>
      <c r="AC22" s="4"/>
      <c r="AD22" s="4"/>
      <c r="AE22" s="4"/>
      <c r="AF22" s="4"/>
      <c r="AG22" s="4"/>
      <c r="AH22" s="4"/>
      <c r="AI22" s="4"/>
      <c r="AJ22" s="132"/>
    </row>
    <row r="23" spans="1:36" ht="12.75">
      <c r="A23" s="129"/>
      <c r="B23" s="220"/>
      <c r="C23" s="221"/>
      <c r="D23" s="221"/>
      <c r="E23" s="222"/>
      <c r="F23" s="222"/>
      <c r="G23" s="222"/>
      <c r="H23" s="222"/>
      <c r="I23" s="222"/>
      <c r="J23" s="222"/>
      <c r="K23" s="222"/>
      <c r="L23" s="222"/>
      <c r="M23" s="222"/>
      <c r="N23" s="222"/>
      <c r="O23" s="222"/>
      <c r="P23" s="222"/>
      <c r="Q23" s="222"/>
      <c r="R23" s="222"/>
      <c r="S23" s="222"/>
      <c r="T23" s="222"/>
      <c r="U23" s="222"/>
      <c r="V23" s="222"/>
      <c r="W23" s="223"/>
      <c r="X23" s="151"/>
      <c r="Y23" s="4"/>
      <c r="Z23" s="4"/>
      <c r="AA23" s="4"/>
      <c r="AB23" s="4"/>
      <c r="AC23" s="4"/>
      <c r="AD23" s="4"/>
      <c r="AE23" s="4"/>
      <c r="AF23" s="4"/>
      <c r="AG23" s="4"/>
      <c r="AH23" s="4"/>
      <c r="AI23" s="4"/>
      <c r="AJ23" s="132"/>
    </row>
    <row r="24" spans="1:36" ht="25.5">
      <c r="A24" s="129"/>
      <c r="B24" s="220" t="s">
        <v>148</v>
      </c>
      <c r="C24" s="224" t="s">
        <v>22</v>
      </c>
      <c r="D24" s="224"/>
      <c r="E24" s="225">
        <f>C25*$C$11</f>
        <v>-1232.0760000000002</v>
      </c>
      <c r="F24" s="225"/>
      <c r="G24" s="225"/>
      <c r="H24" s="225"/>
      <c r="I24" s="225"/>
      <c r="J24" s="225"/>
      <c r="K24" s="225"/>
      <c r="L24" s="225"/>
      <c r="M24" s="225"/>
      <c r="N24" s="225"/>
      <c r="O24" s="211"/>
      <c r="P24" s="152"/>
      <c r="Q24" s="152"/>
      <c r="R24" s="152"/>
      <c r="S24" s="152"/>
      <c r="T24" s="152"/>
      <c r="U24" s="152"/>
      <c r="V24" s="152"/>
      <c r="W24" s="153"/>
      <c r="X24" s="151"/>
      <c r="Y24" s="4"/>
      <c r="Z24" s="4"/>
      <c r="AA24" s="4"/>
      <c r="AB24" s="4"/>
      <c r="AC24" s="4"/>
      <c r="AD24" s="4"/>
      <c r="AE24" s="4"/>
      <c r="AF24" s="4"/>
      <c r="AG24" s="4"/>
      <c r="AH24" s="4"/>
      <c r="AI24" s="4"/>
      <c r="AJ24" s="132"/>
    </row>
    <row r="25" spans="1:36" ht="12.75" customHeight="1">
      <c r="A25" s="129"/>
      <c r="B25" s="220" t="s">
        <v>23</v>
      </c>
      <c r="C25" s="211">
        <f>-4106.92</f>
        <v>-4106.92</v>
      </c>
      <c r="D25" s="211"/>
      <c r="E25" s="152">
        <f>Plantain!C54-E24</f>
        <v>-2874.844</v>
      </c>
      <c r="F25" s="152">
        <f>Plantain!D54</f>
        <v>3017.5699999999997</v>
      </c>
      <c r="G25" s="152">
        <f>Plantain!E54</f>
        <v>3017.5699999999997</v>
      </c>
      <c r="H25" s="152">
        <f>Plantain!F54</f>
        <v>3017.5699999999997</v>
      </c>
      <c r="I25" s="152">
        <f>Plantain!G54</f>
        <v>3017.5699999999997</v>
      </c>
      <c r="J25" s="152">
        <f>Plantain!H54</f>
        <v>3017.5699999999997</v>
      </c>
      <c r="K25" s="152">
        <f>Plantain!I54</f>
        <v>3017.5699999999997</v>
      </c>
      <c r="L25" s="152">
        <f>Plantain!J54</f>
        <v>3017.5699999999997</v>
      </c>
      <c r="M25" s="152">
        <f>Plantain!K54</f>
        <v>3017.5699999999997</v>
      </c>
      <c r="N25" s="152">
        <f>Plantain!L54</f>
        <v>3017.5699999999997</v>
      </c>
      <c r="O25" s="152">
        <f>Plantain!L54</f>
        <v>3017.5699999999997</v>
      </c>
      <c r="P25" s="152">
        <f>Plantain!L54</f>
        <v>3017.5699999999997</v>
      </c>
      <c r="Q25" s="152">
        <f>Plantain!L54</f>
        <v>3017.5699999999997</v>
      </c>
      <c r="R25" s="152">
        <f>Plantain!L54</f>
        <v>3017.5699999999997</v>
      </c>
      <c r="S25" s="152">
        <f>Plantain!L54</f>
        <v>3017.5699999999997</v>
      </c>
      <c r="T25" s="152">
        <f>Plantain!L54</f>
        <v>3017.5699999999997</v>
      </c>
      <c r="U25" s="152">
        <f>Plantain!L54</f>
        <v>3017.5699999999997</v>
      </c>
      <c r="V25" s="152">
        <f>Plantain!L54</f>
        <v>3017.5699999999997</v>
      </c>
      <c r="W25" s="153">
        <f>Plantain!L54</f>
        <v>3017.5699999999997</v>
      </c>
      <c r="X25" s="151"/>
      <c r="Y25" s="152"/>
      <c r="Z25" s="4"/>
      <c r="AA25" s="4"/>
      <c r="AB25" s="4"/>
      <c r="AC25" s="4"/>
      <c r="AD25" s="4"/>
      <c r="AE25" s="4"/>
      <c r="AF25" s="4"/>
      <c r="AG25" s="4"/>
      <c r="AH25" s="4"/>
      <c r="AI25" s="4"/>
      <c r="AJ25" s="132"/>
    </row>
    <row r="26" spans="1:36" ht="12.75">
      <c r="A26" s="129"/>
      <c r="B26" s="220" t="s">
        <v>24</v>
      </c>
      <c r="C26" s="4"/>
      <c r="D26" s="4"/>
      <c r="E26" s="222">
        <f>264.05*'ERR &amp; Sensitivity Analysis'!G11</f>
        <v>264.05</v>
      </c>
      <c r="F26" s="222">
        <f>211.76*'ERR &amp; Sensitivity Analysis'!G11</f>
        <v>211.76</v>
      </c>
      <c r="G26" s="222">
        <f>211.76*'ERR &amp; Sensitivity Analysis'!G11</f>
        <v>211.76</v>
      </c>
      <c r="H26" s="222">
        <f>211.76*'ERR &amp; Sensitivity Analysis'!G11</f>
        <v>211.76</v>
      </c>
      <c r="I26" s="222">
        <f>211.76*'ERR &amp; Sensitivity Analysis'!G11</f>
        <v>211.76</v>
      </c>
      <c r="J26" s="222">
        <f>211.76*'ERR &amp; Sensitivity Analysis'!G11</f>
        <v>211.76</v>
      </c>
      <c r="K26" s="222">
        <f>211.76*'ERR &amp; Sensitivity Analysis'!G11</f>
        <v>211.76</v>
      </c>
      <c r="L26" s="222">
        <f>211.76*'ERR &amp; Sensitivity Analysis'!G11</f>
        <v>211.76</v>
      </c>
      <c r="M26" s="222">
        <f>211.76*'ERR &amp; Sensitivity Analysis'!G11</f>
        <v>211.76</v>
      </c>
      <c r="N26" s="222">
        <f>M26*'ERR &amp; Sensitivity Analysis'!G11</f>
        <v>211.76</v>
      </c>
      <c r="O26" s="222">
        <f>N26*'ERR &amp; Sensitivity Analysis'!G11</f>
        <v>211.76</v>
      </c>
      <c r="P26" s="222">
        <f>O26*'ERR &amp; Sensitivity Analysis'!G11</f>
        <v>211.76</v>
      </c>
      <c r="Q26" s="222">
        <f>P26*'ERR &amp; Sensitivity Analysis'!G11</f>
        <v>211.76</v>
      </c>
      <c r="R26" s="222">
        <f>Q26*'ERR &amp; Sensitivity Analysis'!G11</f>
        <v>211.76</v>
      </c>
      <c r="S26" s="222">
        <f>R26*'ERR &amp; Sensitivity Analysis'!G11</f>
        <v>211.76</v>
      </c>
      <c r="T26" s="222">
        <f>S26*'ERR &amp; Sensitivity Analysis'!G11</f>
        <v>211.76</v>
      </c>
      <c r="U26" s="222">
        <f>T26*'ERR &amp; Sensitivity Analysis'!G11</f>
        <v>211.76</v>
      </c>
      <c r="V26" s="222">
        <f>U26*'ERR &amp; Sensitivity Analysis'!G11</f>
        <v>211.76</v>
      </c>
      <c r="W26" s="223">
        <f>V26*'ERR &amp; Sensitivity Analysis'!G11</f>
        <v>211.76</v>
      </c>
      <c r="X26" s="151"/>
      <c r="Y26" s="4"/>
      <c r="Z26" s="4"/>
      <c r="AA26" s="4"/>
      <c r="AB26" s="4"/>
      <c r="AC26" s="4"/>
      <c r="AD26" s="4"/>
      <c r="AE26" s="4"/>
      <c r="AF26" s="4"/>
      <c r="AG26" s="4"/>
      <c r="AH26" s="4"/>
      <c r="AI26" s="4"/>
      <c r="AJ26" s="132"/>
    </row>
    <row r="27" spans="1:36" ht="12.75">
      <c r="A27" s="129"/>
      <c r="B27" s="220"/>
      <c r="C27" s="4"/>
      <c r="D27" s="4"/>
      <c r="E27" s="222"/>
      <c r="F27" s="222"/>
      <c r="G27" s="222"/>
      <c r="H27" s="222"/>
      <c r="I27" s="222"/>
      <c r="J27" s="222"/>
      <c r="K27" s="222"/>
      <c r="L27" s="222"/>
      <c r="M27" s="222"/>
      <c r="N27" s="222"/>
      <c r="O27" s="222"/>
      <c r="P27" s="222"/>
      <c r="Q27" s="222"/>
      <c r="R27" s="222"/>
      <c r="S27" s="222"/>
      <c r="T27" s="222"/>
      <c r="U27" s="222"/>
      <c r="V27" s="222"/>
      <c r="W27" s="223"/>
      <c r="X27" s="151"/>
      <c r="Y27" s="4"/>
      <c r="Z27" s="4"/>
      <c r="AA27" s="4"/>
      <c r="AB27" s="4"/>
      <c r="AC27" s="4"/>
      <c r="AD27" s="4"/>
      <c r="AE27" s="4"/>
      <c r="AF27" s="4"/>
      <c r="AG27" s="4"/>
      <c r="AH27" s="4"/>
      <c r="AI27" s="4"/>
      <c r="AJ27" s="132"/>
    </row>
    <row r="28" spans="1:36" ht="23.25" customHeight="1">
      <c r="A28" s="129"/>
      <c r="B28" s="220" t="s">
        <v>149</v>
      </c>
      <c r="C28" s="224" t="s">
        <v>22</v>
      </c>
      <c r="D28" s="224"/>
      <c r="E28" s="225">
        <f>C29*$C$11</f>
        <v>-72.24900000000001</v>
      </c>
      <c r="F28" s="225"/>
      <c r="G28" s="225"/>
      <c r="H28" s="225"/>
      <c r="I28" s="225"/>
      <c r="J28" s="225"/>
      <c r="K28" s="225"/>
      <c r="L28" s="225"/>
      <c r="M28" s="225"/>
      <c r="N28" s="225"/>
      <c r="O28" s="211"/>
      <c r="P28" s="211"/>
      <c r="Q28" s="211"/>
      <c r="R28" s="211"/>
      <c r="S28" s="211"/>
      <c r="T28" s="211"/>
      <c r="U28" s="211"/>
      <c r="V28" s="211"/>
      <c r="W28" s="226"/>
      <c r="X28" s="151"/>
      <c r="Y28" s="4"/>
      <c r="Z28" s="4"/>
      <c r="AA28" s="4"/>
      <c r="AB28" s="4"/>
      <c r="AC28" s="4"/>
      <c r="AD28" s="4"/>
      <c r="AE28" s="4"/>
      <c r="AF28" s="4"/>
      <c r="AG28" s="4"/>
      <c r="AH28" s="4"/>
      <c r="AI28" s="4"/>
      <c r="AJ28" s="132"/>
    </row>
    <row r="29" spans="1:36" ht="12.75" customHeight="1">
      <c r="A29" s="129"/>
      <c r="B29" s="220" t="s">
        <v>23</v>
      </c>
      <c r="C29" s="211">
        <f>-240.83</f>
        <v>-240.83</v>
      </c>
      <c r="D29" s="211"/>
      <c r="E29" s="152">
        <f>'Organic Sesame'!C48-'Cost Sharing'!E28</f>
        <v>-168.58099999999996</v>
      </c>
      <c r="F29" s="152">
        <f>'Organic Sesame'!D48</f>
        <v>119.17000000000002</v>
      </c>
      <c r="G29" s="152">
        <f>'Organic Sesame'!E48</f>
        <v>119.17000000000002</v>
      </c>
      <c r="H29" s="152">
        <f>'Organic Sesame'!F48</f>
        <v>119.17000000000002</v>
      </c>
      <c r="I29" s="152">
        <f>'Organic Sesame'!G48</f>
        <v>119.17000000000002</v>
      </c>
      <c r="J29" s="152">
        <f>'Organic Sesame'!H48</f>
        <v>119.17000000000002</v>
      </c>
      <c r="K29" s="152">
        <f>'Organic Sesame'!I48</f>
        <v>119.17000000000002</v>
      </c>
      <c r="L29" s="152">
        <f>'Organic Sesame'!J48</f>
        <v>119.17000000000002</v>
      </c>
      <c r="M29" s="152">
        <f>'Organic Sesame'!K48</f>
        <v>119.17000000000002</v>
      </c>
      <c r="N29" s="152">
        <f>'Organic Sesame'!L48</f>
        <v>119.17000000000002</v>
      </c>
      <c r="O29" s="152">
        <f>'Organic Sesame'!L48</f>
        <v>119.17000000000002</v>
      </c>
      <c r="P29" s="152">
        <f>'Organic Sesame'!L48</f>
        <v>119.17000000000002</v>
      </c>
      <c r="Q29" s="152">
        <f>'Organic Sesame'!L48</f>
        <v>119.17000000000002</v>
      </c>
      <c r="R29" s="152">
        <f>'Organic Sesame'!L48</f>
        <v>119.17000000000002</v>
      </c>
      <c r="S29" s="152">
        <f>'Organic Sesame'!L48</f>
        <v>119.17000000000002</v>
      </c>
      <c r="T29" s="152">
        <f>'Organic Sesame'!L48</f>
        <v>119.17000000000002</v>
      </c>
      <c r="U29" s="152">
        <f>'Organic Sesame'!L48</f>
        <v>119.17000000000002</v>
      </c>
      <c r="V29" s="152">
        <f>'Organic Sesame'!L48</f>
        <v>119.17000000000002</v>
      </c>
      <c r="W29" s="153">
        <f>'Organic Sesame'!L48</f>
        <v>119.17000000000002</v>
      </c>
      <c r="X29" s="151"/>
      <c r="Y29" s="4"/>
      <c r="Z29" s="4"/>
      <c r="AA29" s="4"/>
      <c r="AB29" s="4"/>
      <c r="AC29" s="4"/>
      <c r="AD29" s="4"/>
      <c r="AE29" s="4"/>
      <c r="AF29" s="4"/>
      <c r="AG29" s="4"/>
      <c r="AH29" s="4"/>
      <c r="AI29" s="4"/>
      <c r="AJ29" s="132"/>
    </row>
    <row r="30" spans="1:36" ht="12.75">
      <c r="A30" s="129"/>
      <c r="B30" s="220" t="s">
        <v>24</v>
      </c>
      <c r="C30" s="4"/>
      <c r="D30" s="4"/>
      <c r="E30" s="222">
        <f>50*'ERR &amp; Sensitivity Analysis'!G11</f>
        <v>50</v>
      </c>
      <c r="F30" s="222">
        <f>50*'ERR &amp; Sensitivity Analysis'!G11</f>
        <v>50</v>
      </c>
      <c r="G30" s="222">
        <f>50*'ERR &amp; Sensitivity Analysis'!G11</f>
        <v>50</v>
      </c>
      <c r="H30" s="222">
        <f>50*'ERR &amp; Sensitivity Analysis'!G11</f>
        <v>50</v>
      </c>
      <c r="I30" s="222">
        <f>50*'ERR &amp; Sensitivity Analysis'!G11</f>
        <v>50</v>
      </c>
      <c r="J30" s="222">
        <f>50*'ERR &amp; Sensitivity Analysis'!G11</f>
        <v>50</v>
      </c>
      <c r="K30" s="222">
        <f>50*'ERR &amp; Sensitivity Analysis'!G11</f>
        <v>50</v>
      </c>
      <c r="L30" s="222">
        <f>50*'ERR &amp; Sensitivity Analysis'!G11</f>
        <v>50</v>
      </c>
      <c r="M30" s="222">
        <f>50*'ERR &amp; Sensitivity Analysis'!G11</f>
        <v>50</v>
      </c>
      <c r="N30" s="222">
        <f>50*'ERR &amp; Sensitivity Analysis'!G11</f>
        <v>50</v>
      </c>
      <c r="O30" s="222">
        <f>N30*'ERR &amp; Sensitivity Analysis'!G11</f>
        <v>50</v>
      </c>
      <c r="P30" s="222">
        <f>O30*'ERR &amp; Sensitivity Analysis'!G11</f>
        <v>50</v>
      </c>
      <c r="Q30" s="222">
        <f>P30*'ERR &amp; Sensitivity Analysis'!G11</f>
        <v>50</v>
      </c>
      <c r="R30" s="222">
        <f>Q30*'ERR &amp; Sensitivity Analysis'!G11</f>
        <v>50</v>
      </c>
      <c r="S30" s="222">
        <f>R30*'ERR &amp; Sensitivity Analysis'!G11</f>
        <v>50</v>
      </c>
      <c r="T30" s="222">
        <f>S30*'ERR &amp; Sensitivity Analysis'!G11</f>
        <v>50</v>
      </c>
      <c r="U30" s="222">
        <f>T30*'ERR &amp; Sensitivity Analysis'!G11</f>
        <v>50</v>
      </c>
      <c r="V30" s="222">
        <f>U30*'ERR &amp; Sensitivity Analysis'!G11</f>
        <v>50</v>
      </c>
      <c r="W30" s="223">
        <f>V30*'ERR &amp; Sensitivity Analysis'!G11</f>
        <v>50</v>
      </c>
      <c r="X30" s="151"/>
      <c r="Y30" s="4"/>
      <c r="Z30" s="4"/>
      <c r="AA30" s="4"/>
      <c r="AB30" s="4"/>
      <c r="AC30" s="4"/>
      <c r="AD30" s="4"/>
      <c r="AE30" s="4"/>
      <c r="AF30" s="4"/>
      <c r="AG30" s="4"/>
      <c r="AH30" s="4"/>
      <c r="AI30" s="4"/>
      <c r="AJ30" s="132"/>
    </row>
    <row r="31" spans="1:36" ht="12.75">
      <c r="A31" s="129"/>
      <c r="B31" s="220"/>
      <c r="C31" s="4"/>
      <c r="D31" s="4"/>
      <c r="E31" s="222"/>
      <c r="F31" s="222"/>
      <c r="G31" s="222"/>
      <c r="H31" s="222"/>
      <c r="I31" s="222"/>
      <c r="J31" s="222"/>
      <c r="K31" s="222"/>
      <c r="L31" s="222"/>
      <c r="M31" s="222"/>
      <c r="N31" s="222"/>
      <c r="O31" s="222"/>
      <c r="P31" s="222"/>
      <c r="Q31" s="222"/>
      <c r="R31" s="222"/>
      <c r="S31" s="222"/>
      <c r="T31" s="222"/>
      <c r="U31" s="222"/>
      <c r="V31" s="222"/>
      <c r="W31" s="223"/>
      <c r="X31" s="151"/>
      <c r="Y31" s="4"/>
      <c r="Z31" s="4"/>
      <c r="AA31" s="4"/>
      <c r="AB31" s="4"/>
      <c r="AC31" s="4"/>
      <c r="AD31" s="4"/>
      <c r="AE31" s="4"/>
      <c r="AF31" s="4"/>
      <c r="AG31" s="4"/>
      <c r="AH31" s="4"/>
      <c r="AI31" s="4"/>
      <c r="AJ31" s="132"/>
    </row>
    <row r="32" spans="1:36" ht="15" customHeight="1">
      <c r="A32" s="129"/>
      <c r="B32" s="154" t="s">
        <v>25</v>
      </c>
      <c r="C32" s="224" t="s">
        <v>22</v>
      </c>
      <c r="D32" s="224"/>
      <c r="E32" s="225">
        <f>(E20+E24+E28)/3</f>
        <v>-688.161705</v>
      </c>
      <c r="F32" s="211"/>
      <c r="G32" s="211"/>
      <c r="H32" s="211"/>
      <c r="I32" s="211"/>
      <c r="J32" s="211"/>
      <c r="K32" s="211"/>
      <c r="L32" s="211"/>
      <c r="M32" s="211"/>
      <c r="N32" s="211"/>
      <c r="O32" s="211"/>
      <c r="P32" s="211"/>
      <c r="Q32" s="211"/>
      <c r="R32" s="211"/>
      <c r="S32" s="211"/>
      <c r="T32" s="211"/>
      <c r="U32" s="211"/>
      <c r="V32" s="211"/>
      <c r="W32" s="226"/>
      <c r="X32" s="151"/>
      <c r="Y32" s="4"/>
      <c r="Z32" s="4"/>
      <c r="AA32" s="4"/>
      <c r="AB32" s="4"/>
      <c r="AC32" s="4"/>
      <c r="AD32" s="4"/>
      <c r="AE32" s="4"/>
      <c r="AF32" s="4"/>
      <c r="AG32" s="4"/>
      <c r="AH32" s="4"/>
      <c r="AI32" s="4"/>
      <c r="AJ32" s="132"/>
    </row>
    <row r="33" spans="1:36" ht="12.75" customHeight="1">
      <c r="A33" s="129"/>
      <c r="B33" s="220" t="s">
        <v>23</v>
      </c>
      <c r="C33" s="152">
        <f>(C29+C25+C21)/3</f>
        <v>-2293.87235</v>
      </c>
      <c r="D33" s="152"/>
      <c r="E33" s="222">
        <f>((E21*('ERR &amp; Sensitivity Analysis'!G19/33.333333%))+(E25*('ERR &amp; Sensitivity Analysis'!G18/33.333333%))+(E29*('ERR &amp; Sensitivity Analysis'!G20/33.333333%)))/3</f>
        <v>-1450.4216428375494</v>
      </c>
      <c r="F33" s="222">
        <f>((F21*('ERR &amp; Sensitivity Analysis'!G19/33.333333%))+(F25*('ERR &amp; Sensitivity Analysis'!G18/33.333333%))+(F29*('ERR &amp; Sensitivity Analysis'!G20/33.333333%)))/3</f>
        <v>949.1650094916499</v>
      </c>
      <c r="G33" s="222">
        <f>((G21*('ERR &amp; Sensitivity Analysis'!G19/33.333333%))+(G25*('ERR &amp; Sensitivity Analysis'!G18/33.333333%))+(G29*('ERR &amp; Sensitivity Analysis'!G20/33.333333%)))/3</f>
        <v>986.7059932003931</v>
      </c>
      <c r="H33" s="222">
        <f>((H21*('ERR &amp; Sensitivity Analysis'!G19/33.333333%))+(H25*('ERR &amp; Sensitivity Analysis'!G18/33.333333%))+(H29*('ERR &amp; Sensitivity Analysis'!G20/33.333333%)))/3</f>
        <v>1103.2185443655187</v>
      </c>
      <c r="I33" s="222">
        <f>((I21*('ERR &amp; Sensitivity Analysis'!G19/33.333333%))+(I25*('ERR &amp; Sensitivity Analysis'!G18/33.333333%))+(I29*('ERR &amp; Sensitivity Analysis'!G20/33.333333%)))/3</f>
        <v>1192.566375258997</v>
      </c>
      <c r="J33" s="222">
        <f>((J21*('ERR &amp; Sensitivity Analysis'!G19/33.333333%))+(J25*('ERR &amp; Sensitivity Analysis'!G18/33.333333%))+(J29*('ERR &amp; Sensitivity Analysis'!G20/33.333333%)))/3</f>
        <v>1328.1049006143821</v>
      </c>
      <c r="K33" s="222">
        <f>((K21*('ERR &amp; Sensitivity Analysis'!G19/33.333333%))+(K25*('ERR &amp; Sensitivity Analysis'!G18/33.333333%))+(K29*('ERR &amp; Sensitivity Analysis'!G20/33.333333%)))/3</f>
        <v>1430.7573218409063</v>
      </c>
      <c r="L33" s="222">
        <f>((L21*('ERR &amp; Sensitivity Analysis'!G19/33.333333%))+(L25*('ERR &amp; Sensitivity Analysis'!G18/33.333333%))+(L29*('ERR &amp; Sensitivity Analysis'!G20/33.333333%)))/3</f>
        <v>1493.7528661808617</v>
      </c>
      <c r="M33" s="222">
        <f>((M21*('ERR &amp; Sensitivity Analysis'!G19/33.333333%))+(M25*('ERR &amp; Sensitivity Analysis'!G18/33.333333%))+(M29*('ERR &amp; Sensitivity Analysis'!G20/33.333333%)))/3</f>
        <v>1563.3861227726945</v>
      </c>
      <c r="N33" s="222">
        <f>((N21*('ERR &amp; Sensitivity Analysis'!G19/33.333333%))+(N25*('ERR &amp; Sensitivity Analysis'!G18/33.333333%))+(N29*('ERR &amp; Sensitivity Analysis'!G20/33.333333%)))/3</f>
        <v>1593.350076762609</v>
      </c>
      <c r="O33" s="222">
        <f>((O21*('ERR &amp; Sensitivity Analysis'!G19/33.333333%))+(O25*('ERR &amp; Sensitivity Analysis'!G18/33.333333%))+(O29*('ERR &amp; Sensitivity Analysis'!G20/33.333333%)))/3</f>
        <v>1593.350076762609</v>
      </c>
      <c r="P33" s="222">
        <f>((P21*('ERR &amp; Sensitivity Analysis'!G19/33.333333%))+(P25*('ERR &amp; Sensitivity Analysis'!G18/33.333333%))+(P29*('ERR &amp; Sensitivity Analysis'!G20/33.333333%)))/3</f>
        <v>1593.350076762609</v>
      </c>
      <c r="Q33" s="222">
        <f>((Q21*('ERR &amp; Sensitivity Analysis'!G19/33.333333%))+(Q25*('ERR &amp; Sensitivity Analysis'!G18/33.333333%))+(Q29*('ERR &amp; Sensitivity Analysis'!G20/33.333333%)))/3</f>
        <v>1593.350076762609</v>
      </c>
      <c r="R33" s="222">
        <f>((R21*('ERR &amp; Sensitivity Analysis'!G19/33.333333%))+(R25*('ERR &amp; Sensitivity Analysis'!G18/33.333333%))+(R29*('ERR &amp; Sensitivity Analysis'!G20/33.333333%)))/3</f>
        <v>1593.350076762609</v>
      </c>
      <c r="S33" s="222">
        <f>((S21*('ERR &amp; Sensitivity Analysis'!G19/33.333333%))+(S25*('ERR &amp; Sensitivity Analysis'!G18/33.333333%))+(S29*('ERR &amp; Sensitivity Analysis'!G20/33.333333%)))/3</f>
        <v>1593.350076762609</v>
      </c>
      <c r="T33" s="222">
        <f>((T21*('ERR &amp; Sensitivity Analysis'!G19/33.333333%))+(T25*('ERR &amp; Sensitivity Analysis'!G18/33.333333%))+(T29*('ERR &amp; Sensitivity Analysis'!G20/33.333333%)))/3</f>
        <v>1593.350076762609</v>
      </c>
      <c r="U33" s="222">
        <f>((U21*('ERR &amp; Sensitivity Analysis'!G19/33.333333%))+(U25*('ERR &amp; Sensitivity Analysis'!G18/33.333333%))+(U29*('ERR &amp; Sensitivity Analysis'!G20/33.333333%)))/3</f>
        <v>1593.350076762609</v>
      </c>
      <c r="V33" s="222">
        <f>((V21*('ERR &amp; Sensitivity Analysis'!G19/33.333333%))+(V25*('ERR &amp; Sensitivity Analysis'!G18/33.333333%))+(V29*('ERR &amp; Sensitivity Analysis'!G20/33.333333%)))/3</f>
        <v>1593.350076762609</v>
      </c>
      <c r="W33" s="223">
        <f>((W21*('ERR &amp; Sensitivity Analysis'!G19/33.333333%))+(W25*('ERR &amp; Sensitivity Analysis'!G18/33.333333%))+(W29*('ERR &amp; Sensitivity Analysis'!G20/33.333333%)))/3</f>
        <v>1593.350076762609</v>
      </c>
      <c r="X33" s="151"/>
      <c r="Y33" s="4"/>
      <c r="Z33" s="4"/>
      <c r="AA33" s="4"/>
      <c r="AB33" s="4"/>
      <c r="AC33" s="4"/>
      <c r="AD33" s="4"/>
      <c r="AE33" s="4"/>
      <c r="AF33" s="4"/>
      <c r="AG33" s="4"/>
      <c r="AH33" s="4"/>
      <c r="AI33" s="4"/>
      <c r="AJ33" s="132"/>
    </row>
    <row r="34" spans="1:36" ht="12.75">
      <c r="A34" s="129"/>
      <c r="B34" s="227" t="s">
        <v>24</v>
      </c>
      <c r="C34" s="155"/>
      <c r="D34" s="155"/>
      <c r="E34" s="228">
        <f aca="true" t="shared" si="1" ref="E34:W34">(E22+E26+E30)/3</f>
        <v>138.01666666666668</v>
      </c>
      <c r="F34" s="228">
        <f t="shared" si="1"/>
        <v>106.85333333333334</v>
      </c>
      <c r="G34" s="228">
        <f t="shared" si="1"/>
        <v>107.83333333333333</v>
      </c>
      <c r="H34" s="228">
        <f t="shared" si="1"/>
        <v>108.86233333333332</v>
      </c>
      <c r="I34" s="228">
        <f t="shared" si="1"/>
        <v>109.94278333333334</v>
      </c>
      <c r="J34" s="228">
        <f t="shared" si="1"/>
        <v>111.07725583333333</v>
      </c>
      <c r="K34" s="228">
        <f t="shared" si="1"/>
        <v>112.26845195833333</v>
      </c>
      <c r="L34" s="228">
        <f t="shared" si="1"/>
        <v>113.51920788958334</v>
      </c>
      <c r="M34" s="228">
        <f t="shared" si="1"/>
        <v>114.83250161739583</v>
      </c>
      <c r="N34" s="228">
        <f t="shared" si="1"/>
        <v>116.21146003159896</v>
      </c>
      <c r="O34" s="228">
        <f t="shared" si="1"/>
        <v>116.21146003159896</v>
      </c>
      <c r="P34" s="228">
        <f t="shared" si="1"/>
        <v>116.21146003159896</v>
      </c>
      <c r="Q34" s="228">
        <f t="shared" si="1"/>
        <v>116.21146003159896</v>
      </c>
      <c r="R34" s="228">
        <f t="shared" si="1"/>
        <v>116.21146003159896</v>
      </c>
      <c r="S34" s="228">
        <f t="shared" si="1"/>
        <v>116.21146003159896</v>
      </c>
      <c r="T34" s="228">
        <f t="shared" si="1"/>
        <v>116.21146003159896</v>
      </c>
      <c r="U34" s="228">
        <f t="shared" si="1"/>
        <v>116.21146003159896</v>
      </c>
      <c r="V34" s="228">
        <f t="shared" si="1"/>
        <v>116.21146003159896</v>
      </c>
      <c r="W34" s="229">
        <f t="shared" si="1"/>
        <v>116.21146003159896</v>
      </c>
      <c r="X34" s="151"/>
      <c r="Y34" s="4"/>
      <c r="Z34" s="4"/>
      <c r="AA34" s="4"/>
      <c r="AB34" s="4"/>
      <c r="AC34" s="4"/>
      <c r="AD34" s="4"/>
      <c r="AE34" s="4"/>
      <c r="AF34" s="4"/>
      <c r="AG34" s="4"/>
      <c r="AH34" s="4"/>
      <c r="AI34" s="4"/>
      <c r="AJ34" s="132"/>
    </row>
    <row r="35" spans="1:35" ht="12.75">
      <c r="A35" s="129"/>
      <c r="B35" s="230"/>
      <c r="C35" s="144"/>
      <c r="D35" s="8"/>
      <c r="E35" s="8"/>
      <c r="F35" s="8"/>
      <c r="G35" s="8"/>
      <c r="H35" s="8"/>
      <c r="I35" s="8"/>
      <c r="J35" s="8"/>
      <c r="K35" s="8"/>
      <c r="L35" s="8"/>
      <c r="M35" s="8"/>
      <c r="N35" s="8"/>
      <c r="O35" s="8"/>
      <c r="P35" s="8"/>
      <c r="Q35" s="8"/>
      <c r="R35" s="8"/>
      <c r="S35" s="8"/>
      <c r="T35" s="8"/>
      <c r="U35" s="8"/>
      <c r="V35" s="8"/>
      <c r="W35" s="4"/>
      <c r="X35" s="4"/>
      <c r="Y35" s="4"/>
      <c r="Z35" s="4"/>
      <c r="AA35" s="4"/>
      <c r="AB35" s="4"/>
      <c r="AC35" s="4"/>
      <c r="AD35" s="4"/>
      <c r="AE35" s="4"/>
      <c r="AF35" s="4"/>
      <c r="AG35" s="4"/>
      <c r="AH35" s="4"/>
      <c r="AI35" s="132"/>
    </row>
    <row r="36" spans="1:35" ht="13.5" thickBot="1">
      <c r="A36" s="129"/>
      <c r="B36" s="7"/>
      <c r="C36" s="4"/>
      <c r="D36" s="113"/>
      <c r="E36" s="113"/>
      <c r="F36" s="113"/>
      <c r="G36" s="113"/>
      <c r="H36" s="113"/>
      <c r="I36" s="113"/>
      <c r="J36" s="113"/>
      <c r="K36" s="113"/>
      <c r="L36" s="113"/>
      <c r="M36" s="113"/>
      <c r="N36" s="113"/>
      <c r="O36" s="113"/>
      <c r="P36" s="113"/>
      <c r="Q36" s="113"/>
      <c r="R36" s="113"/>
      <c r="S36" s="113"/>
      <c r="T36" s="113"/>
      <c r="U36" s="113"/>
      <c r="V36" s="113"/>
      <c r="W36" s="4"/>
      <c r="X36" s="4"/>
      <c r="Y36" s="4"/>
      <c r="Z36" s="4"/>
      <c r="AA36" s="4"/>
      <c r="AB36" s="4"/>
      <c r="AC36" s="4"/>
      <c r="AD36" s="4"/>
      <c r="AE36" s="4"/>
      <c r="AF36" s="4"/>
      <c r="AG36" s="4"/>
      <c r="AH36" s="4"/>
      <c r="AI36" s="132"/>
    </row>
    <row r="37" spans="1:36" ht="13.5" thickBot="1">
      <c r="A37" s="129"/>
      <c r="B37" s="590" t="s">
        <v>0</v>
      </c>
      <c r="C37" s="591"/>
      <c r="D37" s="258">
        <v>1</v>
      </c>
      <c r="E37" s="258">
        <v>2</v>
      </c>
      <c r="F37" s="259">
        <f>E37+1</f>
        <v>3</v>
      </c>
      <c r="G37" s="259">
        <f aca="true" t="shared" si="2" ref="G37:W37">F37+1</f>
        <v>4</v>
      </c>
      <c r="H37" s="259">
        <f t="shared" si="2"/>
        <v>5</v>
      </c>
      <c r="I37" s="259">
        <f t="shared" si="2"/>
        <v>6</v>
      </c>
      <c r="J37" s="258">
        <f t="shared" si="2"/>
        <v>7</v>
      </c>
      <c r="K37" s="258">
        <f t="shared" si="2"/>
        <v>8</v>
      </c>
      <c r="L37" s="258">
        <f t="shared" si="2"/>
        <v>9</v>
      </c>
      <c r="M37" s="258">
        <f t="shared" si="2"/>
        <v>10</v>
      </c>
      <c r="N37" s="258">
        <f t="shared" si="2"/>
        <v>11</v>
      </c>
      <c r="O37" s="258">
        <f t="shared" si="2"/>
        <v>12</v>
      </c>
      <c r="P37" s="258">
        <f t="shared" si="2"/>
        <v>13</v>
      </c>
      <c r="Q37" s="258">
        <f t="shared" si="2"/>
        <v>14</v>
      </c>
      <c r="R37" s="258">
        <f t="shared" si="2"/>
        <v>15</v>
      </c>
      <c r="S37" s="258">
        <f t="shared" si="2"/>
        <v>16</v>
      </c>
      <c r="T37" s="258">
        <f t="shared" si="2"/>
        <v>17</v>
      </c>
      <c r="U37" s="258">
        <f t="shared" si="2"/>
        <v>18</v>
      </c>
      <c r="V37" s="258">
        <f t="shared" si="2"/>
        <v>19</v>
      </c>
      <c r="W37" s="260">
        <f t="shared" si="2"/>
        <v>20</v>
      </c>
      <c r="X37" s="4"/>
      <c r="Y37" s="4"/>
      <c r="Z37" s="4"/>
      <c r="AA37" s="4"/>
      <c r="AB37" s="4"/>
      <c r="AC37" s="4"/>
      <c r="AD37" s="4"/>
      <c r="AE37" s="4"/>
      <c r="AF37" s="4"/>
      <c r="AG37" s="4"/>
      <c r="AH37" s="4"/>
      <c r="AI37" s="4"/>
      <c r="AJ37" s="132"/>
    </row>
    <row r="38" spans="1:36" ht="12.75">
      <c r="A38" s="129"/>
      <c r="B38" s="156" t="s">
        <v>161</v>
      </c>
      <c r="C38" s="157"/>
      <c r="D38" s="158">
        <f aca="true" t="shared" si="3" ref="D38:W38">$C$10</f>
        <v>100</v>
      </c>
      <c r="E38" s="158">
        <f t="shared" si="3"/>
        <v>100</v>
      </c>
      <c r="F38" s="158">
        <f t="shared" si="3"/>
        <v>100</v>
      </c>
      <c r="G38" s="158">
        <f t="shared" si="3"/>
        <v>100</v>
      </c>
      <c r="H38" s="158">
        <f t="shared" si="3"/>
        <v>100</v>
      </c>
      <c r="I38" s="158">
        <f t="shared" si="3"/>
        <v>100</v>
      </c>
      <c r="J38" s="158">
        <f t="shared" si="3"/>
        <v>100</v>
      </c>
      <c r="K38" s="158">
        <f t="shared" si="3"/>
        <v>100</v>
      </c>
      <c r="L38" s="158">
        <f t="shared" si="3"/>
        <v>100</v>
      </c>
      <c r="M38" s="158">
        <f t="shared" si="3"/>
        <v>100</v>
      </c>
      <c r="N38" s="158">
        <f t="shared" si="3"/>
        <v>100</v>
      </c>
      <c r="O38" s="158">
        <f t="shared" si="3"/>
        <v>100</v>
      </c>
      <c r="P38" s="158">
        <f t="shared" si="3"/>
        <v>100</v>
      </c>
      <c r="Q38" s="158">
        <f t="shared" si="3"/>
        <v>100</v>
      </c>
      <c r="R38" s="158">
        <f t="shared" si="3"/>
        <v>100</v>
      </c>
      <c r="S38" s="158">
        <f t="shared" si="3"/>
        <v>100</v>
      </c>
      <c r="T38" s="158">
        <f t="shared" si="3"/>
        <v>100</v>
      </c>
      <c r="U38" s="158">
        <f t="shared" si="3"/>
        <v>100</v>
      </c>
      <c r="V38" s="158">
        <f t="shared" si="3"/>
        <v>100</v>
      </c>
      <c r="W38" s="159">
        <f t="shared" si="3"/>
        <v>100</v>
      </c>
      <c r="X38" s="7"/>
      <c r="Y38" s="4"/>
      <c r="Z38" s="4"/>
      <c r="AA38" s="4"/>
      <c r="AB38" s="4"/>
      <c r="AC38" s="4"/>
      <c r="AD38" s="4"/>
      <c r="AE38" s="4"/>
      <c r="AF38" s="4"/>
      <c r="AG38" s="4"/>
      <c r="AH38" s="4"/>
      <c r="AI38" s="4"/>
      <c r="AJ38" s="132"/>
    </row>
    <row r="39" spans="1:36" ht="12.75">
      <c r="A39" s="129"/>
      <c r="B39" s="100" t="s">
        <v>162</v>
      </c>
      <c r="C39" s="160"/>
      <c r="D39" s="160"/>
      <c r="E39" s="160"/>
      <c r="F39" s="160"/>
      <c r="G39" s="161">
        <f>4500*'ERR &amp; Sensitivity Analysis'!G13</f>
        <v>4500</v>
      </c>
      <c r="H39" s="162">
        <f>G39*(1-$C$7)</f>
        <v>4050</v>
      </c>
      <c r="I39" s="162">
        <f>H39*(1-$C$8)</f>
        <v>3847.5</v>
      </c>
      <c r="J39" s="162">
        <f aca="true" t="shared" si="4" ref="J39:W42">I39*(1-$C$8)</f>
        <v>3655.125</v>
      </c>
      <c r="K39" s="162">
        <f t="shared" si="4"/>
        <v>3472.3687499999996</v>
      </c>
      <c r="L39" s="162">
        <f t="shared" si="4"/>
        <v>3298.7503124999994</v>
      </c>
      <c r="M39" s="162">
        <f t="shared" si="4"/>
        <v>3133.812796874999</v>
      </c>
      <c r="N39" s="162">
        <f t="shared" si="4"/>
        <v>2977.122157031249</v>
      </c>
      <c r="O39" s="162">
        <f t="shared" si="4"/>
        <v>2828.2660491796864</v>
      </c>
      <c r="P39" s="162">
        <f t="shared" si="4"/>
        <v>2686.852746720702</v>
      </c>
      <c r="Q39" s="162">
        <f t="shared" si="4"/>
        <v>2552.5101093846665</v>
      </c>
      <c r="R39" s="162">
        <f t="shared" si="4"/>
        <v>2424.884603915433</v>
      </c>
      <c r="S39" s="162">
        <f t="shared" si="4"/>
        <v>2303.6403737196615</v>
      </c>
      <c r="T39" s="162">
        <f t="shared" si="4"/>
        <v>2188.4583550336783</v>
      </c>
      <c r="U39" s="162">
        <f t="shared" si="4"/>
        <v>2079.0354372819943</v>
      </c>
      <c r="V39" s="162">
        <f t="shared" si="4"/>
        <v>1975.0836654178945</v>
      </c>
      <c r="W39" s="163">
        <f t="shared" si="4"/>
        <v>1876.3294821469997</v>
      </c>
      <c r="X39" s="7"/>
      <c r="Y39" s="4"/>
      <c r="Z39" s="4"/>
      <c r="AA39" s="4"/>
      <c r="AB39" s="4"/>
      <c r="AC39" s="4"/>
      <c r="AD39" s="4"/>
      <c r="AE39" s="4"/>
      <c r="AF39" s="4"/>
      <c r="AG39" s="4"/>
      <c r="AH39" s="4"/>
      <c r="AI39" s="4"/>
      <c r="AJ39" s="132"/>
    </row>
    <row r="40" spans="1:36" ht="12.75">
      <c r="A40" s="129"/>
      <c r="B40" s="164"/>
      <c r="C40" s="165"/>
      <c r="D40" s="166"/>
      <c r="E40" s="167"/>
      <c r="F40" s="168">
        <f>3000*'ERR &amp; Sensitivity Analysis'!G13</f>
        <v>3000</v>
      </c>
      <c r="G40" s="166">
        <f>F40*(1-$C$7)</f>
        <v>2700</v>
      </c>
      <c r="H40" s="166">
        <f>G40*(1-$C$8)</f>
        <v>2565</v>
      </c>
      <c r="I40" s="166">
        <f>H40*(1-$C$8)</f>
        <v>2436.75</v>
      </c>
      <c r="J40" s="166">
        <f t="shared" si="4"/>
        <v>2314.9125</v>
      </c>
      <c r="K40" s="166">
        <f t="shared" si="4"/>
        <v>2199.166875</v>
      </c>
      <c r="L40" s="166">
        <f t="shared" si="4"/>
        <v>2089.20853125</v>
      </c>
      <c r="M40" s="166">
        <f t="shared" si="4"/>
        <v>1984.7481046874998</v>
      </c>
      <c r="N40" s="166">
        <f t="shared" si="4"/>
        <v>1885.5106994531247</v>
      </c>
      <c r="O40" s="166">
        <f t="shared" si="4"/>
        <v>1791.2351644804685</v>
      </c>
      <c r="P40" s="166">
        <f t="shared" si="4"/>
        <v>1701.6734062564449</v>
      </c>
      <c r="Q40" s="166">
        <f t="shared" si="4"/>
        <v>1616.5897359436226</v>
      </c>
      <c r="R40" s="166">
        <f t="shared" si="4"/>
        <v>1535.7602491464413</v>
      </c>
      <c r="S40" s="166">
        <f t="shared" si="4"/>
        <v>1458.9722366891192</v>
      </c>
      <c r="T40" s="166">
        <f t="shared" si="4"/>
        <v>1386.0236248546632</v>
      </c>
      <c r="U40" s="166">
        <f t="shared" si="4"/>
        <v>1316.72244361193</v>
      </c>
      <c r="V40" s="166">
        <f t="shared" si="4"/>
        <v>1250.8863214313335</v>
      </c>
      <c r="W40" s="169">
        <f t="shared" si="4"/>
        <v>1188.3420053597667</v>
      </c>
      <c r="X40" s="170"/>
      <c r="Y40" s="4"/>
      <c r="Z40" s="4"/>
      <c r="AA40" s="4"/>
      <c r="AB40" s="4"/>
      <c r="AC40" s="4"/>
      <c r="AD40" s="4"/>
      <c r="AE40" s="4"/>
      <c r="AF40" s="4"/>
      <c r="AG40" s="4"/>
      <c r="AH40" s="4"/>
      <c r="AI40" s="4"/>
      <c r="AJ40" s="132"/>
    </row>
    <row r="41" spans="1:36" ht="12.75">
      <c r="A41" s="129"/>
      <c r="B41" s="164"/>
      <c r="C41" s="165"/>
      <c r="D41" s="166"/>
      <c r="E41" s="168">
        <f>2000*'ERR &amp; Sensitivity Analysis'!G13</f>
        <v>2000</v>
      </c>
      <c r="F41" s="166">
        <f>E41*(1-$C$7)</f>
        <v>1800</v>
      </c>
      <c r="G41" s="166">
        <f>F41*(1-$C$8)</f>
        <v>1710</v>
      </c>
      <c r="H41" s="166">
        <f>G41*(1-$C$8)</f>
        <v>1624.5</v>
      </c>
      <c r="I41" s="166">
        <f>H41*(1-$C$8)</f>
        <v>1543.2749999999999</v>
      </c>
      <c r="J41" s="166">
        <f t="shared" si="4"/>
        <v>1466.1112499999997</v>
      </c>
      <c r="K41" s="166">
        <f t="shared" si="4"/>
        <v>1392.8056874999997</v>
      </c>
      <c r="L41" s="166">
        <f t="shared" si="4"/>
        <v>1323.1654031249998</v>
      </c>
      <c r="M41" s="166">
        <f t="shared" si="4"/>
        <v>1257.0071329687498</v>
      </c>
      <c r="N41" s="166">
        <f t="shared" si="4"/>
        <v>1194.1567763203122</v>
      </c>
      <c r="O41" s="166">
        <f t="shared" si="4"/>
        <v>1134.4489375042965</v>
      </c>
      <c r="P41" s="166">
        <f t="shared" si="4"/>
        <v>1077.7264906290816</v>
      </c>
      <c r="Q41" s="166">
        <f t="shared" si="4"/>
        <v>1023.8401660976275</v>
      </c>
      <c r="R41" s="166">
        <f t="shared" si="4"/>
        <v>972.6481577927461</v>
      </c>
      <c r="S41" s="166">
        <f t="shared" si="4"/>
        <v>924.0157499031088</v>
      </c>
      <c r="T41" s="166">
        <f t="shared" si="4"/>
        <v>877.8149624079533</v>
      </c>
      <c r="U41" s="166">
        <f t="shared" si="4"/>
        <v>833.9242142875556</v>
      </c>
      <c r="V41" s="166">
        <f t="shared" si="4"/>
        <v>792.2280035731778</v>
      </c>
      <c r="W41" s="169">
        <f t="shared" si="4"/>
        <v>752.6166033945188</v>
      </c>
      <c r="X41" s="7"/>
      <c r="Y41" s="4"/>
      <c r="Z41" s="4"/>
      <c r="AA41" s="4"/>
      <c r="AB41" s="4"/>
      <c r="AC41" s="4"/>
      <c r="AD41" s="4"/>
      <c r="AE41" s="4"/>
      <c r="AF41" s="4"/>
      <c r="AG41" s="4"/>
      <c r="AH41" s="4"/>
      <c r="AI41" s="4"/>
      <c r="AJ41" s="132"/>
    </row>
    <row r="42" spans="1:36" ht="12.75">
      <c r="A42" s="129"/>
      <c r="B42" s="171"/>
      <c r="C42" s="172"/>
      <c r="D42" s="173">
        <f>500*'ERR &amp; Sensitivity Analysis'!G13</f>
        <v>500</v>
      </c>
      <c r="E42" s="174">
        <f>D42*(1-$C$8)</f>
        <v>475</v>
      </c>
      <c r="F42" s="174">
        <f>E42*(1-$C$8)</f>
        <v>451.25</v>
      </c>
      <c r="G42" s="174">
        <f>F42*(1-$C$8)</f>
        <v>428.6875</v>
      </c>
      <c r="H42" s="174">
        <f>G42*(1-$C$8)</f>
        <v>407.25312499999995</v>
      </c>
      <c r="I42" s="174">
        <f>H42*(1-$C$8)</f>
        <v>386.8904687499999</v>
      </c>
      <c r="J42" s="174">
        <f t="shared" si="4"/>
        <v>367.5459453124999</v>
      </c>
      <c r="K42" s="174">
        <f t="shared" si="4"/>
        <v>349.16864804687486</v>
      </c>
      <c r="L42" s="174">
        <f t="shared" si="4"/>
        <v>331.7102156445311</v>
      </c>
      <c r="M42" s="174">
        <f t="shared" si="4"/>
        <v>315.12470486230455</v>
      </c>
      <c r="N42" s="174">
        <f t="shared" si="4"/>
        <v>299.36846961918934</v>
      </c>
      <c r="O42" s="174">
        <f t="shared" si="4"/>
        <v>284.40004613822987</v>
      </c>
      <c r="P42" s="174">
        <f t="shared" si="4"/>
        <v>270.18004383131836</v>
      </c>
      <c r="Q42" s="174">
        <f t="shared" si="4"/>
        <v>256.67104163975245</v>
      </c>
      <c r="R42" s="174">
        <f t="shared" si="4"/>
        <v>243.8374895577648</v>
      </c>
      <c r="S42" s="174">
        <f t="shared" si="4"/>
        <v>231.64561507987653</v>
      </c>
      <c r="T42" s="174">
        <f t="shared" si="4"/>
        <v>220.0633343258827</v>
      </c>
      <c r="U42" s="174">
        <f t="shared" si="4"/>
        <v>209.06016760958855</v>
      </c>
      <c r="V42" s="174">
        <f t="shared" si="4"/>
        <v>198.6071592291091</v>
      </c>
      <c r="W42" s="175">
        <f t="shared" si="4"/>
        <v>188.67680126765364</v>
      </c>
      <c r="X42" s="7"/>
      <c r="Y42" s="4"/>
      <c r="Z42" s="4"/>
      <c r="AA42" s="4"/>
      <c r="AB42" s="4"/>
      <c r="AC42" s="4"/>
      <c r="AD42" s="4"/>
      <c r="AE42" s="4"/>
      <c r="AF42" s="4"/>
      <c r="AG42" s="4"/>
      <c r="AH42" s="4"/>
      <c r="AI42" s="4"/>
      <c r="AJ42" s="132"/>
    </row>
    <row r="43" spans="1:36" ht="13.5" thickBot="1">
      <c r="A43" s="129"/>
      <c r="B43" s="176" t="s">
        <v>26</v>
      </c>
      <c r="C43" s="177"/>
      <c r="D43" s="12">
        <f>SUM(D39:D42)*D38</f>
        <v>50000</v>
      </c>
      <c r="E43" s="12">
        <f aca="true" t="shared" si="5" ref="E43:V43">SUM(E39:E42)*E38</f>
        <v>247500</v>
      </c>
      <c r="F43" s="12">
        <f t="shared" si="5"/>
        <v>525125</v>
      </c>
      <c r="G43" s="12">
        <f t="shared" si="5"/>
        <v>933868.75</v>
      </c>
      <c r="H43" s="12">
        <f t="shared" si="5"/>
        <v>864675.3124999999</v>
      </c>
      <c r="I43" s="12">
        <f t="shared" si="5"/>
        <v>821441.546875</v>
      </c>
      <c r="J43" s="12">
        <f t="shared" si="5"/>
        <v>780369.46953125</v>
      </c>
      <c r="K43" s="12">
        <f t="shared" si="5"/>
        <v>741350.9960546874</v>
      </c>
      <c r="L43" s="12">
        <f t="shared" si="5"/>
        <v>704283.4462519529</v>
      </c>
      <c r="M43" s="12">
        <f t="shared" si="5"/>
        <v>669069.2739393553</v>
      </c>
      <c r="N43" s="12">
        <f t="shared" si="5"/>
        <v>635615.8102423875</v>
      </c>
      <c r="O43" s="12">
        <f t="shared" si="5"/>
        <v>603835.0197302682</v>
      </c>
      <c r="P43" s="12">
        <f t="shared" si="5"/>
        <v>573643.2687437547</v>
      </c>
      <c r="Q43" s="12">
        <f t="shared" si="5"/>
        <v>544961.1053065669</v>
      </c>
      <c r="R43" s="12">
        <f t="shared" si="5"/>
        <v>517713.0500412385</v>
      </c>
      <c r="S43" s="12">
        <f t="shared" si="5"/>
        <v>491827.3975391767</v>
      </c>
      <c r="T43" s="12">
        <f t="shared" si="5"/>
        <v>467236.02766221773</v>
      </c>
      <c r="U43" s="12">
        <f t="shared" si="5"/>
        <v>443874.2262791068</v>
      </c>
      <c r="V43" s="12">
        <f t="shared" si="5"/>
        <v>421680.51496515144</v>
      </c>
      <c r="W43" s="13">
        <f>SUM(W39:W42)*W38</f>
        <v>400596.48921689385</v>
      </c>
      <c r="X43" s="178"/>
      <c r="Y43" s="4"/>
      <c r="Z43" s="4"/>
      <c r="AA43" s="4"/>
      <c r="AB43" s="4"/>
      <c r="AC43" s="4"/>
      <c r="AD43" s="4"/>
      <c r="AE43" s="4"/>
      <c r="AF43" s="4"/>
      <c r="AG43" s="4"/>
      <c r="AH43" s="4"/>
      <c r="AI43" s="4"/>
      <c r="AJ43" s="132"/>
    </row>
    <row r="44" spans="1:36" ht="13.5" thickBot="1">
      <c r="A44" s="129"/>
      <c r="B44" s="179"/>
      <c r="C44" s="179"/>
      <c r="D44" s="114"/>
      <c r="E44" s="114"/>
      <c r="F44" s="114"/>
      <c r="G44" s="114"/>
      <c r="H44" s="114"/>
      <c r="I44" s="114"/>
      <c r="J44" s="114"/>
      <c r="K44" s="114"/>
      <c r="L44" s="114"/>
      <c r="M44" s="114"/>
      <c r="N44" s="114"/>
      <c r="O44" s="114"/>
      <c r="P44" s="114"/>
      <c r="Q44" s="114"/>
      <c r="R44" s="114"/>
      <c r="S44" s="114"/>
      <c r="T44" s="114"/>
      <c r="U44" s="114"/>
      <c r="V44" s="114"/>
      <c r="W44" s="114"/>
      <c r="X44" s="178"/>
      <c r="Y44" s="4"/>
      <c r="Z44" s="4"/>
      <c r="AA44" s="4"/>
      <c r="AB44" s="4"/>
      <c r="AC44" s="4"/>
      <c r="AD44" s="4"/>
      <c r="AE44" s="4"/>
      <c r="AF44" s="4"/>
      <c r="AG44" s="4"/>
      <c r="AH44" s="4"/>
      <c r="AI44" s="4"/>
      <c r="AJ44" s="132"/>
    </row>
    <row r="45" spans="1:37" ht="13.5" thickBot="1">
      <c r="A45" s="129"/>
      <c r="B45" s="590" t="s">
        <v>150</v>
      </c>
      <c r="C45" s="591"/>
      <c r="D45" s="254"/>
      <c r="E45" s="254"/>
      <c r="F45" s="255"/>
      <c r="G45" s="255"/>
      <c r="H45" s="255"/>
      <c r="I45" s="255"/>
      <c r="J45" s="256"/>
      <c r="K45" s="256"/>
      <c r="L45" s="256"/>
      <c r="M45" s="256"/>
      <c r="N45" s="256"/>
      <c r="O45" s="256"/>
      <c r="P45" s="256"/>
      <c r="Q45" s="256"/>
      <c r="R45" s="256"/>
      <c r="S45" s="256"/>
      <c r="T45" s="256"/>
      <c r="U45" s="256"/>
      <c r="V45" s="256"/>
      <c r="W45" s="257"/>
      <c r="X45" s="253"/>
      <c r="Y45" s="180"/>
      <c r="Z45" s="180"/>
      <c r="AA45" s="181"/>
      <c r="AB45" s="4"/>
      <c r="AC45" s="4"/>
      <c r="AD45" s="4"/>
      <c r="AE45" s="4"/>
      <c r="AF45" s="4"/>
      <c r="AG45" s="4"/>
      <c r="AH45" s="4"/>
      <c r="AI45" s="4"/>
      <c r="AJ45" s="4"/>
      <c r="AK45" s="132"/>
    </row>
    <row r="46" spans="1:36" ht="13.5" customHeight="1">
      <c r="A46" s="129"/>
      <c r="B46" s="231" t="s">
        <v>159</v>
      </c>
      <c r="C46" s="179"/>
      <c r="D46" s="179"/>
      <c r="E46" s="158"/>
      <c r="F46" s="179"/>
      <c r="G46" s="179"/>
      <c r="H46" s="158">
        <f aca="true" t="shared" si="6" ref="H46:W46">G39*E33</f>
        <v>-6526897.392768973</v>
      </c>
      <c r="I46" s="158">
        <f t="shared" si="6"/>
        <v>3844118.288441182</v>
      </c>
      <c r="J46" s="158">
        <f t="shared" si="6"/>
        <v>3796351.3088385123</v>
      </c>
      <c r="K46" s="158">
        <f t="shared" si="6"/>
        <v>4032401.6819740166</v>
      </c>
      <c r="L46" s="158">
        <f t="shared" si="6"/>
        <v>4141030.2137501137</v>
      </c>
      <c r="M46" s="158">
        <f t="shared" si="6"/>
        <v>4381086.455934473</v>
      </c>
      <c r="N46" s="158">
        <f t="shared" si="6"/>
        <v>4483725.604407634</v>
      </c>
      <c r="O46" s="158">
        <f t="shared" si="6"/>
        <v>4447084.755035978</v>
      </c>
      <c r="P46" s="158">
        <f t="shared" si="6"/>
        <v>4421671.892796677</v>
      </c>
      <c r="Q46" s="158">
        <f t="shared" si="6"/>
        <v>4281097.0302372575</v>
      </c>
      <c r="R46" s="158">
        <f t="shared" si="6"/>
        <v>4067042.178725394</v>
      </c>
      <c r="S46" s="158">
        <f t="shared" si="6"/>
        <v>3863690.069789124</v>
      </c>
      <c r="T46" s="158">
        <f t="shared" si="6"/>
        <v>3670505.566299668</v>
      </c>
      <c r="U46" s="158">
        <f t="shared" si="6"/>
        <v>3486980.2879846846</v>
      </c>
      <c r="V46" s="158">
        <f t="shared" si="6"/>
        <v>3312631.27358545</v>
      </c>
      <c r="W46" s="159">
        <f t="shared" si="6"/>
        <v>3146999.709906177</v>
      </c>
      <c r="X46" s="7"/>
      <c r="Y46" s="4"/>
      <c r="Z46" s="4"/>
      <c r="AA46" s="4"/>
      <c r="AB46" s="4"/>
      <c r="AC46" s="4"/>
      <c r="AD46" s="4"/>
      <c r="AE46" s="4"/>
      <c r="AF46" s="4"/>
      <c r="AG46" s="4"/>
      <c r="AH46" s="4"/>
      <c r="AI46" s="4"/>
      <c r="AJ46" s="132"/>
    </row>
    <row r="47" spans="1:36" ht="12.75">
      <c r="A47" s="129"/>
      <c r="B47" s="232"/>
      <c r="C47" s="167"/>
      <c r="D47" s="167"/>
      <c r="E47" s="182"/>
      <c r="F47" s="182"/>
      <c r="G47" s="182">
        <f aca="true" t="shared" si="7" ref="G47:W47">F40*E33</f>
        <v>-4351264.928512648</v>
      </c>
      <c r="H47" s="182">
        <f t="shared" si="7"/>
        <v>2562745.5256274547</v>
      </c>
      <c r="I47" s="182">
        <f t="shared" si="7"/>
        <v>2530900.872559008</v>
      </c>
      <c r="J47" s="182">
        <f t="shared" si="7"/>
        <v>2688267.7879826776</v>
      </c>
      <c r="K47" s="182">
        <f t="shared" si="7"/>
        <v>2760686.8091667425</v>
      </c>
      <c r="L47" s="182">
        <f t="shared" si="7"/>
        <v>2920724.3039563163</v>
      </c>
      <c r="M47" s="182">
        <f t="shared" si="7"/>
        <v>2989150.402938423</v>
      </c>
      <c r="N47" s="182">
        <f t="shared" si="7"/>
        <v>2964723.1700239857</v>
      </c>
      <c r="O47" s="182">
        <f t="shared" si="7"/>
        <v>2947781.261864452</v>
      </c>
      <c r="P47" s="182">
        <f t="shared" si="7"/>
        <v>2854064.686824839</v>
      </c>
      <c r="Q47" s="182">
        <f t="shared" si="7"/>
        <v>2711361.4524835967</v>
      </c>
      <c r="R47" s="182">
        <f t="shared" si="7"/>
        <v>2575793.3798594167</v>
      </c>
      <c r="S47" s="182">
        <f t="shared" si="7"/>
        <v>2447003.7108664457</v>
      </c>
      <c r="T47" s="182">
        <f t="shared" si="7"/>
        <v>2324653.525323123</v>
      </c>
      <c r="U47" s="182">
        <f t="shared" si="7"/>
        <v>2208420.849056967</v>
      </c>
      <c r="V47" s="182">
        <f t="shared" si="7"/>
        <v>2097999.8066041186</v>
      </c>
      <c r="W47" s="183">
        <f t="shared" si="7"/>
        <v>1993099.8162739128</v>
      </c>
      <c r="X47" s="7"/>
      <c r="Y47" s="4"/>
      <c r="Z47" s="4"/>
      <c r="AA47" s="4"/>
      <c r="AB47" s="4"/>
      <c r="AC47" s="4"/>
      <c r="AD47" s="4"/>
      <c r="AE47" s="4"/>
      <c r="AF47" s="4"/>
      <c r="AG47" s="4"/>
      <c r="AH47" s="4"/>
      <c r="AI47" s="4"/>
      <c r="AJ47" s="132"/>
    </row>
    <row r="48" spans="1:36" ht="12.75">
      <c r="A48" s="129"/>
      <c r="B48" s="233"/>
      <c r="C48" s="167"/>
      <c r="D48" s="167"/>
      <c r="E48" s="182"/>
      <c r="F48" s="182">
        <f aca="true" t="shared" si="8" ref="F48:W48">E41*E33</f>
        <v>-2900843.2856750987</v>
      </c>
      <c r="G48" s="182">
        <f t="shared" si="8"/>
        <v>1708497.01708497</v>
      </c>
      <c r="H48" s="182">
        <f t="shared" si="8"/>
        <v>1687267.2483726721</v>
      </c>
      <c r="I48" s="182">
        <f t="shared" si="8"/>
        <v>1792178.5253217851</v>
      </c>
      <c r="J48" s="182">
        <f t="shared" si="8"/>
        <v>1840457.8727778282</v>
      </c>
      <c r="K48" s="182">
        <f t="shared" si="8"/>
        <v>1947149.5359708772</v>
      </c>
      <c r="L48" s="182">
        <f t="shared" si="8"/>
        <v>1992766.935292282</v>
      </c>
      <c r="M48" s="182">
        <f t="shared" si="8"/>
        <v>1976482.1133493236</v>
      </c>
      <c r="N48" s="182">
        <f t="shared" si="8"/>
        <v>1965187.5079096346</v>
      </c>
      <c r="O48" s="182">
        <f t="shared" si="8"/>
        <v>1902709.7912165592</v>
      </c>
      <c r="P48" s="182">
        <f t="shared" si="8"/>
        <v>1807574.301655731</v>
      </c>
      <c r="Q48" s="182">
        <f t="shared" si="8"/>
        <v>1717195.5865729444</v>
      </c>
      <c r="R48" s="182">
        <f t="shared" si="8"/>
        <v>1631335.8072442971</v>
      </c>
      <c r="S48" s="182">
        <f t="shared" si="8"/>
        <v>1549769.0168820822</v>
      </c>
      <c r="T48" s="182">
        <f t="shared" si="8"/>
        <v>1472280.566037978</v>
      </c>
      <c r="U48" s="182">
        <f t="shared" si="8"/>
        <v>1398666.5377360792</v>
      </c>
      <c r="V48" s="182">
        <f t="shared" si="8"/>
        <v>1328733.210849275</v>
      </c>
      <c r="W48" s="183">
        <f t="shared" si="8"/>
        <v>1262296.5503068115</v>
      </c>
      <c r="X48" s="7"/>
      <c r="Y48" s="4"/>
      <c r="Z48" s="4"/>
      <c r="AA48" s="4"/>
      <c r="AB48" s="4"/>
      <c r="AC48" s="4"/>
      <c r="AD48" s="4"/>
      <c r="AE48" s="4"/>
      <c r="AF48" s="4"/>
      <c r="AG48" s="4"/>
      <c r="AH48" s="4"/>
      <c r="AI48" s="4"/>
      <c r="AJ48" s="132"/>
    </row>
    <row r="49" spans="1:36" ht="12.75">
      <c r="A49" s="129"/>
      <c r="B49" s="171"/>
      <c r="C49" s="167"/>
      <c r="D49" s="167"/>
      <c r="E49" s="182">
        <f>E33*D42</f>
        <v>-725210.8214187747</v>
      </c>
      <c r="F49" s="182">
        <f aca="true" t="shared" si="9" ref="F49:W49">F33*E42</f>
        <v>450853.3795085337</v>
      </c>
      <c r="G49" s="182">
        <f t="shared" si="9"/>
        <v>445251.0794316774</v>
      </c>
      <c r="H49" s="182">
        <f t="shared" si="9"/>
        <v>472935.9997376933</v>
      </c>
      <c r="I49" s="182">
        <f t="shared" si="9"/>
        <v>485676.3830941491</v>
      </c>
      <c r="J49" s="182">
        <f t="shared" si="9"/>
        <v>513831.12754787033</v>
      </c>
      <c r="K49" s="182">
        <f t="shared" si="9"/>
        <v>525869.0523687965</v>
      </c>
      <c r="L49" s="182">
        <f t="shared" si="9"/>
        <v>521571.6688005159</v>
      </c>
      <c r="M49" s="182">
        <f t="shared" si="9"/>
        <v>518591.14792059787</v>
      </c>
      <c r="N49" s="182">
        <f t="shared" si="9"/>
        <v>502103.97268214746</v>
      </c>
      <c r="O49" s="182">
        <f t="shared" si="9"/>
        <v>476998.7740480401</v>
      </c>
      <c r="P49" s="182">
        <f t="shared" si="9"/>
        <v>453148.8353456381</v>
      </c>
      <c r="Q49" s="182">
        <f t="shared" si="9"/>
        <v>430491.3935783562</v>
      </c>
      <c r="R49" s="182">
        <f t="shared" si="9"/>
        <v>408966.8238994384</v>
      </c>
      <c r="S49" s="182">
        <f t="shared" si="9"/>
        <v>388518.4827044664</v>
      </c>
      <c r="T49" s="182">
        <f t="shared" si="9"/>
        <v>369092.55856924306</v>
      </c>
      <c r="U49" s="182">
        <f t="shared" si="9"/>
        <v>350637.9306407809</v>
      </c>
      <c r="V49" s="182">
        <f t="shared" si="9"/>
        <v>333106.0341087418</v>
      </c>
      <c r="W49" s="183">
        <f t="shared" si="9"/>
        <v>316450.7324033047</v>
      </c>
      <c r="X49" s="7"/>
      <c r="Y49" s="4"/>
      <c r="Z49" s="4"/>
      <c r="AA49" s="4"/>
      <c r="AB49" s="4"/>
      <c r="AC49" s="4"/>
      <c r="AD49" s="4"/>
      <c r="AE49" s="4"/>
      <c r="AF49" s="4"/>
      <c r="AG49" s="4"/>
      <c r="AH49" s="4"/>
      <c r="AI49" s="4"/>
      <c r="AJ49" s="132"/>
    </row>
    <row r="50" spans="1:36" ht="13.5" thickBot="1">
      <c r="A50" s="129"/>
      <c r="B50" s="234" t="s">
        <v>2</v>
      </c>
      <c r="C50" s="14"/>
      <c r="D50" s="14"/>
      <c r="E50" s="15">
        <f>SUM(E46:E49)</f>
        <v>-725210.8214187747</v>
      </c>
      <c r="F50" s="15">
        <f aca="true" t="shared" si="10" ref="F50:W50">SUM(F46:F49)</f>
        <v>-2449989.906166565</v>
      </c>
      <c r="G50" s="15">
        <f t="shared" si="10"/>
        <v>-2197516.8319960004</v>
      </c>
      <c r="H50" s="15">
        <f t="shared" si="10"/>
        <v>-1803948.6190311525</v>
      </c>
      <c r="I50" s="15">
        <f t="shared" si="10"/>
        <v>8652874.069416124</v>
      </c>
      <c r="J50" s="15">
        <f t="shared" si="10"/>
        <v>8838908.097146887</v>
      </c>
      <c r="K50" s="15">
        <f t="shared" si="10"/>
        <v>9266107.079480434</v>
      </c>
      <c r="L50" s="15">
        <f t="shared" si="10"/>
        <v>9576093.121799227</v>
      </c>
      <c r="M50" s="15">
        <f t="shared" si="10"/>
        <v>9865310.120142817</v>
      </c>
      <c r="N50" s="15">
        <f t="shared" si="10"/>
        <v>9915740.255023403</v>
      </c>
      <c r="O50" s="15">
        <f t="shared" si="10"/>
        <v>9774574.582165029</v>
      </c>
      <c r="P50" s="15">
        <f t="shared" si="10"/>
        <v>9536459.716622885</v>
      </c>
      <c r="Q50" s="15">
        <f t="shared" si="10"/>
        <v>9140145.462872155</v>
      </c>
      <c r="R50" s="15">
        <f t="shared" si="10"/>
        <v>8683138.189728547</v>
      </c>
      <c r="S50" s="15">
        <f t="shared" si="10"/>
        <v>8248981.280242119</v>
      </c>
      <c r="T50" s="15">
        <f t="shared" si="10"/>
        <v>7836532.2162300125</v>
      </c>
      <c r="U50" s="15">
        <f t="shared" si="10"/>
        <v>7444705.605418513</v>
      </c>
      <c r="V50" s="15">
        <f t="shared" si="10"/>
        <v>7072470.325147586</v>
      </c>
      <c r="W50" s="16">
        <f t="shared" si="10"/>
        <v>6718846.808890207</v>
      </c>
      <c r="X50" s="7"/>
      <c r="Y50" s="4"/>
      <c r="Z50" s="4"/>
      <c r="AA50" s="4"/>
      <c r="AB50" s="4"/>
      <c r="AC50" s="4"/>
      <c r="AD50" s="4"/>
      <c r="AE50" s="4"/>
      <c r="AF50" s="4"/>
      <c r="AG50" s="4"/>
      <c r="AH50" s="4"/>
      <c r="AI50" s="4"/>
      <c r="AJ50" s="132"/>
    </row>
    <row r="51" spans="1:36" ht="12.75">
      <c r="A51" s="129"/>
      <c r="B51" s="235" t="s">
        <v>160</v>
      </c>
      <c r="C51" s="179"/>
      <c r="D51" s="179"/>
      <c r="E51" s="179"/>
      <c r="F51" s="179"/>
      <c r="G51" s="179"/>
      <c r="H51" s="158">
        <f aca="true" t="shared" si="11" ref="H51:W51">G39*E34</f>
        <v>621075.0000000001</v>
      </c>
      <c r="I51" s="158">
        <f t="shared" si="11"/>
        <v>432756</v>
      </c>
      <c r="J51" s="158">
        <f t="shared" si="11"/>
        <v>414888.75</v>
      </c>
      <c r="K51" s="158">
        <f t="shared" si="11"/>
        <v>397905.43612499995</v>
      </c>
      <c r="L51" s="158">
        <f t="shared" si="11"/>
        <v>381761.8851346875</v>
      </c>
      <c r="M51" s="158">
        <f t="shared" si="11"/>
        <v>366416.1323918507</v>
      </c>
      <c r="N51" s="158">
        <f t="shared" si="11"/>
        <v>351828.31143237103</v>
      </c>
      <c r="O51" s="158">
        <f t="shared" si="11"/>
        <v>337960.54905671516</v>
      </c>
      <c r="P51" s="158">
        <f t="shared" si="11"/>
        <v>324776.86566685204</v>
      </c>
      <c r="Q51" s="158">
        <f t="shared" si="11"/>
        <v>312243.08058632474</v>
      </c>
      <c r="R51" s="158">
        <f t="shared" si="11"/>
        <v>296630.92655700847</v>
      </c>
      <c r="S51" s="158">
        <f t="shared" si="11"/>
        <v>281799.38022915804</v>
      </c>
      <c r="T51" s="158">
        <f t="shared" si="11"/>
        <v>267709.4112177001</v>
      </c>
      <c r="U51" s="158">
        <f t="shared" si="11"/>
        <v>254323.94065681513</v>
      </c>
      <c r="V51" s="158">
        <f t="shared" si="11"/>
        <v>241607.74362397435</v>
      </c>
      <c r="W51" s="159">
        <f t="shared" si="11"/>
        <v>229527.35644277564</v>
      </c>
      <c r="X51" s="7"/>
      <c r="Y51" s="4"/>
      <c r="Z51" s="4"/>
      <c r="AA51" s="4"/>
      <c r="AB51" s="4"/>
      <c r="AC51" s="4"/>
      <c r="AD51" s="4"/>
      <c r="AE51" s="4"/>
      <c r="AF51" s="4"/>
      <c r="AG51" s="4"/>
      <c r="AH51" s="4"/>
      <c r="AI51" s="4"/>
      <c r="AJ51" s="132"/>
    </row>
    <row r="52" spans="1:36" ht="12.75">
      <c r="A52" s="129"/>
      <c r="B52" s="233"/>
      <c r="C52" s="167"/>
      <c r="D52" s="167"/>
      <c r="E52" s="182"/>
      <c r="F52" s="182"/>
      <c r="G52" s="182">
        <f aca="true" t="shared" si="12" ref="G52:W52">F40*E34</f>
        <v>414050.00000000006</v>
      </c>
      <c r="H52" s="182">
        <f t="shared" si="12"/>
        <v>288504</v>
      </c>
      <c r="I52" s="182">
        <f t="shared" si="12"/>
        <v>276592.5</v>
      </c>
      <c r="J52" s="182">
        <f t="shared" si="12"/>
        <v>265270.29075</v>
      </c>
      <c r="K52" s="182">
        <f t="shared" si="12"/>
        <v>254507.923423125</v>
      </c>
      <c r="L52" s="182">
        <f t="shared" si="12"/>
        <v>244277.42159456716</v>
      </c>
      <c r="M52" s="182">
        <f t="shared" si="12"/>
        <v>234552.20762158075</v>
      </c>
      <c r="N52" s="182">
        <f t="shared" si="12"/>
        <v>225307.03270447682</v>
      </c>
      <c r="O52" s="182">
        <f t="shared" si="12"/>
        <v>216517.9104445681</v>
      </c>
      <c r="P52" s="182">
        <f t="shared" si="12"/>
        <v>208162.05372421656</v>
      </c>
      <c r="Q52" s="182">
        <f t="shared" si="12"/>
        <v>197753.9510380057</v>
      </c>
      <c r="R52" s="182">
        <f t="shared" si="12"/>
        <v>187866.25348610542</v>
      </c>
      <c r="S52" s="182">
        <f t="shared" si="12"/>
        <v>178472.94081180013</v>
      </c>
      <c r="T52" s="182">
        <f t="shared" si="12"/>
        <v>169549.29377121013</v>
      </c>
      <c r="U52" s="182">
        <f t="shared" si="12"/>
        <v>161071.8290826496</v>
      </c>
      <c r="V52" s="182">
        <f t="shared" si="12"/>
        <v>153018.23762851712</v>
      </c>
      <c r="W52" s="183">
        <f t="shared" si="12"/>
        <v>145367.32574709126</v>
      </c>
      <c r="X52" s="7"/>
      <c r="Y52" s="4"/>
      <c r="Z52" s="4"/>
      <c r="AA52" s="4"/>
      <c r="AB52" s="4"/>
      <c r="AC52" s="4"/>
      <c r="AD52" s="4"/>
      <c r="AE52" s="4"/>
      <c r="AF52" s="4"/>
      <c r="AG52" s="4"/>
      <c r="AH52" s="4"/>
      <c r="AI52" s="4"/>
      <c r="AJ52" s="132"/>
    </row>
    <row r="53" spans="1:36" ht="12.75">
      <c r="A53" s="129"/>
      <c r="B53" s="164"/>
      <c r="C53" s="167"/>
      <c r="D53" s="167"/>
      <c r="E53" s="182"/>
      <c r="F53" s="182">
        <f aca="true" t="shared" si="13" ref="F53:W53">E41*E34</f>
        <v>276033.3333333334</v>
      </c>
      <c r="G53" s="182">
        <f t="shared" si="13"/>
        <v>192336</v>
      </c>
      <c r="H53" s="182">
        <f t="shared" si="13"/>
        <v>184395</v>
      </c>
      <c r="I53" s="182">
        <f t="shared" si="13"/>
        <v>176846.86049999998</v>
      </c>
      <c r="J53" s="182">
        <f t="shared" si="13"/>
        <v>169671.94894874998</v>
      </c>
      <c r="K53" s="182">
        <f t="shared" si="13"/>
        <v>162851.61439637808</v>
      </c>
      <c r="L53" s="182">
        <f t="shared" si="13"/>
        <v>156368.13841438715</v>
      </c>
      <c r="M53" s="182">
        <f t="shared" si="13"/>
        <v>150204.68846965118</v>
      </c>
      <c r="N53" s="182">
        <f t="shared" si="13"/>
        <v>144345.27362971206</v>
      </c>
      <c r="O53" s="182">
        <f t="shared" si="13"/>
        <v>138774.70248281103</v>
      </c>
      <c r="P53" s="182">
        <f t="shared" si="13"/>
        <v>131835.96735867046</v>
      </c>
      <c r="Q53" s="182">
        <f t="shared" si="13"/>
        <v>125244.16899073693</v>
      </c>
      <c r="R53" s="182">
        <f t="shared" si="13"/>
        <v>118981.96054120008</v>
      </c>
      <c r="S53" s="182">
        <f t="shared" si="13"/>
        <v>113032.86251414007</v>
      </c>
      <c r="T53" s="182">
        <f t="shared" si="13"/>
        <v>107381.21938843308</v>
      </c>
      <c r="U53" s="182">
        <f t="shared" si="13"/>
        <v>102012.15841901141</v>
      </c>
      <c r="V53" s="182">
        <f t="shared" si="13"/>
        <v>96911.55049806084</v>
      </c>
      <c r="W53" s="183">
        <f t="shared" si="13"/>
        <v>92065.9729731578</v>
      </c>
      <c r="X53" s="7"/>
      <c r="Y53" s="4"/>
      <c r="Z53" s="4"/>
      <c r="AA53" s="4"/>
      <c r="AB53" s="4"/>
      <c r="AC53" s="4"/>
      <c r="AD53" s="4"/>
      <c r="AE53" s="4"/>
      <c r="AF53" s="4"/>
      <c r="AG53" s="4"/>
      <c r="AH53" s="4"/>
      <c r="AI53" s="4"/>
      <c r="AJ53" s="132"/>
    </row>
    <row r="54" spans="1:36" ht="12.75">
      <c r="A54" s="129"/>
      <c r="B54" s="164"/>
      <c r="C54" s="167"/>
      <c r="D54" s="167"/>
      <c r="E54" s="182">
        <f aca="true" t="shared" si="14" ref="E54:W54">D42*E34</f>
        <v>69008.33333333334</v>
      </c>
      <c r="F54" s="182">
        <f t="shared" si="14"/>
        <v>50755.333333333336</v>
      </c>
      <c r="G54" s="182">
        <f t="shared" si="14"/>
        <v>48659.791666666664</v>
      </c>
      <c r="H54" s="182">
        <f t="shared" si="14"/>
        <v>46667.921520833326</v>
      </c>
      <c r="I54" s="182">
        <f t="shared" si="14"/>
        <v>44774.54208369791</v>
      </c>
      <c r="J54" s="182">
        <f t="shared" si="14"/>
        <v>42974.73157682199</v>
      </c>
      <c r="K54" s="182">
        <f t="shared" si="14"/>
        <v>41263.81430379661</v>
      </c>
      <c r="L54" s="182">
        <f t="shared" si="14"/>
        <v>39637.348346157945</v>
      </c>
      <c r="M54" s="182">
        <f t="shared" si="14"/>
        <v>38091.11387450734</v>
      </c>
      <c r="N54" s="182">
        <f t="shared" si="14"/>
        <v>36621.10204407512</v>
      </c>
      <c r="O54" s="182">
        <f t="shared" si="14"/>
        <v>34790.04694187137</v>
      </c>
      <c r="P54" s="182">
        <f t="shared" si="14"/>
        <v>33050.5445947778</v>
      </c>
      <c r="Q54" s="182">
        <f t="shared" si="14"/>
        <v>31398.017365038908</v>
      </c>
      <c r="R54" s="182">
        <f t="shared" si="14"/>
        <v>29828.116496786963</v>
      </c>
      <c r="S54" s="182">
        <f t="shared" si="14"/>
        <v>28336.710671947614</v>
      </c>
      <c r="T54" s="182">
        <f t="shared" si="14"/>
        <v>26919.875138350228</v>
      </c>
      <c r="U54" s="182">
        <f t="shared" si="14"/>
        <v>25573.881381432715</v>
      </c>
      <c r="V54" s="182">
        <f t="shared" si="14"/>
        <v>24295.18731236108</v>
      </c>
      <c r="W54" s="183">
        <f t="shared" si="14"/>
        <v>23080.427946743024</v>
      </c>
      <c r="X54" s="7"/>
      <c r="Y54" s="4"/>
      <c r="Z54" s="4"/>
      <c r="AA54" s="4"/>
      <c r="AB54" s="4"/>
      <c r="AC54" s="4"/>
      <c r="AD54" s="4"/>
      <c r="AE54" s="4"/>
      <c r="AF54" s="4"/>
      <c r="AG54" s="4"/>
      <c r="AH54" s="4"/>
      <c r="AI54" s="4"/>
      <c r="AJ54" s="132"/>
    </row>
    <row r="55" spans="1:36" ht="13.5" thickBot="1">
      <c r="A55" s="129"/>
      <c r="B55" s="234" t="s">
        <v>2</v>
      </c>
      <c r="C55" s="14"/>
      <c r="D55" s="17">
        <f>D78</f>
        <v>0</v>
      </c>
      <c r="E55" s="15">
        <f>SUM(E51:E54)</f>
        <v>69008.33333333334</v>
      </c>
      <c r="F55" s="15">
        <f aca="true" t="shared" si="15" ref="F55:W55">SUM(F51:F54)</f>
        <v>326788.6666666667</v>
      </c>
      <c r="G55" s="15">
        <f t="shared" si="15"/>
        <v>655045.7916666666</v>
      </c>
      <c r="H55" s="15">
        <f t="shared" si="15"/>
        <v>1140641.9215208334</v>
      </c>
      <c r="I55" s="15">
        <f t="shared" si="15"/>
        <v>930969.9025836978</v>
      </c>
      <c r="J55" s="15">
        <f t="shared" si="15"/>
        <v>892805.721275572</v>
      </c>
      <c r="K55" s="15">
        <f t="shared" si="15"/>
        <v>856528.7882482996</v>
      </c>
      <c r="L55" s="15">
        <f t="shared" si="15"/>
        <v>822044.7934897997</v>
      </c>
      <c r="M55" s="15">
        <f t="shared" si="15"/>
        <v>789264.1423575899</v>
      </c>
      <c r="N55" s="15">
        <f t="shared" si="15"/>
        <v>758101.7198106351</v>
      </c>
      <c r="O55" s="15">
        <f t="shared" si="15"/>
        <v>728043.2089259657</v>
      </c>
      <c r="P55" s="15">
        <f t="shared" si="15"/>
        <v>697825.4313445168</v>
      </c>
      <c r="Q55" s="15">
        <f t="shared" si="15"/>
        <v>666639.2179801062</v>
      </c>
      <c r="R55" s="15">
        <f t="shared" si="15"/>
        <v>633307.257081101</v>
      </c>
      <c r="S55" s="15">
        <f t="shared" si="15"/>
        <v>601641.8942270458</v>
      </c>
      <c r="T55" s="15">
        <f t="shared" si="15"/>
        <v>571559.7995156934</v>
      </c>
      <c r="U55" s="15">
        <f t="shared" si="15"/>
        <v>542981.8095399089</v>
      </c>
      <c r="V55" s="15">
        <f t="shared" si="15"/>
        <v>515832.7190629134</v>
      </c>
      <c r="W55" s="16">
        <f t="shared" si="15"/>
        <v>490041.0831097677</v>
      </c>
      <c r="X55" s="7"/>
      <c r="Y55" s="4"/>
      <c r="Z55" s="4"/>
      <c r="AA55" s="4"/>
      <c r="AB55" s="4"/>
      <c r="AC55" s="4"/>
      <c r="AD55" s="4"/>
      <c r="AE55" s="4"/>
      <c r="AF55" s="4"/>
      <c r="AG55" s="4"/>
      <c r="AH55" s="4"/>
      <c r="AI55" s="4"/>
      <c r="AJ55" s="132"/>
    </row>
    <row r="56" spans="1:35" ht="12.75">
      <c r="A56" s="129"/>
      <c r="B56" s="236"/>
      <c r="C56" s="115"/>
      <c r="D56" s="114"/>
      <c r="E56" s="114"/>
      <c r="F56" s="114"/>
      <c r="G56" s="114"/>
      <c r="H56" s="114"/>
      <c r="I56" s="114"/>
      <c r="J56" s="114"/>
      <c r="K56" s="114"/>
      <c r="L56" s="114"/>
      <c r="M56" s="114"/>
      <c r="N56" s="114"/>
      <c r="O56" s="114"/>
      <c r="P56" s="114"/>
      <c r="Q56" s="114"/>
      <c r="R56" s="114"/>
      <c r="S56" s="114"/>
      <c r="T56" s="114"/>
      <c r="U56" s="114"/>
      <c r="V56" s="114"/>
      <c r="W56" s="184"/>
      <c r="X56" s="4"/>
      <c r="Y56" s="4"/>
      <c r="Z56" s="4"/>
      <c r="AA56" s="4"/>
      <c r="AB56" s="4"/>
      <c r="AC56" s="4"/>
      <c r="AD56" s="4"/>
      <c r="AE56" s="4"/>
      <c r="AF56" s="4"/>
      <c r="AG56" s="4"/>
      <c r="AH56" s="4"/>
      <c r="AI56" s="132"/>
    </row>
    <row r="57" spans="1:36" ht="12.75">
      <c r="A57" s="129"/>
      <c r="B57" s="185" t="s">
        <v>151</v>
      </c>
      <c r="C57" s="149"/>
      <c r="D57" s="186"/>
      <c r="E57" s="186">
        <f aca="true" t="shared" si="16" ref="E57:W57">E43*0.6</f>
        <v>148500</v>
      </c>
      <c r="F57" s="186">
        <f t="shared" si="16"/>
        <v>315075</v>
      </c>
      <c r="G57" s="186">
        <f t="shared" si="16"/>
        <v>560321.25</v>
      </c>
      <c r="H57" s="186">
        <f t="shared" si="16"/>
        <v>518805.1874999999</v>
      </c>
      <c r="I57" s="186">
        <f t="shared" si="16"/>
        <v>492864.928125</v>
      </c>
      <c r="J57" s="186">
        <f t="shared" si="16"/>
        <v>468221.68171875</v>
      </c>
      <c r="K57" s="186">
        <f t="shared" si="16"/>
        <v>444810.59763281245</v>
      </c>
      <c r="L57" s="186">
        <f t="shared" si="16"/>
        <v>422570.0677511717</v>
      </c>
      <c r="M57" s="186">
        <f t="shared" si="16"/>
        <v>401441.56436361314</v>
      </c>
      <c r="N57" s="186">
        <f t="shared" si="16"/>
        <v>381369.48614543246</v>
      </c>
      <c r="O57" s="186">
        <f t="shared" si="16"/>
        <v>362301.01183816086</v>
      </c>
      <c r="P57" s="186">
        <f t="shared" si="16"/>
        <v>344185.9612462528</v>
      </c>
      <c r="Q57" s="186">
        <f t="shared" si="16"/>
        <v>326976.66318394017</v>
      </c>
      <c r="R57" s="186">
        <f t="shared" si="16"/>
        <v>310627.8300247431</v>
      </c>
      <c r="S57" s="186">
        <f t="shared" si="16"/>
        <v>295096.438523506</v>
      </c>
      <c r="T57" s="186">
        <f t="shared" si="16"/>
        <v>280341.6165973306</v>
      </c>
      <c r="U57" s="186">
        <f t="shared" si="16"/>
        <v>266324.5357674641</v>
      </c>
      <c r="V57" s="186">
        <f t="shared" si="16"/>
        <v>253008.30897909086</v>
      </c>
      <c r="W57" s="187">
        <f t="shared" si="16"/>
        <v>240357.8935301363</v>
      </c>
      <c r="X57" s="7"/>
      <c r="Y57" s="4"/>
      <c r="Z57" s="4"/>
      <c r="AA57" s="4"/>
      <c r="AB57" s="4"/>
      <c r="AC57" s="4"/>
      <c r="AD57" s="4"/>
      <c r="AE57" s="4"/>
      <c r="AF57" s="4"/>
      <c r="AG57" s="4"/>
      <c r="AH57" s="4"/>
      <c r="AI57" s="4"/>
      <c r="AJ57" s="132"/>
    </row>
    <row r="58" spans="1:36" ht="12.75">
      <c r="A58" s="129"/>
      <c r="B58" s="151" t="s">
        <v>152</v>
      </c>
      <c r="C58" s="4"/>
      <c r="D58" s="152"/>
      <c r="E58" s="152">
        <f aca="true" t="shared" si="17" ref="E58:W58">E43*0.4</f>
        <v>99000</v>
      </c>
      <c r="F58" s="152">
        <f t="shared" si="17"/>
        <v>210050</v>
      </c>
      <c r="G58" s="152">
        <f t="shared" si="17"/>
        <v>373547.5</v>
      </c>
      <c r="H58" s="152">
        <f t="shared" si="17"/>
        <v>345870.125</v>
      </c>
      <c r="I58" s="152">
        <f t="shared" si="17"/>
        <v>328576.61875</v>
      </c>
      <c r="J58" s="152">
        <f t="shared" si="17"/>
        <v>312147.78781249997</v>
      </c>
      <c r="K58" s="152">
        <f t="shared" si="17"/>
        <v>296540.39842187497</v>
      </c>
      <c r="L58" s="152">
        <f t="shared" si="17"/>
        <v>281713.3785007812</v>
      </c>
      <c r="M58" s="152">
        <f t="shared" si="17"/>
        <v>267627.70957574213</v>
      </c>
      <c r="N58" s="152">
        <f t="shared" si="17"/>
        <v>254246.324096955</v>
      </c>
      <c r="O58" s="152">
        <f t="shared" si="17"/>
        <v>241534.00789210727</v>
      </c>
      <c r="P58" s="152">
        <f t="shared" si="17"/>
        <v>229457.3074975019</v>
      </c>
      <c r="Q58" s="152">
        <f t="shared" si="17"/>
        <v>217984.4421226268</v>
      </c>
      <c r="R58" s="152">
        <f t="shared" si="17"/>
        <v>207085.2200164954</v>
      </c>
      <c r="S58" s="152">
        <f t="shared" si="17"/>
        <v>196730.9590156707</v>
      </c>
      <c r="T58" s="152">
        <f t="shared" si="17"/>
        <v>186894.4110648871</v>
      </c>
      <c r="U58" s="152">
        <f t="shared" si="17"/>
        <v>177549.69051164272</v>
      </c>
      <c r="V58" s="152">
        <f t="shared" si="17"/>
        <v>168672.20598606058</v>
      </c>
      <c r="W58" s="188">
        <f t="shared" si="17"/>
        <v>160238.59568675756</v>
      </c>
      <c r="X58" s="7"/>
      <c r="Y58" s="4"/>
      <c r="Z58" s="4"/>
      <c r="AA58" s="4"/>
      <c r="AB58" s="4"/>
      <c r="AC58" s="4"/>
      <c r="AD58" s="4"/>
      <c r="AE58" s="4"/>
      <c r="AF58" s="4"/>
      <c r="AG58" s="4"/>
      <c r="AH58" s="4"/>
      <c r="AI58" s="4"/>
      <c r="AJ58" s="132"/>
    </row>
    <row r="59" spans="1:36" ht="12.75">
      <c r="A59" s="129"/>
      <c r="B59" s="189" t="s">
        <v>153</v>
      </c>
      <c r="C59" s="155"/>
      <c r="D59" s="190">
        <v>0</v>
      </c>
      <c r="E59" s="191">
        <f>62500*'ERR &amp; Sensitivity Analysis'!G11</f>
        <v>62500</v>
      </c>
      <c r="F59" s="191">
        <f>781250*'ERR &amp; Sensitivity Analysis'!G11</f>
        <v>781250</v>
      </c>
      <c r="G59" s="191">
        <f>1471875*'ERR &amp; Sensitivity Analysis'!G11</f>
        <v>1471875</v>
      </c>
      <c r="H59" s="191">
        <f>2732812.5*'ERR &amp; Sensitivity Analysis'!G11</f>
        <v>2732812.5</v>
      </c>
      <c r="I59" s="191">
        <f>5048437.5*'ERR &amp; Sensitivity Analysis'!G11</f>
        <v>5048437.5</v>
      </c>
      <c r="J59" s="191">
        <f>5048437.5*'ERR &amp; Sensitivity Analysis'!G11</f>
        <v>5048437.5</v>
      </c>
      <c r="K59" s="191">
        <f>5048437.5*'ERR &amp; Sensitivity Analysis'!G11</f>
        <v>5048437.5</v>
      </c>
      <c r="L59" s="191">
        <f>5048437.5*'ERR &amp; Sensitivity Analysis'!G11</f>
        <v>5048437.5</v>
      </c>
      <c r="M59" s="191">
        <f>5048437.5*'ERR &amp; Sensitivity Analysis'!G11</f>
        <v>5048437.5</v>
      </c>
      <c r="N59" s="191">
        <v>0</v>
      </c>
      <c r="O59" s="191">
        <v>0</v>
      </c>
      <c r="P59" s="190">
        <v>0</v>
      </c>
      <c r="Q59" s="190">
        <v>0</v>
      </c>
      <c r="R59" s="190">
        <v>0</v>
      </c>
      <c r="S59" s="190">
        <v>0</v>
      </c>
      <c r="T59" s="190">
        <v>0</v>
      </c>
      <c r="U59" s="190">
        <v>0</v>
      </c>
      <c r="V59" s="190">
        <v>0</v>
      </c>
      <c r="W59" s="192">
        <v>0</v>
      </c>
      <c r="X59" s="7"/>
      <c r="Y59" s="4"/>
      <c r="Z59" s="4"/>
      <c r="AA59" s="4"/>
      <c r="AB59" s="4"/>
      <c r="AC59" s="4"/>
      <c r="AD59" s="4"/>
      <c r="AE59" s="4"/>
      <c r="AF59" s="4"/>
      <c r="AG59" s="4"/>
      <c r="AH59" s="4"/>
      <c r="AI59" s="4"/>
      <c r="AJ59" s="132"/>
    </row>
    <row r="60" spans="1:36" ht="13.5" thickBot="1">
      <c r="A60" s="129"/>
      <c r="B60" s="193"/>
      <c r="C60" s="194"/>
      <c r="D60" s="195"/>
      <c r="E60" s="195"/>
      <c r="F60" s="195"/>
      <c r="G60" s="195"/>
      <c r="H60" s="195"/>
      <c r="I60" s="195"/>
      <c r="J60" s="195"/>
      <c r="K60" s="195"/>
      <c r="L60" s="195"/>
      <c r="M60" s="195"/>
      <c r="N60" s="195"/>
      <c r="O60" s="195"/>
      <c r="P60" s="195"/>
      <c r="Q60" s="195"/>
      <c r="R60" s="195"/>
      <c r="S60" s="195"/>
      <c r="T60" s="195"/>
      <c r="U60" s="195"/>
      <c r="V60" s="195"/>
      <c r="W60" s="196"/>
      <c r="X60" s="7"/>
      <c r="Y60" s="4"/>
      <c r="Z60" s="4"/>
      <c r="AA60" s="4"/>
      <c r="AB60" s="4"/>
      <c r="AC60" s="4"/>
      <c r="AD60" s="4"/>
      <c r="AE60" s="4"/>
      <c r="AF60" s="4"/>
      <c r="AG60" s="4"/>
      <c r="AH60" s="4"/>
      <c r="AI60" s="4"/>
      <c r="AJ60" s="132"/>
    </row>
    <row r="61" spans="1:36" ht="12.75">
      <c r="A61" s="129"/>
      <c r="B61" s="156" t="s">
        <v>154</v>
      </c>
      <c r="C61" s="197">
        <f>C55+C50-D15-C43+C59</f>
        <v>-1232904.82344364</v>
      </c>
      <c r="D61" s="197">
        <f>D55+D50-E15-D43+D59</f>
        <v>-3532117.88787791</v>
      </c>
      <c r="E61" s="197">
        <f>E55+E50-F15-E43+E59</f>
        <v>-4620668.444573952</v>
      </c>
      <c r="F61" s="197">
        <f>F55+F50-G15-F43+F59</f>
        <v>-5795730.472304189</v>
      </c>
      <c r="G61" s="197">
        <f>G55+G50-G43+G59</f>
        <v>-1004464.7903293339</v>
      </c>
      <c r="H61" s="197">
        <f>H55+H50-H43+H59</f>
        <v>1204830.4899896812</v>
      </c>
      <c r="I61" s="197">
        <f aca="true" t="shared" si="18" ref="I61:W61">I55+I50-I15-I43+I59</f>
        <v>13810839.925124822</v>
      </c>
      <c r="J61" s="197">
        <f t="shared" si="18"/>
        <v>13999781.84889121</v>
      </c>
      <c r="K61" s="197">
        <f t="shared" si="18"/>
        <v>14429722.371674046</v>
      </c>
      <c r="L61" s="197">
        <f t="shared" si="18"/>
        <v>14742291.969037073</v>
      </c>
      <c r="M61" s="197">
        <f t="shared" si="18"/>
        <v>15033942.488561053</v>
      </c>
      <c r="N61" s="197">
        <f t="shared" si="18"/>
        <v>10038226.164591651</v>
      </c>
      <c r="O61" s="197">
        <f t="shared" si="18"/>
        <v>9898782.771360727</v>
      </c>
      <c r="P61" s="197">
        <f t="shared" si="18"/>
        <v>9660641.879223647</v>
      </c>
      <c r="Q61" s="197">
        <f t="shared" si="18"/>
        <v>9261823.575545693</v>
      </c>
      <c r="R61" s="197">
        <f t="shared" si="18"/>
        <v>8798732.39676841</v>
      </c>
      <c r="S61" s="197">
        <f t="shared" si="18"/>
        <v>8358795.7769299885</v>
      </c>
      <c r="T61" s="197">
        <f t="shared" si="18"/>
        <v>7940855.988083489</v>
      </c>
      <c r="U61" s="197">
        <f t="shared" si="18"/>
        <v>7543813.188679314</v>
      </c>
      <c r="V61" s="197">
        <f t="shared" si="18"/>
        <v>7166622.529245348</v>
      </c>
      <c r="W61" s="198">
        <f t="shared" si="18"/>
        <v>6808291.402783081</v>
      </c>
      <c r="X61" s="170"/>
      <c r="Y61" s="4"/>
      <c r="Z61" s="4"/>
      <c r="AA61" s="4"/>
      <c r="AB61" s="4"/>
      <c r="AC61" s="4"/>
      <c r="AD61" s="4"/>
      <c r="AE61" s="4"/>
      <c r="AF61" s="4"/>
      <c r="AG61" s="4"/>
      <c r="AH61" s="4"/>
      <c r="AI61" s="4"/>
      <c r="AJ61" s="132"/>
    </row>
    <row r="62" spans="1:36" ht="13.5" thickBot="1">
      <c r="A62" s="129"/>
      <c r="B62" s="10" t="s">
        <v>155</v>
      </c>
      <c r="C62" s="5">
        <f>IRR(C61:W61)</f>
        <v>0.33890388499392216</v>
      </c>
      <c r="D62" s="177"/>
      <c r="E62" s="199"/>
      <c r="F62" s="199"/>
      <c r="G62" s="199"/>
      <c r="H62" s="199"/>
      <c r="I62" s="199"/>
      <c r="J62" s="199"/>
      <c r="K62" s="199"/>
      <c r="L62" s="199"/>
      <c r="M62" s="199"/>
      <c r="N62" s="199"/>
      <c r="O62" s="199"/>
      <c r="P62" s="199"/>
      <c r="Q62" s="199"/>
      <c r="R62" s="199"/>
      <c r="S62" s="199"/>
      <c r="T62" s="199"/>
      <c r="U62" s="199"/>
      <c r="V62" s="199"/>
      <c r="W62" s="200"/>
      <c r="X62" s="7"/>
      <c r="Y62" s="4"/>
      <c r="Z62" s="4"/>
      <c r="AA62" s="4"/>
      <c r="AB62" s="4"/>
      <c r="AC62" s="4"/>
      <c r="AD62" s="4"/>
      <c r="AE62" s="4"/>
      <c r="AF62" s="4"/>
      <c r="AG62" s="4"/>
      <c r="AH62" s="4"/>
      <c r="AI62" s="4"/>
      <c r="AJ62" s="132"/>
    </row>
    <row r="63" spans="1:36" ht="13.5" thickBot="1">
      <c r="A63" s="129"/>
      <c r="B63" s="102" t="s">
        <v>156</v>
      </c>
      <c r="C63" s="238">
        <f>IRR(C61:L61)</f>
        <v>0.27086106532372206</v>
      </c>
      <c r="D63" s="24"/>
      <c r="E63" s="24"/>
      <c r="F63" s="24"/>
      <c r="G63" s="24"/>
      <c r="H63" s="24"/>
      <c r="I63" s="24"/>
      <c r="J63" s="24"/>
      <c r="K63" s="24"/>
      <c r="L63" s="24"/>
      <c r="M63" s="24"/>
      <c r="N63" s="24"/>
      <c r="O63" s="24"/>
      <c r="P63" s="24"/>
      <c r="Q63" s="24"/>
      <c r="R63" s="24"/>
      <c r="S63" s="24"/>
      <c r="T63" s="24"/>
      <c r="U63" s="24"/>
      <c r="V63" s="24"/>
      <c r="W63" s="24"/>
      <c r="X63" s="7"/>
      <c r="Y63" s="4"/>
      <c r="Z63" s="4"/>
      <c r="AA63" s="4"/>
      <c r="AB63" s="4"/>
      <c r="AC63" s="4"/>
      <c r="AD63" s="4"/>
      <c r="AE63" s="4"/>
      <c r="AF63" s="4"/>
      <c r="AG63" s="4"/>
      <c r="AH63" s="4"/>
      <c r="AI63" s="4"/>
      <c r="AJ63" s="132"/>
    </row>
    <row r="64" spans="1:36" ht="12.75">
      <c r="A64" s="7"/>
      <c r="B64" s="8"/>
      <c r="C64" s="8"/>
      <c r="D64" s="8"/>
      <c r="E64" s="8"/>
      <c r="F64" s="8"/>
      <c r="G64" s="8"/>
      <c r="H64" s="8"/>
      <c r="I64" s="8"/>
      <c r="J64" s="8"/>
      <c r="K64" s="8"/>
      <c r="L64" s="8"/>
      <c r="M64" s="8"/>
      <c r="N64" s="8"/>
      <c r="O64" s="8"/>
      <c r="P64" s="8"/>
      <c r="Q64" s="8"/>
      <c r="R64" s="8"/>
      <c r="S64" s="8"/>
      <c r="T64" s="8"/>
      <c r="U64" s="8"/>
      <c r="V64" s="8"/>
      <c r="W64" s="8"/>
      <c r="X64" s="4"/>
      <c r="Y64" s="4"/>
      <c r="Z64" s="4"/>
      <c r="AA64" s="4"/>
      <c r="AB64" s="4"/>
      <c r="AC64" s="4"/>
      <c r="AD64" s="4"/>
      <c r="AE64" s="4"/>
      <c r="AF64" s="4"/>
      <c r="AG64" s="4"/>
      <c r="AH64" s="4"/>
      <c r="AI64" s="4"/>
      <c r="AJ64" s="132"/>
    </row>
    <row r="65" spans="1:36" ht="13.5" thickBot="1">
      <c r="A65" s="7"/>
      <c r="B65" s="127"/>
      <c r="C65" s="127"/>
      <c r="D65" s="127"/>
      <c r="E65" s="201"/>
      <c r="F65" s="201"/>
      <c r="G65" s="201"/>
      <c r="H65" s="201"/>
      <c r="I65" s="201"/>
      <c r="J65" s="201"/>
      <c r="K65" s="201"/>
      <c r="L65" s="201"/>
      <c r="M65" s="201"/>
      <c r="N65" s="201"/>
      <c r="O65" s="201"/>
      <c r="P65" s="201"/>
      <c r="Q65" s="201"/>
      <c r="R65" s="201"/>
      <c r="S65" s="201"/>
      <c r="T65" s="201"/>
      <c r="U65" s="201"/>
      <c r="V65" s="201"/>
      <c r="W65" s="201"/>
      <c r="X65" s="4"/>
      <c r="Y65" s="4"/>
      <c r="Z65" s="4"/>
      <c r="AA65" s="4"/>
      <c r="AB65" s="4"/>
      <c r="AC65" s="4"/>
      <c r="AD65" s="4"/>
      <c r="AE65" s="4"/>
      <c r="AF65" s="4"/>
      <c r="AG65" s="4"/>
      <c r="AH65" s="4"/>
      <c r="AI65" s="4"/>
      <c r="AJ65" s="132"/>
    </row>
    <row r="66" spans="1:36" ht="12.75">
      <c r="A66" s="129"/>
      <c r="B66" s="237" t="s">
        <v>0</v>
      </c>
      <c r="C66" s="179"/>
      <c r="D66" s="202">
        <v>1</v>
      </c>
      <c r="E66" s="202">
        <f>D66+1</f>
        <v>2</v>
      </c>
      <c r="F66" s="202">
        <f aca="true" t="shared" si="19" ref="F66:W66">E66+1</f>
        <v>3</v>
      </c>
      <c r="G66" s="202">
        <f t="shared" si="19"/>
        <v>4</v>
      </c>
      <c r="H66" s="202">
        <f t="shared" si="19"/>
        <v>5</v>
      </c>
      <c r="I66" s="202">
        <f t="shared" si="19"/>
        <v>6</v>
      </c>
      <c r="J66" s="202">
        <f t="shared" si="19"/>
        <v>7</v>
      </c>
      <c r="K66" s="202">
        <f t="shared" si="19"/>
        <v>8</v>
      </c>
      <c r="L66" s="202">
        <f t="shared" si="19"/>
        <v>9</v>
      </c>
      <c r="M66" s="202">
        <f t="shared" si="19"/>
        <v>10</v>
      </c>
      <c r="N66" s="202">
        <f t="shared" si="19"/>
        <v>11</v>
      </c>
      <c r="O66" s="202">
        <f t="shared" si="19"/>
        <v>12</v>
      </c>
      <c r="P66" s="202">
        <f t="shared" si="19"/>
        <v>13</v>
      </c>
      <c r="Q66" s="202">
        <f t="shared" si="19"/>
        <v>14</v>
      </c>
      <c r="R66" s="202">
        <f t="shared" si="19"/>
        <v>15</v>
      </c>
      <c r="S66" s="202">
        <f t="shared" si="19"/>
        <v>16</v>
      </c>
      <c r="T66" s="202">
        <f t="shared" si="19"/>
        <v>17</v>
      </c>
      <c r="U66" s="202">
        <f t="shared" si="19"/>
        <v>18</v>
      </c>
      <c r="V66" s="202">
        <f t="shared" si="19"/>
        <v>19</v>
      </c>
      <c r="W66" s="203">
        <f t="shared" si="19"/>
        <v>20</v>
      </c>
      <c r="X66" s="7"/>
      <c r="Y66" s="4"/>
      <c r="Z66" s="4"/>
      <c r="AA66" s="4"/>
      <c r="AB66" s="4"/>
      <c r="AC66" s="4"/>
      <c r="AD66" s="4"/>
      <c r="AE66" s="4"/>
      <c r="AF66" s="4"/>
      <c r="AG66" s="4"/>
      <c r="AH66" s="4"/>
      <c r="AI66" s="4"/>
      <c r="AJ66" s="132"/>
    </row>
    <row r="67" spans="1:249" ht="12.75">
      <c r="A67" s="129"/>
      <c r="B67" s="164" t="s">
        <v>27</v>
      </c>
      <c r="C67" s="167"/>
      <c r="D67" s="167"/>
      <c r="E67" s="166">
        <f>E42/$C$9</f>
        <v>95</v>
      </c>
      <c r="F67" s="166">
        <f>(F42+F41)/$C$9</f>
        <v>450.25</v>
      </c>
      <c r="G67" s="166">
        <f>(G42+G41+G40)/$C$9</f>
        <v>967.7375</v>
      </c>
      <c r="H67" s="166">
        <f>(H42+H41+H40+H39)/$C$9</f>
        <v>1729.3506249999998</v>
      </c>
      <c r="I67" s="166">
        <f aca="true" t="shared" si="20" ref="I67:W67">(I42+I41+I40+I39)/$C$9</f>
        <v>1642.88309375</v>
      </c>
      <c r="J67" s="166">
        <f t="shared" si="20"/>
        <v>1560.7389390624999</v>
      </c>
      <c r="K67" s="166">
        <f t="shared" si="20"/>
        <v>1482.7019921093747</v>
      </c>
      <c r="L67" s="166">
        <f t="shared" si="20"/>
        <v>1408.5668925039058</v>
      </c>
      <c r="M67" s="166">
        <f t="shared" si="20"/>
        <v>1338.1385478787106</v>
      </c>
      <c r="N67" s="166">
        <f t="shared" si="20"/>
        <v>1271.231620484775</v>
      </c>
      <c r="O67" s="166">
        <f t="shared" si="20"/>
        <v>1207.6700394605364</v>
      </c>
      <c r="P67" s="166">
        <f t="shared" si="20"/>
        <v>1147.2865374875096</v>
      </c>
      <c r="Q67" s="166">
        <f t="shared" si="20"/>
        <v>1089.922210613134</v>
      </c>
      <c r="R67" s="166">
        <f t="shared" si="20"/>
        <v>1035.4261000824772</v>
      </c>
      <c r="S67" s="166">
        <f t="shared" si="20"/>
        <v>983.6547950783531</v>
      </c>
      <c r="T67" s="166">
        <f t="shared" si="20"/>
        <v>934.4720553244355</v>
      </c>
      <c r="U67" s="166">
        <f t="shared" si="20"/>
        <v>887.7484525582138</v>
      </c>
      <c r="V67" s="166">
        <f t="shared" si="20"/>
        <v>843.3610299303031</v>
      </c>
      <c r="W67" s="169">
        <f t="shared" si="20"/>
        <v>801.1929784337877</v>
      </c>
      <c r="X67" s="204"/>
      <c r="Y67" s="205"/>
      <c r="Z67" s="205"/>
      <c r="AA67" s="205"/>
      <c r="AB67" s="205"/>
      <c r="AC67" s="205"/>
      <c r="AD67" s="205"/>
      <c r="AE67" s="205"/>
      <c r="AF67" s="205"/>
      <c r="AG67" s="205"/>
      <c r="AH67" s="205"/>
      <c r="AI67" s="205"/>
      <c r="AJ67" s="206"/>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37"/>
      <c r="CR67" s="37"/>
      <c r="CS67" s="37"/>
      <c r="CT67" s="37"/>
      <c r="CU67" s="37"/>
      <c r="CV67" s="37"/>
      <c r="CW67" s="37"/>
      <c r="CX67" s="37"/>
      <c r="CY67" s="37"/>
      <c r="CZ67" s="37"/>
      <c r="DA67" s="37"/>
      <c r="DB67" s="37"/>
      <c r="DC67" s="37"/>
      <c r="DD67" s="37"/>
      <c r="DE67" s="37"/>
      <c r="DF67" s="37"/>
      <c r="DG67" s="37"/>
      <c r="DH67" s="37"/>
      <c r="DI67" s="37"/>
      <c r="DJ67" s="37"/>
      <c r="DK67" s="37"/>
      <c r="DL67" s="37"/>
      <c r="DM67" s="37"/>
      <c r="DN67" s="37"/>
      <c r="DO67" s="37"/>
      <c r="DP67" s="37"/>
      <c r="DQ67" s="37"/>
      <c r="DR67" s="37"/>
      <c r="DS67" s="37"/>
      <c r="DT67" s="37"/>
      <c r="DU67" s="37"/>
      <c r="DV67" s="37"/>
      <c r="DW67" s="37"/>
      <c r="DX67" s="37"/>
      <c r="DY67" s="37"/>
      <c r="DZ67" s="37"/>
      <c r="EA67" s="37"/>
      <c r="EB67" s="37"/>
      <c r="EC67" s="37"/>
      <c r="ED67" s="37"/>
      <c r="EE67" s="37"/>
      <c r="EF67" s="37"/>
      <c r="EG67" s="37"/>
      <c r="EH67" s="37"/>
      <c r="EI67" s="37"/>
      <c r="EJ67" s="37"/>
      <c r="EK67" s="37"/>
      <c r="EL67" s="37"/>
      <c r="EM67" s="37"/>
      <c r="EN67" s="37"/>
      <c r="EO67" s="37"/>
      <c r="EP67" s="37"/>
      <c r="EQ67" s="37"/>
      <c r="ER67" s="37"/>
      <c r="ES67" s="37"/>
      <c r="ET67" s="37"/>
      <c r="EU67" s="37"/>
      <c r="EV67" s="37"/>
      <c r="EW67" s="37"/>
      <c r="EX67" s="37"/>
      <c r="EY67" s="37"/>
      <c r="EZ67" s="37"/>
      <c r="FA67" s="37"/>
      <c r="FB67" s="37"/>
      <c r="FC67" s="37"/>
      <c r="FD67" s="37"/>
      <c r="FE67" s="37"/>
      <c r="FF67" s="37"/>
      <c r="FG67" s="37"/>
      <c r="FH67" s="37"/>
      <c r="FI67" s="37"/>
      <c r="FJ67" s="37"/>
      <c r="FK67" s="37"/>
      <c r="FL67" s="37"/>
      <c r="FM67" s="37"/>
      <c r="FN67" s="37"/>
      <c r="FO67" s="37"/>
      <c r="FP67" s="37"/>
      <c r="FQ67" s="37"/>
      <c r="FR67" s="37"/>
      <c r="FS67" s="37"/>
      <c r="FT67" s="37"/>
      <c r="FU67" s="37"/>
      <c r="FV67" s="37"/>
      <c r="FW67" s="37"/>
      <c r="FX67" s="37"/>
      <c r="FY67" s="37"/>
      <c r="FZ67" s="37"/>
      <c r="GA67" s="37"/>
      <c r="GB67" s="37"/>
      <c r="GC67" s="37"/>
      <c r="GD67" s="37"/>
      <c r="GE67" s="37"/>
      <c r="GF67" s="37"/>
      <c r="GG67" s="37"/>
      <c r="GH67" s="37"/>
      <c r="GI67" s="37"/>
      <c r="GJ67" s="37"/>
      <c r="GK67" s="37"/>
      <c r="GL67" s="37"/>
      <c r="GM67" s="37"/>
      <c r="GN67" s="37"/>
      <c r="GO67" s="37"/>
      <c r="GP67" s="37"/>
      <c r="GQ67" s="37"/>
      <c r="GR67" s="37"/>
      <c r="GS67" s="37"/>
      <c r="GT67" s="37"/>
      <c r="GU67" s="37"/>
      <c r="GV67" s="37"/>
      <c r="GW67" s="37"/>
      <c r="GX67" s="37"/>
      <c r="GY67" s="37"/>
      <c r="GZ67" s="37"/>
      <c r="HA67" s="37"/>
      <c r="HB67" s="37"/>
      <c r="HC67" s="37"/>
      <c r="HD67" s="37"/>
      <c r="HE67" s="37"/>
      <c r="HF67" s="37"/>
      <c r="HG67" s="37"/>
      <c r="HH67" s="37"/>
      <c r="HI67" s="37"/>
      <c r="HJ67" s="37"/>
      <c r="HK67" s="37"/>
      <c r="HL67" s="37"/>
      <c r="HM67" s="37"/>
      <c r="HN67" s="37"/>
      <c r="HO67" s="37"/>
      <c r="HP67" s="37"/>
      <c r="HQ67" s="37"/>
      <c r="HR67" s="37"/>
      <c r="HS67" s="37"/>
      <c r="HT67" s="37"/>
      <c r="HU67" s="37"/>
      <c r="HV67" s="37"/>
      <c r="HW67" s="37"/>
      <c r="HX67" s="37"/>
      <c r="HY67" s="37"/>
      <c r="HZ67" s="37"/>
      <c r="IA67" s="37"/>
      <c r="IB67" s="37"/>
      <c r="IC67" s="37"/>
      <c r="ID67" s="37"/>
      <c r="IE67" s="37"/>
      <c r="IF67" s="37"/>
      <c r="IG67" s="37"/>
      <c r="IH67" s="37"/>
      <c r="II67" s="37"/>
      <c r="IJ67" s="37"/>
      <c r="IK67" s="37"/>
      <c r="IL67" s="37"/>
      <c r="IM67" s="37"/>
      <c r="IN67" s="37"/>
      <c r="IO67" s="37"/>
    </row>
    <row r="68" spans="1:249" ht="12.75">
      <c r="A68" s="129"/>
      <c r="B68" s="164" t="s">
        <v>28</v>
      </c>
      <c r="C68" s="167"/>
      <c r="D68" s="167"/>
      <c r="E68" s="166">
        <v>628.2</v>
      </c>
      <c r="F68" s="166">
        <v>1354.59</v>
      </c>
      <c r="G68" s="166">
        <v>2131.0604999999996</v>
      </c>
      <c r="H68" s="166">
        <v>2998.307475</v>
      </c>
      <c r="I68" s="166">
        <v>2848.3921012500005</v>
      </c>
      <c r="J68" s="166">
        <v>2705.9724961874995</v>
      </c>
      <c r="K68" s="166">
        <v>2570.6738713781247</v>
      </c>
      <c r="L68" s="166">
        <v>2442.1401778092177</v>
      </c>
      <c r="M68" s="166">
        <v>2320.033168918757</v>
      </c>
      <c r="N68" s="166">
        <v>2204.031510472819</v>
      </c>
      <c r="O68" s="166">
        <v>2093.829934949178</v>
      </c>
      <c r="P68" s="166">
        <v>1989.138438201719</v>
      </c>
      <c r="Q68" s="166">
        <v>1889.681516291633</v>
      </c>
      <c r="R68" s="166">
        <v>1795.197440477051</v>
      </c>
      <c r="S68" s="166">
        <v>1705.4375684531983</v>
      </c>
      <c r="T68" s="166">
        <v>1620.1656900305386</v>
      </c>
      <c r="U68" s="166">
        <v>1539.1574055290116</v>
      </c>
      <c r="V68" s="166">
        <v>1462.1995352525607</v>
      </c>
      <c r="W68" s="169">
        <v>1389.0895584899329</v>
      </c>
      <c r="X68" s="204"/>
      <c r="Y68" s="205"/>
      <c r="Z68" s="205"/>
      <c r="AA68" s="205"/>
      <c r="AB68" s="205"/>
      <c r="AC68" s="205"/>
      <c r="AD68" s="205"/>
      <c r="AE68" s="205"/>
      <c r="AF68" s="205"/>
      <c r="AG68" s="205"/>
      <c r="AH68" s="205"/>
      <c r="AI68" s="205"/>
      <c r="AJ68" s="206"/>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37"/>
      <c r="CS68" s="37"/>
      <c r="CT68" s="37"/>
      <c r="CU68" s="37"/>
      <c r="CV68" s="37"/>
      <c r="CW68" s="37"/>
      <c r="CX68" s="37"/>
      <c r="CY68" s="37"/>
      <c r="CZ68" s="37"/>
      <c r="DA68" s="37"/>
      <c r="DB68" s="37"/>
      <c r="DC68" s="37"/>
      <c r="DD68" s="37"/>
      <c r="DE68" s="37"/>
      <c r="DF68" s="37"/>
      <c r="DG68" s="37"/>
      <c r="DH68" s="37"/>
      <c r="DI68" s="37"/>
      <c r="DJ68" s="37"/>
      <c r="DK68" s="37"/>
      <c r="DL68" s="37"/>
      <c r="DM68" s="37"/>
      <c r="DN68" s="37"/>
      <c r="DO68" s="37"/>
      <c r="DP68" s="37"/>
      <c r="DQ68" s="37"/>
      <c r="DR68" s="37"/>
      <c r="DS68" s="37"/>
      <c r="DT68" s="37"/>
      <c r="DU68" s="37"/>
      <c r="DV68" s="37"/>
      <c r="DW68" s="37"/>
      <c r="DX68" s="37"/>
      <c r="DY68" s="37"/>
      <c r="DZ68" s="37"/>
      <c r="EA68" s="37"/>
      <c r="EB68" s="37"/>
      <c r="EC68" s="37"/>
      <c r="ED68" s="37"/>
      <c r="EE68" s="37"/>
      <c r="EF68" s="37"/>
      <c r="EG68" s="37"/>
      <c r="EH68" s="37"/>
      <c r="EI68" s="37"/>
      <c r="EJ68" s="37"/>
      <c r="EK68" s="37"/>
      <c r="EL68" s="37"/>
      <c r="EM68" s="37"/>
      <c r="EN68" s="37"/>
      <c r="EO68" s="37"/>
      <c r="EP68" s="37"/>
      <c r="EQ68" s="37"/>
      <c r="ER68" s="37"/>
      <c r="ES68" s="37"/>
      <c r="ET68" s="37"/>
      <c r="EU68" s="37"/>
      <c r="EV68" s="37"/>
      <c r="EW68" s="37"/>
      <c r="EX68" s="37"/>
      <c r="EY68" s="37"/>
      <c r="EZ68" s="37"/>
      <c r="FA68" s="37"/>
      <c r="FB68" s="37"/>
      <c r="FC68" s="37"/>
      <c r="FD68" s="37"/>
      <c r="FE68" s="37"/>
      <c r="FF68" s="37"/>
      <c r="FG68" s="37"/>
      <c r="FH68" s="37"/>
      <c r="FI68" s="37"/>
      <c r="FJ68" s="37"/>
      <c r="FK68" s="37"/>
      <c r="FL68" s="37"/>
      <c r="FM68" s="37"/>
      <c r="FN68" s="37"/>
      <c r="FO68" s="37"/>
      <c r="FP68" s="37"/>
      <c r="FQ68" s="37"/>
      <c r="FR68" s="37"/>
      <c r="FS68" s="37"/>
      <c r="FT68" s="37"/>
      <c r="FU68" s="37"/>
      <c r="FV68" s="37"/>
      <c r="FW68" s="37"/>
      <c r="FX68" s="37"/>
      <c r="FY68" s="37"/>
      <c r="FZ68" s="37"/>
      <c r="GA68" s="37"/>
      <c r="GB68" s="37"/>
      <c r="GC68" s="37"/>
      <c r="GD68" s="37"/>
      <c r="GE68" s="37"/>
      <c r="GF68" s="37"/>
      <c r="GG68" s="37"/>
      <c r="GH68" s="37"/>
      <c r="GI68" s="37"/>
      <c r="GJ68" s="37"/>
      <c r="GK68" s="37"/>
      <c r="GL68" s="37"/>
      <c r="GM68" s="37"/>
      <c r="GN68" s="37"/>
      <c r="GO68" s="37"/>
      <c r="GP68" s="37"/>
      <c r="GQ68" s="37"/>
      <c r="GR68" s="37"/>
      <c r="GS68" s="37"/>
      <c r="GT68" s="37"/>
      <c r="GU68" s="37"/>
      <c r="GV68" s="37"/>
      <c r="GW68" s="37"/>
      <c r="GX68" s="37"/>
      <c r="GY68" s="37"/>
      <c r="GZ68" s="37"/>
      <c r="HA68" s="37"/>
      <c r="HB68" s="37"/>
      <c r="HC68" s="37"/>
      <c r="HD68" s="37"/>
      <c r="HE68" s="37"/>
      <c r="HF68" s="37"/>
      <c r="HG68" s="37"/>
      <c r="HH68" s="37"/>
      <c r="HI68" s="37"/>
      <c r="HJ68" s="37"/>
      <c r="HK68" s="37"/>
      <c r="HL68" s="37"/>
      <c r="HM68" s="37"/>
      <c r="HN68" s="37"/>
      <c r="HO68" s="37"/>
      <c r="HP68" s="37"/>
      <c r="HQ68" s="37"/>
      <c r="HR68" s="37"/>
      <c r="HS68" s="37"/>
      <c r="HT68" s="37"/>
      <c r="HU68" s="37"/>
      <c r="HV68" s="37"/>
      <c r="HW68" s="37"/>
      <c r="HX68" s="37"/>
      <c r="HY68" s="37"/>
      <c r="HZ68" s="37"/>
      <c r="IA68" s="37"/>
      <c r="IB68" s="37"/>
      <c r="IC68" s="37"/>
      <c r="ID68" s="37"/>
      <c r="IE68" s="37"/>
      <c r="IF68" s="37"/>
      <c r="IG68" s="37"/>
      <c r="IH68" s="37"/>
      <c r="II68" s="37"/>
      <c r="IJ68" s="37"/>
      <c r="IK68" s="37"/>
      <c r="IL68" s="37"/>
      <c r="IM68" s="37"/>
      <c r="IN68" s="37"/>
      <c r="IO68" s="37"/>
    </row>
    <row r="69" spans="1:249" ht="13.5" thickBot="1">
      <c r="A69" s="129"/>
      <c r="B69" s="10" t="s">
        <v>2</v>
      </c>
      <c r="C69" s="6"/>
      <c r="D69" s="6"/>
      <c r="E69" s="18">
        <f>E68+E67</f>
        <v>723.2</v>
      </c>
      <c r="F69" s="18">
        <f aca="true" t="shared" si="21" ref="F69:W69">F68+F67</f>
        <v>1804.84</v>
      </c>
      <c r="G69" s="18">
        <f t="shared" si="21"/>
        <v>3098.798</v>
      </c>
      <c r="H69" s="18">
        <f t="shared" si="21"/>
        <v>4727.6581</v>
      </c>
      <c r="I69" s="18">
        <f t="shared" si="21"/>
        <v>4491.275195</v>
      </c>
      <c r="J69" s="18">
        <f t="shared" si="21"/>
        <v>4266.711435249999</v>
      </c>
      <c r="K69" s="18">
        <f t="shared" si="21"/>
        <v>4053.3758634874994</v>
      </c>
      <c r="L69" s="18">
        <f t="shared" si="21"/>
        <v>3850.7070703131235</v>
      </c>
      <c r="M69" s="18">
        <f t="shared" si="21"/>
        <v>3658.1717167974675</v>
      </c>
      <c r="N69" s="18">
        <f t="shared" si="21"/>
        <v>3475.2631309575936</v>
      </c>
      <c r="O69" s="18">
        <f t="shared" si="21"/>
        <v>3301.4999744097145</v>
      </c>
      <c r="P69" s="18">
        <f t="shared" si="21"/>
        <v>3136.4249756892286</v>
      </c>
      <c r="Q69" s="18">
        <f t="shared" si="21"/>
        <v>2979.603726904767</v>
      </c>
      <c r="R69" s="18">
        <f t="shared" si="21"/>
        <v>2830.623540559528</v>
      </c>
      <c r="S69" s="18">
        <f t="shared" si="21"/>
        <v>2689.092363531551</v>
      </c>
      <c r="T69" s="18">
        <f t="shared" si="21"/>
        <v>2554.637745354974</v>
      </c>
      <c r="U69" s="18">
        <f t="shared" si="21"/>
        <v>2426.905858087225</v>
      </c>
      <c r="V69" s="18">
        <f t="shared" si="21"/>
        <v>2305.5605651828637</v>
      </c>
      <c r="W69" s="19">
        <f t="shared" si="21"/>
        <v>2190.2825369237207</v>
      </c>
      <c r="X69" s="204"/>
      <c r="Y69" s="205"/>
      <c r="Z69" s="205"/>
      <c r="AA69" s="205"/>
      <c r="AB69" s="205"/>
      <c r="AC69" s="205"/>
      <c r="AD69" s="205"/>
      <c r="AE69" s="205"/>
      <c r="AF69" s="205"/>
      <c r="AG69" s="205"/>
      <c r="AH69" s="205"/>
      <c r="AI69" s="205"/>
      <c r="AJ69" s="206"/>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c r="CQ69" s="37"/>
      <c r="CR69" s="37"/>
      <c r="CS69" s="37"/>
      <c r="CT69" s="37"/>
      <c r="CU69" s="37"/>
      <c r="CV69" s="37"/>
      <c r="CW69" s="37"/>
      <c r="CX69" s="37"/>
      <c r="CY69" s="37"/>
      <c r="CZ69" s="37"/>
      <c r="DA69" s="37"/>
      <c r="DB69" s="37"/>
      <c r="DC69" s="37"/>
      <c r="DD69" s="37"/>
      <c r="DE69" s="37"/>
      <c r="DF69" s="37"/>
      <c r="DG69" s="37"/>
      <c r="DH69" s="37"/>
      <c r="DI69" s="37"/>
      <c r="DJ69" s="37"/>
      <c r="DK69" s="37"/>
      <c r="DL69" s="37"/>
      <c r="DM69" s="37"/>
      <c r="DN69" s="37"/>
      <c r="DO69" s="37"/>
      <c r="DP69" s="37"/>
      <c r="DQ69" s="37"/>
      <c r="DR69" s="37"/>
      <c r="DS69" s="37"/>
      <c r="DT69" s="37"/>
      <c r="DU69" s="37"/>
      <c r="DV69" s="37"/>
      <c r="DW69" s="37"/>
      <c r="DX69" s="37"/>
      <c r="DY69" s="37"/>
      <c r="DZ69" s="37"/>
      <c r="EA69" s="37"/>
      <c r="EB69" s="37"/>
      <c r="EC69" s="37"/>
      <c r="ED69" s="37"/>
      <c r="EE69" s="37"/>
      <c r="EF69" s="37"/>
      <c r="EG69" s="37"/>
      <c r="EH69" s="37"/>
      <c r="EI69" s="37"/>
      <c r="EJ69" s="37"/>
      <c r="EK69" s="37"/>
      <c r="EL69" s="37"/>
      <c r="EM69" s="37"/>
      <c r="EN69" s="37"/>
      <c r="EO69" s="37"/>
      <c r="EP69" s="37"/>
      <c r="EQ69" s="37"/>
      <c r="ER69" s="37"/>
      <c r="ES69" s="37"/>
      <c r="ET69" s="37"/>
      <c r="EU69" s="37"/>
      <c r="EV69" s="37"/>
      <c r="EW69" s="37"/>
      <c r="EX69" s="37"/>
      <c r="EY69" s="37"/>
      <c r="EZ69" s="37"/>
      <c r="FA69" s="37"/>
      <c r="FB69" s="37"/>
      <c r="FC69" s="37"/>
      <c r="FD69" s="37"/>
      <c r="FE69" s="37"/>
      <c r="FF69" s="37"/>
      <c r="FG69" s="37"/>
      <c r="FH69" s="37"/>
      <c r="FI69" s="37"/>
      <c r="FJ69" s="37"/>
      <c r="FK69" s="37"/>
      <c r="FL69" s="37"/>
      <c r="FM69" s="37"/>
      <c r="FN69" s="37"/>
      <c r="FO69" s="37"/>
      <c r="FP69" s="37"/>
      <c r="FQ69" s="37"/>
      <c r="FR69" s="37"/>
      <c r="FS69" s="37"/>
      <c r="FT69" s="37"/>
      <c r="FU69" s="37"/>
      <c r="FV69" s="37"/>
      <c r="FW69" s="37"/>
      <c r="FX69" s="37"/>
      <c r="FY69" s="37"/>
      <c r="FZ69" s="37"/>
      <c r="GA69" s="37"/>
      <c r="GB69" s="37"/>
      <c r="GC69" s="37"/>
      <c r="GD69" s="37"/>
      <c r="GE69" s="37"/>
      <c r="GF69" s="37"/>
      <c r="GG69" s="37"/>
      <c r="GH69" s="37"/>
      <c r="GI69" s="37"/>
      <c r="GJ69" s="37"/>
      <c r="GK69" s="37"/>
      <c r="GL69" s="37"/>
      <c r="GM69" s="37"/>
      <c r="GN69" s="37"/>
      <c r="GO69" s="37"/>
      <c r="GP69" s="37"/>
      <c r="GQ69" s="37"/>
      <c r="GR69" s="37"/>
      <c r="GS69" s="37"/>
      <c r="GT69" s="37"/>
      <c r="GU69" s="37"/>
      <c r="GV69" s="37"/>
      <c r="GW69" s="37"/>
      <c r="GX69" s="37"/>
      <c r="GY69" s="37"/>
      <c r="GZ69" s="37"/>
      <c r="HA69" s="37"/>
      <c r="HB69" s="37"/>
      <c r="HC69" s="37"/>
      <c r="HD69" s="37"/>
      <c r="HE69" s="37"/>
      <c r="HF69" s="37"/>
      <c r="HG69" s="37"/>
      <c r="HH69" s="37"/>
      <c r="HI69" s="37"/>
      <c r="HJ69" s="37"/>
      <c r="HK69" s="37"/>
      <c r="HL69" s="37"/>
      <c r="HM69" s="37"/>
      <c r="HN69" s="37"/>
      <c r="HO69" s="37"/>
      <c r="HP69" s="37"/>
      <c r="HQ69" s="37"/>
      <c r="HR69" s="37"/>
      <c r="HS69" s="37"/>
      <c r="HT69" s="37"/>
      <c r="HU69" s="37"/>
      <c r="HV69" s="37"/>
      <c r="HW69" s="37"/>
      <c r="HX69" s="37"/>
      <c r="HY69" s="37"/>
      <c r="HZ69" s="37"/>
      <c r="IA69" s="37"/>
      <c r="IB69" s="37"/>
      <c r="IC69" s="37"/>
      <c r="ID69" s="37"/>
      <c r="IE69" s="37"/>
      <c r="IF69" s="37"/>
      <c r="IG69" s="37"/>
      <c r="IH69" s="37"/>
      <c r="II69" s="37"/>
      <c r="IJ69" s="37"/>
      <c r="IK69" s="37"/>
      <c r="IL69" s="37"/>
      <c r="IM69" s="37"/>
      <c r="IN69" s="37"/>
      <c r="IO69" s="37"/>
    </row>
    <row r="70" spans="1:249" ht="13.5" thickBot="1">
      <c r="A70" s="129"/>
      <c r="B70" s="24"/>
      <c r="C70" s="24"/>
      <c r="D70" s="24"/>
      <c r="E70" s="207"/>
      <c r="F70" s="207"/>
      <c r="G70" s="207"/>
      <c r="H70" s="207"/>
      <c r="I70" s="207"/>
      <c r="J70" s="207"/>
      <c r="K70" s="207"/>
      <c r="L70" s="207"/>
      <c r="M70" s="207"/>
      <c r="N70" s="207"/>
      <c r="O70" s="207"/>
      <c r="P70" s="207"/>
      <c r="Q70" s="207"/>
      <c r="R70" s="207"/>
      <c r="S70" s="207"/>
      <c r="T70" s="207"/>
      <c r="U70" s="207"/>
      <c r="V70" s="207"/>
      <c r="W70" s="207"/>
      <c r="X70" s="204"/>
      <c r="Y70" s="205"/>
      <c r="Z70" s="205"/>
      <c r="AA70" s="205"/>
      <c r="AB70" s="205"/>
      <c r="AC70" s="205"/>
      <c r="AD70" s="205"/>
      <c r="AE70" s="205"/>
      <c r="AF70" s="205"/>
      <c r="AG70" s="205"/>
      <c r="AH70" s="205"/>
      <c r="AI70" s="205"/>
      <c r="AJ70" s="206"/>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c r="CQ70" s="37"/>
      <c r="CR70" s="37"/>
      <c r="CS70" s="37"/>
      <c r="CT70" s="37"/>
      <c r="CU70" s="37"/>
      <c r="CV70" s="37"/>
      <c r="CW70" s="37"/>
      <c r="CX70" s="37"/>
      <c r="CY70" s="37"/>
      <c r="CZ70" s="37"/>
      <c r="DA70" s="37"/>
      <c r="DB70" s="37"/>
      <c r="DC70" s="37"/>
      <c r="DD70" s="37"/>
      <c r="DE70" s="37"/>
      <c r="DF70" s="37"/>
      <c r="DG70" s="37"/>
      <c r="DH70" s="37"/>
      <c r="DI70" s="37"/>
      <c r="DJ70" s="37"/>
      <c r="DK70" s="37"/>
      <c r="DL70" s="37"/>
      <c r="DM70" s="37"/>
      <c r="DN70" s="37"/>
      <c r="DO70" s="37"/>
      <c r="DP70" s="37"/>
      <c r="DQ70" s="37"/>
      <c r="DR70" s="37"/>
      <c r="DS70" s="37"/>
      <c r="DT70" s="37"/>
      <c r="DU70" s="37"/>
      <c r="DV70" s="37"/>
      <c r="DW70" s="37"/>
      <c r="DX70" s="37"/>
      <c r="DY70" s="37"/>
      <c r="DZ70" s="37"/>
      <c r="EA70" s="37"/>
      <c r="EB70" s="37"/>
      <c r="EC70" s="37"/>
      <c r="ED70" s="37"/>
      <c r="EE70" s="37"/>
      <c r="EF70" s="37"/>
      <c r="EG70" s="37"/>
      <c r="EH70" s="37"/>
      <c r="EI70" s="37"/>
      <c r="EJ70" s="37"/>
      <c r="EK70" s="37"/>
      <c r="EL70" s="37"/>
      <c r="EM70" s="37"/>
      <c r="EN70" s="37"/>
      <c r="EO70" s="37"/>
      <c r="EP70" s="37"/>
      <c r="EQ70" s="37"/>
      <c r="ER70" s="37"/>
      <c r="ES70" s="37"/>
      <c r="ET70" s="37"/>
      <c r="EU70" s="37"/>
      <c r="EV70" s="37"/>
      <c r="EW70" s="37"/>
      <c r="EX70" s="37"/>
      <c r="EY70" s="37"/>
      <c r="EZ70" s="37"/>
      <c r="FA70" s="37"/>
      <c r="FB70" s="37"/>
      <c r="FC70" s="37"/>
      <c r="FD70" s="37"/>
      <c r="FE70" s="37"/>
      <c r="FF70" s="37"/>
      <c r="FG70" s="37"/>
      <c r="FH70" s="37"/>
      <c r="FI70" s="37"/>
      <c r="FJ70" s="37"/>
      <c r="FK70" s="37"/>
      <c r="FL70" s="37"/>
      <c r="FM70" s="37"/>
      <c r="FN70" s="37"/>
      <c r="FO70" s="37"/>
      <c r="FP70" s="37"/>
      <c r="FQ70" s="37"/>
      <c r="FR70" s="37"/>
      <c r="FS70" s="37"/>
      <c r="FT70" s="37"/>
      <c r="FU70" s="37"/>
      <c r="FV70" s="37"/>
      <c r="FW70" s="37"/>
      <c r="FX70" s="37"/>
      <c r="FY70" s="37"/>
      <c r="FZ70" s="37"/>
      <c r="GA70" s="37"/>
      <c r="GB70" s="37"/>
      <c r="GC70" s="37"/>
      <c r="GD70" s="37"/>
      <c r="GE70" s="37"/>
      <c r="GF70" s="37"/>
      <c r="GG70" s="37"/>
      <c r="GH70" s="37"/>
      <c r="GI70" s="37"/>
      <c r="GJ70" s="37"/>
      <c r="GK70" s="37"/>
      <c r="GL70" s="37"/>
      <c r="GM70" s="37"/>
      <c r="GN70" s="37"/>
      <c r="GO70" s="37"/>
      <c r="GP70" s="37"/>
      <c r="GQ70" s="37"/>
      <c r="GR70" s="37"/>
      <c r="GS70" s="37"/>
      <c r="GT70" s="37"/>
      <c r="GU70" s="37"/>
      <c r="GV70" s="37"/>
      <c r="GW70" s="37"/>
      <c r="GX70" s="37"/>
      <c r="GY70" s="37"/>
      <c r="GZ70" s="37"/>
      <c r="HA70" s="37"/>
      <c r="HB70" s="37"/>
      <c r="HC70" s="37"/>
      <c r="HD70" s="37"/>
      <c r="HE70" s="37"/>
      <c r="HF70" s="37"/>
      <c r="HG70" s="37"/>
      <c r="HH70" s="37"/>
      <c r="HI70" s="37"/>
      <c r="HJ70" s="37"/>
      <c r="HK70" s="37"/>
      <c r="HL70" s="37"/>
      <c r="HM70" s="37"/>
      <c r="HN70" s="37"/>
      <c r="HO70" s="37"/>
      <c r="HP70" s="37"/>
      <c r="HQ70" s="37"/>
      <c r="HR70" s="37"/>
      <c r="HS70" s="37"/>
      <c r="HT70" s="37"/>
      <c r="HU70" s="37"/>
      <c r="HV70" s="37"/>
      <c r="HW70" s="37"/>
      <c r="HX70" s="37"/>
      <c r="HY70" s="37"/>
      <c r="HZ70" s="37"/>
      <c r="IA70" s="37"/>
      <c r="IB70" s="37"/>
      <c r="IC70" s="37"/>
      <c r="ID70" s="37"/>
      <c r="IE70" s="37"/>
      <c r="IF70" s="37"/>
      <c r="IG70" s="37"/>
      <c r="IH70" s="37"/>
      <c r="II70" s="37"/>
      <c r="IJ70" s="37"/>
      <c r="IK70" s="37"/>
      <c r="IL70" s="37"/>
      <c r="IM70" s="37"/>
      <c r="IN70" s="37"/>
      <c r="IO70" s="37"/>
    </row>
    <row r="71" spans="1:36" ht="12.75">
      <c r="A71" s="129"/>
      <c r="B71" s="237" t="s">
        <v>0</v>
      </c>
      <c r="C71" s="179"/>
      <c r="D71" s="202">
        <v>1</v>
      </c>
      <c r="E71" s="202">
        <f>D71+1</f>
        <v>2</v>
      </c>
      <c r="F71" s="202">
        <f>E71+1</f>
        <v>3</v>
      </c>
      <c r="G71" s="202">
        <f>F71+1</f>
        <v>4</v>
      </c>
      <c r="H71" s="203">
        <f>G71+1</f>
        <v>5</v>
      </c>
      <c r="I71" s="208"/>
      <c r="J71" s="208"/>
      <c r="K71" s="208"/>
      <c r="L71" s="208"/>
      <c r="M71" s="208"/>
      <c r="N71" s="208"/>
      <c r="O71" s="208"/>
      <c r="P71" s="208"/>
      <c r="Q71" s="208"/>
      <c r="R71" s="208"/>
      <c r="S71" s="208"/>
      <c r="T71" s="208"/>
      <c r="U71" s="208"/>
      <c r="V71" s="208"/>
      <c r="W71" s="208"/>
      <c r="X71" s="7"/>
      <c r="Y71" s="4"/>
      <c r="Z71" s="4"/>
      <c r="AA71" s="4"/>
      <c r="AB71" s="4"/>
      <c r="AC71" s="4"/>
      <c r="AD71" s="4"/>
      <c r="AE71" s="4"/>
      <c r="AF71" s="4"/>
      <c r="AG71" s="4"/>
      <c r="AH71" s="4"/>
      <c r="AI71" s="4"/>
      <c r="AJ71" s="132"/>
    </row>
    <row r="72" spans="1:36" ht="13.5" thickBot="1">
      <c r="A72" s="129"/>
      <c r="B72" s="176" t="s">
        <v>29</v>
      </c>
      <c r="C72" s="177"/>
      <c r="D72" s="177">
        <v>798</v>
      </c>
      <c r="E72" s="177">
        <v>1242</v>
      </c>
      <c r="F72" s="177">
        <v>1538</v>
      </c>
      <c r="G72" s="177">
        <v>1982</v>
      </c>
      <c r="H72" s="209">
        <v>0</v>
      </c>
      <c r="I72" s="207"/>
      <c r="J72" s="208"/>
      <c r="K72" s="208"/>
      <c r="L72" s="208"/>
      <c r="M72" s="208"/>
      <c r="N72" s="208"/>
      <c r="O72" s="208"/>
      <c r="P72" s="208"/>
      <c r="Q72" s="208"/>
      <c r="R72" s="208"/>
      <c r="S72" s="208"/>
      <c r="T72" s="208"/>
      <c r="U72" s="208"/>
      <c r="V72" s="208"/>
      <c r="W72" s="208"/>
      <c r="X72" s="7"/>
      <c r="Y72" s="4"/>
      <c r="Z72" s="4"/>
      <c r="AA72" s="4"/>
      <c r="AB72" s="4"/>
      <c r="AC72" s="4"/>
      <c r="AD72" s="4"/>
      <c r="AE72" s="4"/>
      <c r="AF72" s="4"/>
      <c r="AG72" s="4"/>
      <c r="AH72" s="4"/>
      <c r="AI72" s="4"/>
      <c r="AJ72" s="132"/>
    </row>
    <row r="73" spans="1:67" ht="13.5" thickBot="1">
      <c r="A73" s="7"/>
      <c r="B73" s="239"/>
      <c r="C73" s="239"/>
      <c r="D73" s="239"/>
      <c r="E73" s="239"/>
      <c r="F73" s="239"/>
      <c r="G73" s="240"/>
      <c r="H73" s="240"/>
      <c r="I73" s="240"/>
      <c r="J73" s="240"/>
      <c r="K73" s="240"/>
      <c r="L73" s="240"/>
      <c r="M73" s="240"/>
      <c r="N73" s="240"/>
      <c r="O73" s="240"/>
      <c r="P73" s="240"/>
      <c r="Q73" s="240"/>
      <c r="R73" s="240"/>
      <c r="S73" s="240"/>
      <c r="T73" s="240"/>
      <c r="U73" s="240"/>
      <c r="V73" s="240"/>
      <c r="W73" s="240"/>
      <c r="X73" s="210"/>
      <c r="Y73" s="4"/>
      <c r="Z73" s="4"/>
      <c r="AA73" s="4"/>
      <c r="AB73" s="4"/>
      <c r="AC73" s="4"/>
      <c r="AD73" s="4"/>
      <c r="AE73" s="4"/>
      <c r="AF73" s="4"/>
      <c r="AG73" s="4"/>
      <c r="AH73" s="4"/>
      <c r="AI73" s="4"/>
      <c r="AJ73" s="4"/>
      <c r="AK73" s="4"/>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148"/>
    </row>
    <row r="74" spans="1:66" ht="12.75">
      <c r="A74" s="129"/>
      <c r="B74" s="241" t="s">
        <v>0</v>
      </c>
      <c r="C74" s="242"/>
      <c r="D74" s="243">
        <v>1</v>
      </c>
      <c r="E74" s="243">
        <v>2</v>
      </c>
      <c r="F74" s="243">
        <f>E74+1</f>
        <v>3</v>
      </c>
      <c r="G74" s="243">
        <f aca="true" t="shared" si="22" ref="G74:W74">F74+1</f>
        <v>4</v>
      </c>
      <c r="H74" s="243">
        <f t="shared" si="22"/>
        <v>5</v>
      </c>
      <c r="I74" s="243">
        <f t="shared" si="22"/>
        <v>6</v>
      </c>
      <c r="J74" s="243">
        <f t="shared" si="22"/>
        <v>7</v>
      </c>
      <c r="K74" s="243">
        <f t="shared" si="22"/>
        <v>8</v>
      </c>
      <c r="L74" s="243">
        <f t="shared" si="22"/>
        <v>9</v>
      </c>
      <c r="M74" s="243">
        <f t="shared" si="22"/>
        <v>10</v>
      </c>
      <c r="N74" s="243">
        <f t="shared" si="22"/>
        <v>11</v>
      </c>
      <c r="O74" s="243">
        <f t="shared" si="22"/>
        <v>12</v>
      </c>
      <c r="P74" s="243">
        <f t="shared" si="22"/>
        <v>13</v>
      </c>
      <c r="Q74" s="243">
        <f t="shared" si="22"/>
        <v>14</v>
      </c>
      <c r="R74" s="243">
        <f t="shared" si="22"/>
        <v>15</v>
      </c>
      <c r="S74" s="243">
        <f t="shared" si="22"/>
        <v>16</v>
      </c>
      <c r="T74" s="243">
        <f t="shared" si="22"/>
        <v>17</v>
      </c>
      <c r="U74" s="243">
        <f t="shared" si="22"/>
        <v>18</v>
      </c>
      <c r="V74" s="243">
        <f t="shared" si="22"/>
        <v>19</v>
      </c>
      <c r="W74" s="244">
        <f t="shared" si="22"/>
        <v>20</v>
      </c>
      <c r="X74" s="7"/>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132"/>
    </row>
    <row r="75" spans="1:66" ht="12.75">
      <c r="A75" s="129"/>
      <c r="B75" s="245" t="s">
        <v>30</v>
      </c>
      <c r="C75" s="4"/>
      <c r="D75" s="4"/>
      <c r="E75" s="211">
        <f aca="true" t="shared" si="23" ref="E75:W75">E50-E57</f>
        <v>-873710.8214187747</v>
      </c>
      <c r="F75" s="211">
        <f t="shared" si="23"/>
        <v>-2765064.906166565</v>
      </c>
      <c r="G75" s="211">
        <f t="shared" si="23"/>
        <v>-2757838.0819960004</v>
      </c>
      <c r="H75" s="211">
        <f t="shared" si="23"/>
        <v>-2322753.806531152</v>
      </c>
      <c r="I75" s="211">
        <f t="shared" si="23"/>
        <v>8160009.141291125</v>
      </c>
      <c r="J75" s="211">
        <f t="shared" si="23"/>
        <v>8370686.415428137</v>
      </c>
      <c r="K75" s="211">
        <f t="shared" si="23"/>
        <v>8821296.481847622</v>
      </c>
      <c r="L75" s="211">
        <f t="shared" si="23"/>
        <v>9153523.054048056</v>
      </c>
      <c r="M75" s="211">
        <f t="shared" si="23"/>
        <v>9463868.555779204</v>
      </c>
      <c r="N75" s="211">
        <f t="shared" si="23"/>
        <v>9534370.76887797</v>
      </c>
      <c r="O75" s="211">
        <f t="shared" si="23"/>
        <v>9412273.570326868</v>
      </c>
      <c r="P75" s="211">
        <f t="shared" si="23"/>
        <v>9192273.755376633</v>
      </c>
      <c r="Q75" s="211">
        <f t="shared" si="23"/>
        <v>8813168.799688214</v>
      </c>
      <c r="R75" s="211">
        <f t="shared" si="23"/>
        <v>8372510.359703803</v>
      </c>
      <c r="S75" s="211">
        <f t="shared" si="23"/>
        <v>7953884.841718613</v>
      </c>
      <c r="T75" s="211">
        <f t="shared" si="23"/>
        <v>7556190.599632682</v>
      </c>
      <c r="U75" s="211">
        <f t="shared" si="23"/>
        <v>7178381.069651049</v>
      </c>
      <c r="V75" s="211">
        <f t="shared" si="23"/>
        <v>6819462.016168495</v>
      </c>
      <c r="W75" s="246">
        <f t="shared" si="23"/>
        <v>6478488.915360071</v>
      </c>
      <c r="X75" s="7"/>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132"/>
    </row>
    <row r="76" spans="1:66" ht="12.75">
      <c r="A76" s="129"/>
      <c r="B76" s="245" t="s">
        <v>31</v>
      </c>
      <c r="C76" s="4"/>
      <c r="D76" s="4"/>
      <c r="E76" s="211">
        <f aca="true" t="shared" si="24" ref="E76:W76">E55-E58</f>
        <v>-29991.666666666657</v>
      </c>
      <c r="F76" s="211">
        <f t="shared" si="24"/>
        <v>116738.66666666669</v>
      </c>
      <c r="G76" s="211">
        <f t="shared" si="24"/>
        <v>281498.2916666666</v>
      </c>
      <c r="H76" s="211">
        <f t="shared" si="24"/>
        <v>794771.7965208334</v>
      </c>
      <c r="I76" s="211">
        <f t="shared" si="24"/>
        <v>602393.2838336978</v>
      </c>
      <c r="J76" s="211">
        <f t="shared" si="24"/>
        <v>580657.9334630719</v>
      </c>
      <c r="K76" s="211">
        <f t="shared" si="24"/>
        <v>559988.3898264247</v>
      </c>
      <c r="L76" s="211">
        <f t="shared" si="24"/>
        <v>540331.4149890186</v>
      </c>
      <c r="M76" s="211">
        <f t="shared" si="24"/>
        <v>521636.4327818478</v>
      </c>
      <c r="N76" s="211">
        <f t="shared" si="24"/>
        <v>503855.3957136801</v>
      </c>
      <c r="O76" s="211">
        <f t="shared" si="24"/>
        <v>486509.20103385847</v>
      </c>
      <c r="P76" s="211">
        <f t="shared" si="24"/>
        <v>468368.1238470149</v>
      </c>
      <c r="Q76" s="211">
        <f t="shared" si="24"/>
        <v>448654.7758574794</v>
      </c>
      <c r="R76" s="211">
        <f t="shared" si="24"/>
        <v>426222.0370646055</v>
      </c>
      <c r="S76" s="211">
        <f t="shared" si="24"/>
        <v>404910.9352113751</v>
      </c>
      <c r="T76" s="211">
        <f t="shared" si="24"/>
        <v>384665.3884508064</v>
      </c>
      <c r="U76" s="211">
        <f t="shared" si="24"/>
        <v>365432.11902826617</v>
      </c>
      <c r="V76" s="211">
        <f t="shared" si="24"/>
        <v>347160.5130768528</v>
      </c>
      <c r="W76" s="246">
        <f t="shared" si="24"/>
        <v>329802.48742301017</v>
      </c>
      <c r="X76" s="7"/>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132"/>
    </row>
    <row r="77" spans="1:66" ht="12.75">
      <c r="A77" s="129"/>
      <c r="B77" s="245" t="s">
        <v>157</v>
      </c>
      <c r="C77" s="116"/>
      <c r="D77" s="116"/>
      <c r="E77" s="117">
        <f>E76+E75</f>
        <v>-903702.4880854413</v>
      </c>
      <c r="F77" s="117">
        <f aca="true" t="shared" si="25" ref="F77:W77">F76+F75</f>
        <v>-2648326.2394998986</v>
      </c>
      <c r="G77" s="117">
        <f t="shared" si="25"/>
        <v>-2476339.790329334</v>
      </c>
      <c r="H77" s="117">
        <f t="shared" si="25"/>
        <v>-1527982.0100103188</v>
      </c>
      <c r="I77" s="117">
        <f t="shared" si="25"/>
        <v>8762402.425124822</v>
      </c>
      <c r="J77" s="117">
        <f t="shared" si="25"/>
        <v>8951344.34889121</v>
      </c>
      <c r="K77" s="117">
        <f t="shared" si="25"/>
        <v>9381284.871674046</v>
      </c>
      <c r="L77" s="117">
        <f t="shared" si="25"/>
        <v>9693854.469037075</v>
      </c>
      <c r="M77" s="117">
        <f t="shared" si="25"/>
        <v>9985504.988561051</v>
      </c>
      <c r="N77" s="117">
        <f t="shared" si="25"/>
        <v>10038226.16459165</v>
      </c>
      <c r="O77" s="117">
        <f t="shared" si="25"/>
        <v>9898782.771360727</v>
      </c>
      <c r="P77" s="117">
        <f t="shared" si="25"/>
        <v>9660641.879223648</v>
      </c>
      <c r="Q77" s="117">
        <f t="shared" si="25"/>
        <v>9261823.575545695</v>
      </c>
      <c r="R77" s="117">
        <f t="shared" si="25"/>
        <v>8798732.39676841</v>
      </c>
      <c r="S77" s="117">
        <f t="shared" si="25"/>
        <v>8358795.7769299885</v>
      </c>
      <c r="T77" s="117">
        <f t="shared" si="25"/>
        <v>7940855.988083488</v>
      </c>
      <c r="U77" s="117">
        <f t="shared" si="25"/>
        <v>7543813.188679315</v>
      </c>
      <c r="V77" s="117">
        <f t="shared" si="25"/>
        <v>7166622.529245348</v>
      </c>
      <c r="W77" s="247">
        <f t="shared" si="25"/>
        <v>6808291.402783081</v>
      </c>
      <c r="X77" s="7"/>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132"/>
    </row>
    <row r="78" spans="1:66" ht="13.5" thickBot="1">
      <c r="A78" s="129"/>
      <c r="B78" s="248" t="s">
        <v>158</v>
      </c>
      <c r="C78" s="249"/>
      <c r="D78" s="250">
        <v>0</v>
      </c>
      <c r="E78" s="250">
        <v>62500</v>
      </c>
      <c r="F78" s="250">
        <v>781250</v>
      </c>
      <c r="G78" s="250">
        <v>1471875</v>
      </c>
      <c r="H78" s="250">
        <v>2732812.5</v>
      </c>
      <c r="I78" s="250">
        <v>5048437.5</v>
      </c>
      <c r="J78" s="250">
        <v>5048437.5</v>
      </c>
      <c r="K78" s="250">
        <v>5048437.5</v>
      </c>
      <c r="L78" s="250">
        <v>5048437.5</v>
      </c>
      <c r="M78" s="250">
        <v>5048437.5</v>
      </c>
      <c r="N78" s="250">
        <v>0</v>
      </c>
      <c r="O78" s="250">
        <v>0</v>
      </c>
      <c r="P78" s="250">
        <v>0</v>
      </c>
      <c r="Q78" s="250">
        <v>0</v>
      </c>
      <c r="R78" s="250">
        <v>0</v>
      </c>
      <c r="S78" s="250">
        <v>0</v>
      </c>
      <c r="T78" s="250">
        <v>0</v>
      </c>
      <c r="U78" s="250">
        <v>0</v>
      </c>
      <c r="V78" s="251"/>
      <c r="W78" s="252"/>
      <c r="X78" s="7"/>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132"/>
    </row>
    <row r="79" spans="1:66" ht="12.75">
      <c r="A79" s="7"/>
      <c r="B79" s="8"/>
      <c r="C79" s="8"/>
      <c r="D79" s="8"/>
      <c r="E79" s="210"/>
      <c r="F79" s="210"/>
      <c r="G79" s="210"/>
      <c r="H79" s="210"/>
      <c r="I79" s="210"/>
      <c r="J79" s="210"/>
      <c r="K79" s="210"/>
      <c r="L79" s="210"/>
      <c r="M79" s="210"/>
      <c r="N79" s="210"/>
      <c r="O79" s="210"/>
      <c r="P79" s="210"/>
      <c r="Q79" s="210"/>
      <c r="R79" s="210"/>
      <c r="S79" s="210"/>
      <c r="T79" s="210"/>
      <c r="U79" s="210"/>
      <c r="V79" s="210"/>
      <c r="W79" s="210"/>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132"/>
    </row>
    <row r="80" spans="1:66" ht="12.75">
      <c r="A80" s="7"/>
      <c r="B80" s="4"/>
      <c r="C80" s="4"/>
      <c r="D80" s="4"/>
      <c r="E80" s="211"/>
      <c r="F80" s="211"/>
      <c r="G80" s="211"/>
      <c r="H80" s="211"/>
      <c r="I80" s="211"/>
      <c r="J80" s="211"/>
      <c r="K80" s="211"/>
      <c r="L80" s="211"/>
      <c r="M80" s="211"/>
      <c r="N80" s="211"/>
      <c r="O80" s="211"/>
      <c r="P80" s="211"/>
      <c r="Q80" s="211"/>
      <c r="R80" s="211"/>
      <c r="S80" s="211"/>
      <c r="T80" s="211"/>
      <c r="U80" s="211"/>
      <c r="V80" s="211"/>
      <c r="W80" s="211"/>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132"/>
    </row>
    <row r="81" spans="1:67" ht="12.75">
      <c r="A81" s="7"/>
      <c r="B81" s="4"/>
      <c r="C81" s="4"/>
      <c r="D81" s="4"/>
      <c r="E81" s="4"/>
      <c r="F81" s="211"/>
      <c r="G81" s="211"/>
      <c r="H81" s="211"/>
      <c r="I81" s="211"/>
      <c r="J81" s="211"/>
      <c r="K81" s="211"/>
      <c r="L81" s="211"/>
      <c r="M81" s="211"/>
      <c r="N81" s="211"/>
      <c r="O81" s="211"/>
      <c r="P81" s="211"/>
      <c r="Q81" s="211"/>
      <c r="R81" s="211"/>
      <c r="S81" s="211"/>
      <c r="T81" s="211"/>
      <c r="U81" s="211"/>
      <c r="V81" s="211"/>
      <c r="W81" s="211"/>
      <c r="X81" s="211"/>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132"/>
    </row>
    <row r="82" spans="1:67" ht="12.75">
      <c r="A82" s="7"/>
      <c r="B82" s="4"/>
      <c r="C82" s="4"/>
      <c r="D82" s="4"/>
      <c r="E82" s="4"/>
      <c r="F82" s="211"/>
      <c r="G82" s="211"/>
      <c r="H82" s="211"/>
      <c r="I82" s="211"/>
      <c r="J82" s="211"/>
      <c r="K82" s="211"/>
      <c r="L82" s="211"/>
      <c r="M82" s="211"/>
      <c r="N82" s="211"/>
      <c r="O82" s="211"/>
      <c r="P82" s="211"/>
      <c r="Q82" s="211"/>
      <c r="R82" s="211"/>
      <c r="S82" s="211"/>
      <c r="T82" s="211"/>
      <c r="U82" s="211"/>
      <c r="V82" s="211"/>
      <c r="W82" s="211"/>
      <c r="X82" s="211"/>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132"/>
    </row>
    <row r="83" spans="1:67" ht="12.75">
      <c r="A83" s="7"/>
      <c r="B83" s="4"/>
      <c r="C83" s="4"/>
      <c r="D83" s="4"/>
      <c r="E83" s="4"/>
      <c r="F83" s="211"/>
      <c r="G83" s="211"/>
      <c r="H83" s="211"/>
      <c r="I83" s="211"/>
      <c r="J83" s="211"/>
      <c r="K83" s="211"/>
      <c r="L83" s="211"/>
      <c r="M83" s="211"/>
      <c r="N83" s="211"/>
      <c r="O83" s="211"/>
      <c r="P83" s="211"/>
      <c r="Q83" s="211"/>
      <c r="R83" s="211"/>
      <c r="S83" s="211"/>
      <c r="T83" s="211"/>
      <c r="U83" s="211"/>
      <c r="V83" s="211"/>
      <c r="W83" s="211"/>
      <c r="X83" s="211"/>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132"/>
    </row>
    <row r="84" spans="1:67" ht="12.75">
      <c r="A84" s="7"/>
      <c r="B84" s="4"/>
      <c r="C84" s="4"/>
      <c r="D84" s="4"/>
      <c r="E84" s="4"/>
      <c r="F84" s="211"/>
      <c r="G84" s="211"/>
      <c r="H84" s="211"/>
      <c r="I84" s="211"/>
      <c r="J84" s="211"/>
      <c r="K84" s="211"/>
      <c r="L84" s="211"/>
      <c r="M84" s="211"/>
      <c r="N84" s="211"/>
      <c r="O84" s="211"/>
      <c r="P84" s="211"/>
      <c r="Q84" s="211"/>
      <c r="R84" s="211"/>
      <c r="S84" s="211"/>
      <c r="T84" s="211"/>
      <c r="U84" s="211"/>
      <c r="V84" s="211"/>
      <c r="W84" s="211"/>
      <c r="X84" s="211"/>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132"/>
    </row>
    <row r="85" spans="1:67" ht="12.75">
      <c r="A85" s="7"/>
      <c r="B85" s="4"/>
      <c r="C85" s="4"/>
      <c r="D85" s="4"/>
      <c r="E85" s="4"/>
      <c r="F85" s="211"/>
      <c r="G85" s="211"/>
      <c r="H85" s="211"/>
      <c r="I85" s="211"/>
      <c r="J85" s="211"/>
      <c r="K85" s="211"/>
      <c r="L85" s="211"/>
      <c r="M85" s="211"/>
      <c r="N85" s="211"/>
      <c r="O85" s="211"/>
      <c r="P85" s="211"/>
      <c r="Q85" s="211"/>
      <c r="R85" s="211"/>
      <c r="S85" s="211"/>
      <c r="T85" s="211"/>
      <c r="U85" s="211"/>
      <c r="V85" s="211"/>
      <c r="W85" s="211"/>
      <c r="X85" s="211"/>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132"/>
    </row>
    <row r="86" spans="1:67" ht="12.75">
      <c r="A86" s="7"/>
      <c r="B86" s="4"/>
      <c r="C86" s="8"/>
      <c r="D86" s="8"/>
      <c r="E86" s="8"/>
      <c r="F86" s="210"/>
      <c r="G86" s="210"/>
      <c r="H86" s="210"/>
      <c r="I86" s="210"/>
      <c r="J86" s="210"/>
      <c r="K86" s="210"/>
      <c r="L86" s="210"/>
      <c r="M86" s="210"/>
      <c r="N86" s="211"/>
      <c r="O86" s="211"/>
      <c r="P86" s="211"/>
      <c r="Q86" s="211"/>
      <c r="R86" s="211"/>
      <c r="S86" s="211"/>
      <c r="T86" s="211"/>
      <c r="U86" s="211"/>
      <c r="V86" s="211"/>
      <c r="W86" s="211"/>
      <c r="X86" s="211"/>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132"/>
    </row>
    <row r="87" spans="1:67" ht="12.75">
      <c r="A87" s="7"/>
      <c r="B87" s="4"/>
      <c r="C87" s="4"/>
      <c r="D87" s="213"/>
      <c r="E87" s="4"/>
      <c r="F87" s="211"/>
      <c r="G87" s="211"/>
      <c r="H87" s="211"/>
      <c r="I87" s="211"/>
      <c r="J87" s="211"/>
      <c r="K87" s="211"/>
      <c r="L87" s="211"/>
      <c r="M87" s="211"/>
      <c r="N87" s="211"/>
      <c r="O87" s="211"/>
      <c r="P87" s="211"/>
      <c r="Q87" s="211"/>
      <c r="R87" s="211"/>
      <c r="S87" s="211"/>
      <c r="T87" s="211"/>
      <c r="U87" s="211"/>
      <c r="V87" s="211"/>
      <c r="W87" s="211"/>
      <c r="X87" s="211"/>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132"/>
    </row>
    <row r="88" spans="1:67" ht="12.75">
      <c r="A88" s="7"/>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132"/>
    </row>
    <row r="89" spans="1:67" ht="12.75">
      <c r="A89" s="7"/>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132"/>
    </row>
    <row r="90" spans="1:67" ht="12.75">
      <c r="A90" s="7"/>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132"/>
    </row>
    <row r="91" spans="1:67" ht="12.75">
      <c r="A91" s="7"/>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132"/>
    </row>
    <row r="92" spans="1:67" ht="12.75">
      <c r="A92" s="7"/>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132"/>
    </row>
    <row r="93" spans="1:67" ht="12.75">
      <c r="A93" s="7"/>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132"/>
    </row>
    <row r="94" spans="1:67" ht="12.75">
      <c r="A94" s="7"/>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132"/>
    </row>
    <row r="95" spans="1:67" ht="12.75">
      <c r="A95" s="7"/>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132"/>
    </row>
    <row r="96" spans="1:67" ht="12.75">
      <c r="A96" s="7"/>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132"/>
    </row>
    <row r="97" spans="1:67" ht="12.75">
      <c r="A97" s="7"/>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132"/>
    </row>
    <row r="98" spans="1:67" ht="12.75">
      <c r="A98" s="7"/>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132"/>
    </row>
    <row r="99" spans="1:67" ht="12.75">
      <c r="A99" s="7"/>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132"/>
    </row>
    <row r="100" spans="1:67" ht="12.75">
      <c r="A100" s="7"/>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132"/>
    </row>
    <row r="101" spans="1:67" ht="12.75">
      <c r="A101" s="7"/>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132"/>
    </row>
    <row r="102" spans="1:67" ht="12.75">
      <c r="A102" s="7"/>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132"/>
    </row>
    <row r="103" spans="1:67" ht="12.75">
      <c r="A103" s="7"/>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132"/>
    </row>
    <row r="104" spans="1:67" ht="12.75">
      <c r="A104" s="7"/>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132"/>
    </row>
    <row r="105" spans="1:67" ht="12.75">
      <c r="A105" s="7"/>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132"/>
    </row>
    <row r="106" spans="1:67" ht="12.75">
      <c r="A106" s="7"/>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132"/>
    </row>
    <row r="107" spans="1:67" ht="12.75">
      <c r="A107" s="7"/>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132"/>
    </row>
    <row r="108" spans="1:67" ht="12.75">
      <c r="A108" s="7"/>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132"/>
    </row>
    <row r="109" spans="1:67" ht="12.75">
      <c r="A109" s="7"/>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132"/>
    </row>
    <row r="110" spans="1:67" ht="12.75">
      <c r="A110" s="7"/>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132"/>
    </row>
    <row r="111" spans="1:67" ht="12.75">
      <c r="A111" s="7"/>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132"/>
    </row>
    <row r="112" spans="1:67" ht="12.75">
      <c r="A112" s="7"/>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132"/>
    </row>
    <row r="113" spans="1:67" ht="12.75">
      <c r="A113" s="7"/>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132"/>
    </row>
    <row r="114" spans="1:67" ht="12.75">
      <c r="A114" s="7"/>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132"/>
    </row>
    <row r="115" spans="1:67" ht="12.75">
      <c r="A115" s="7"/>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132"/>
    </row>
    <row r="116" spans="1:67" ht="12.75">
      <c r="A116" s="7"/>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132"/>
    </row>
    <row r="117" spans="1:67" ht="12.75">
      <c r="A117" s="7"/>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132"/>
    </row>
    <row r="118" spans="1:67" ht="12.75">
      <c r="A118" s="7"/>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132"/>
    </row>
    <row r="119" spans="1:67" ht="12.75">
      <c r="A119" s="7"/>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132"/>
    </row>
    <row r="120" spans="1:67" ht="12.75">
      <c r="A120" s="7"/>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132"/>
    </row>
    <row r="121" spans="1:67" ht="12.75">
      <c r="A121" s="7"/>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132"/>
    </row>
    <row r="122" spans="1:67" ht="12.75">
      <c r="A122" s="7"/>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132"/>
    </row>
    <row r="123" spans="1:67" ht="12.75">
      <c r="A123" s="7"/>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132"/>
    </row>
    <row r="124" spans="1:67" ht="12.75">
      <c r="A124" s="7"/>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132"/>
    </row>
    <row r="125" spans="1:67" ht="12.75">
      <c r="A125" s="7"/>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132"/>
    </row>
    <row r="126" spans="1:67" ht="12.75">
      <c r="A126" s="7"/>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132"/>
    </row>
    <row r="127" spans="1:67" ht="12.75">
      <c r="A127" s="7"/>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132"/>
    </row>
    <row r="128" spans="1:67" ht="12.75">
      <c r="A128" s="7"/>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132"/>
    </row>
    <row r="129" spans="1:67" ht="12.75">
      <c r="A129" s="7"/>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132"/>
    </row>
    <row r="130" spans="1:67" ht="12.75">
      <c r="A130" s="7"/>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132"/>
    </row>
    <row r="131" spans="1:67" ht="12.75">
      <c r="A131" s="7"/>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132"/>
    </row>
    <row r="132" spans="1:67" ht="12.75">
      <c r="A132" s="7"/>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132"/>
    </row>
    <row r="133" spans="1:67" ht="12.75">
      <c r="A133" s="7"/>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132"/>
    </row>
    <row r="134" spans="1:67" ht="12.75">
      <c r="A134" s="7"/>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132"/>
    </row>
    <row r="135" spans="1:67" ht="12.75">
      <c r="A135" s="7"/>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132"/>
    </row>
    <row r="136" spans="1:67" ht="12.75">
      <c r="A136" s="7"/>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132"/>
    </row>
    <row r="137" spans="1:67" ht="12.75">
      <c r="A137" s="7"/>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132"/>
    </row>
    <row r="138" spans="1:67" ht="12.75">
      <c r="A138" s="7"/>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132"/>
    </row>
    <row r="139" spans="1:67" ht="12.75">
      <c r="A139" s="7"/>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132"/>
    </row>
    <row r="140" spans="1:67" ht="12.75">
      <c r="A140" s="7"/>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132"/>
    </row>
    <row r="141" spans="1:67" ht="12.75">
      <c r="A141" s="7"/>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132"/>
    </row>
    <row r="142" spans="1:67" ht="12.75">
      <c r="A142" s="7"/>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132"/>
    </row>
    <row r="143" spans="1:67" ht="12.75">
      <c r="A143" s="7"/>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132"/>
    </row>
    <row r="144" spans="1:67" ht="12.75">
      <c r="A144" s="7"/>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132"/>
    </row>
    <row r="145" spans="1:67" ht="12.75">
      <c r="A145" s="7"/>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132"/>
    </row>
    <row r="146" spans="1:67" ht="12.75">
      <c r="A146" s="7"/>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132"/>
    </row>
    <row r="147" spans="1:67" ht="12.75">
      <c r="A147" s="7"/>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132"/>
    </row>
    <row r="148" spans="1:67" ht="12.75">
      <c r="A148" s="7"/>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132"/>
    </row>
    <row r="149" spans="1:67" ht="12.75">
      <c r="A149" s="7"/>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132"/>
    </row>
    <row r="150" spans="1:67" ht="12.75">
      <c r="A150" s="7"/>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132"/>
    </row>
    <row r="151" spans="1:67" ht="12.75">
      <c r="A151" s="7"/>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132"/>
    </row>
    <row r="152" spans="1:67" ht="12.75">
      <c r="A152" s="7"/>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132"/>
    </row>
    <row r="153" spans="1:67" ht="12.75">
      <c r="A153" s="7"/>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132"/>
    </row>
    <row r="154" spans="1:67" ht="12.75">
      <c r="A154" s="7"/>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132"/>
    </row>
    <row r="155" spans="1:67" ht="12.75">
      <c r="A155" s="7"/>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132"/>
    </row>
    <row r="156" spans="1:67" ht="12.75">
      <c r="A156" s="7"/>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132"/>
    </row>
    <row r="157" spans="1:67" ht="12.75">
      <c r="A157" s="7"/>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132"/>
    </row>
    <row r="158" spans="1:67" ht="12.75">
      <c r="A158" s="7"/>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132"/>
    </row>
    <row r="159" spans="1:67" ht="12.75">
      <c r="A159" s="7"/>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132"/>
    </row>
    <row r="160" spans="1:67" ht="12.75">
      <c r="A160" s="7"/>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132"/>
    </row>
    <row r="161" spans="1:67" ht="12.75">
      <c r="A161" s="7"/>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132"/>
    </row>
    <row r="162" spans="1:67" ht="12.75">
      <c r="A162" s="7"/>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132"/>
    </row>
    <row r="163" spans="1:67" ht="12.75">
      <c r="A163" s="7"/>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132"/>
    </row>
    <row r="164" spans="1:67" ht="12.75">
      <c r="A164" s="7"/>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132"/>
    </row>
    <row r="165" spans="1:67" ht="12.75">
      <c r="A165" s="7"/>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132"/>
    </row>
    <row r="166" spans="1:67" ht="12.75">
      <c r="A166" s="7"/>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132"/>
    </row>
    <row r="167" spans="1:67" ht="12.75">
      <c r="A167" s="7"/>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132"/>
    </row>
    <row r="168" spans="1:67" ht="12.75">
      <c r="A168" s="7"/>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132"/>
    </row>
    <row r="169" spans="1:67" ht="12.75">
      <c r="A169" s="7"/>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132"/>
    </row>
    <row r="170" spans="1:67" ht="12.75">
      <c r="A170" s="7"/>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132"/>
    </row>
    <row r="171" spans="1:67" ht="12.75">
      <c r="A171" s="7"/>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132"/>
    </row>
    <row r="172" spans="1:67" ht="12.75">
      <c r="A172" s="7"/>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132"/>
    </row>
    <row r="173" spans="1:67" ht="12.75">
      <c r="A173" s="7"/>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132"/>
    </row>
    <row r="174" spans="1:67" ht="12.75">
      <c r="A174" s="7"/>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132"/>
    </row>
    <row r="175" spans="1:67" ht="12.75">
      <c r="A175" s="7"/>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132"/>
    </row>
    <row r="176" spans="1:67" ht="12.75">
      <c r="A176" s="7"/>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132"/>
    </row>
    <row r="177" spans="1:67" ht="12.75">
      <c r="A177" s="7"/>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132"/>
    </row>
    <row r="178" spans="1:67" ht="12.75">
      <c r="A178" s="7"/>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132"/>
    </row>
    <row r="179" spans="1:67" ht="12.75">
      <c r="A179" s="7"/>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132"/>
    </row>
    <row r="180" spans="1:67" ht="12.75">
      <c r="A180" s="7"/>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132"/>
    </row>
    <row r="181" spans="1:67" ht="12.75">
      <c r="A181" s="7"/>
      <c r="B181" s="4"/>
      <c r="C181" s="127"/>
      <c r="D181" s="127"/>
      <c r="E181" s="127"/>
      <c r="F181" s="127"/>
      <c r="G181" s="127"/>
      <c r="H181" s="127"/>
      <c r="I181" s="127"/>
      <c r="J181" s="127"/>
      <c r="K181" s="127"/>
      <c r="L181" s="127"/>
      <c r="M181" s="127"/>
      <c r="N181" s="127"/>
      <c r="O181" s="127"/>
      <c r="P181" s="127"/>
      <c r="Q181" s="127"/>
      <c r="R181" s="127"/>
      <c r="S181" s="127"/>
      <c r="T181" s="127"/>
      <c r="U181" s="127"/>
      <c r="V181" s="127"/>
      <c r="W181" s="127"/>
      <c r="X181" s="127"/>
      <c r="Y181" s="127"/>
      <c r="Z181" s="127"/>
      <c r="AA181" s="127"/>
      <c r="AB181" s="127"/>
      <c r="AC181" s="127"/>
      <c r="AD181" s="127"/>
      <c r="AE181" s="127"/>
      <c r="AF181" s="127"/>
      <c r="AG181" s="127"/>
      <c r="AH181" s="127"/>
      <c r="AI181" s="127"/>
      <c r="AJ181" s="127"/>
      <c r="AK181" s="127"/>
      <c r="AL181" s="127"/>
      <c r="AM181" s="127"/>
      <c r="AN181" s="127"/>
      <c r="AO181" s="127"/>
      <c r="AP181" s="127"/>
      <c r="AQ181" s="127"/>
      <c r="AR181" s="127"/>
      <c r="AS181" s="127"/>
      <c r="AT181" s="127"/>
      <c r="AU181" s="127"/>
      <c r="AV181" s="127"/>
      <c r="AW181" s="127"/>
      <c r="AX181" s="127"/>
      <c r="AY181" s="127"/>
      <c r="AZ181" s="127"/>
      <c r="BA181" s="127"/>
      <c r="BB181" s="127"/>
      <c r="BC181" s="127"/>
      <c r="BD181" s="127"/>
      <c r="BE181" s="127"/>
      <c r="BF181" s="127"/>
      <c r="BG181" s="127"/>
      <c r="BH181" s="127"/>
      <c r="BI181" s="127"/>
      <c r="BJ181" s="127"/>
      <c r="BK181" s="127"/>
      <c r="BL181" s="127"/>
      <c r="BM181" s="127"/>
      <c r="BN181" s="127"/>
      <c r="BO181" s="128"/>
    </row>
    <row r="182" spans="1:2" ht="12.75">
      <c r="A182" s="7"/>
      <c r="B182" s="132"/>
    </row>
    <row r="183" spans="1:2" ht="12.75">
      <c r="A183" s="7"/>
      <c r="B183" s="132"/>
    </row>
    <row r="184" spans="1:2" ht="12.75">
      <c r="A184" s="7"/>
      <c r="B184" s="132"/>
    </row>
    <row r="185" spans="1:2" ht="12.75">
      <c r="A185" s="7"/>
      <c r="B185" s="132"/>
    </row>
    <row r="186" spans="1:2" ht="12.75">
      <c r="A186" s="7"/>
      <c r="B186" s="132"/>
    </row>
    <row r="187" spans="1:2" ht="12.75">
      <c r="A187" s="7"/>
      <c r="B187" s="132"/>
    </row>
    <row r="188" spans="1:2" ht="12.75">
      <c r="A188" s="7"/>
      <c r="B188" s="132"/>
    </row>
    <row r="189" spans="1:2" ht="12.75">
      <c r="A189" s="7"/>
      <c r="B189" s="132"/>
    </row>
    <row r="190" spans="1:2" ht="12.75">
      <c r="A190" s="7"/>
      <c r="B190" s="132"/>
    </row>
    <row r="191" spans="1:2" ht="12.75">
      <c r="A191" s="7"/>
      <c r="B191" s="132"/>
    </row>
    <row r="192" spans="1:2" ht="12.75">
      <c r="A192" s="7"/>
      <c r="B192" s="132"/>
    </row>
    <row r="193" spans="1:2" ht="12.75">
      <c r="A193" s="7"/>
      <c r="B193" s="132"/>
    </row>
    <row r="194" spans="1:2" ht="12.75">
      <c r="A194" s="7"/>
      <c r="B194" s="132"/>
    </row>
    <row r="195" spans="1:2" ht="12.75">
      <c r="A195" s="7"/>
      <c r="B195" s="132"/>
    </row>
    <row r="196" spans="1:2" ht="12.75">
      <c r="A196" s="7"/>
      <c r="B196" s="132"/>
    </row>
    <row r="197" spans="1:2" ht="12.75">
      <c r="A197" s="7"/>
      <c r="B197" s="132"/>
    </row>
    <row r="198" spans="1:2" ht="12.75">
      <c r="A198" s="7"/>
      <c r="B198" s="132"/>
    </row>
    <row r="199" spans="1:2" ht="12.75">
      <c r="A199" s="184"/>
      <c r="B199" s="128"/>
    </row>
  </sheetData>
  <mergeCells count="5">
    <mergeCell ref="A1:D1"/>
    <mergeCell ref="B45:C45"/>
    <mergeCell ref="D6:J6"/>
    <mergeCell ref="B37:C37"/>
    <mergeCell ref="A3:G3"/>
  </mergeCells>
  <conditionalFormatting sqref="D6 A3">
    <cfRule type="cellIs" priority="1" dxfId="0" operator="equal" stopIfTrue="1">
      <formula>0</formula>
    </cfRule>
    <cfRule type="cellIs" priority="2" dxfId="1" operator="notEqual" stopIfTrue="1">
      <formula>0</formula>
    </cfRule>
  </conditionalFormatting>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A1:BV295"/>
  <sheetViews>
    <sheetView showGridLines="0" workbookViewId="0" topLeftCell="A1">
      <selection activeCell="A1" sqref="A1:D1"/>
    </sheetView>
  </sheetViews>
  <sheetFormatPr defaultColWidth="9.140625" defaultRowHeight="12.75"/>
  <cols>
    <col min="1" max="1" width="4.140625" style="129" customWidth="1"/>
    <col min="2" max="2" width="32.421875" style="23" customWidth="1"/>
    <col min="3" max="3" width="21.8515625" style="23" customWidth="1"/>
    <col min="4" max="5" width="13.140625" style="23" customWidth="1"/>
    <col min="6" max="6" width="13.421875" style="23" bestFit="1" customWidth="1"/>
    <col min="7" max="7" width="12.8515625" style="23" bestFit="1" customWidth="1"/>
    <col min="8" max="9" width="13.421875" style="23" bestFit="1" customWidth="1"/>
    <col min="10" max="25" width="12.28125" style="23" bestFit="1" customWidth="1"/>
    <col min="26" max="39" width="9.140625" style="23" customWidth="1"/>
    <col min="40" max="40" width="9.140625" style="7" customWidth="1"/>
    <col min="41" max="52" width="9.140625" style="4" customWidth="1"/>
    <col min="53" max="53" width="9.140625" style="132" customWidth="1"/>
    <col min="54" max="16384" width="9.140625" style="23" customWidth="1"/>
  </cols>
  <sheetData>
    <row r="1" spans="1:7" s="325" customFormat="1" ht="40.5" customHeight="1">
      <c r="A1" s="589" t="s">
        <v>170</v>
      </c>
      <c r="B1" s="589"/>
      <c r="C1" s="589"/>
      <c r="D1" s="589"/>
      <c r="G1" s="557" t="s">
        <v>175</v>
      </c>
    </row>
    <row r="2" spans="1:22" s="454" customFormat="1" ht="15.75">
      <c r="A2" s="568" t="s">
        <v>218</v>
      </c>
      <c r="B2" s="569"/>
      <c r="C2" s="569"/>
      <c r="D2" s="569"/>
      <c r="E2" s="569"/>
      <c r="F2" s="569"/>
      <c r="G2" s="569"/>
      <c r="H2" s="21"/>
      <c r="I2" s="21"/>
      <c r="J2" s="21"/>
      <c r="K2" s="21"/>
      <c r="L2" s="21"/>
      <c r="M2" s="21"/>
      <c r="N2" s="21"/>
      <c r="O2" s="21"/>
      <c r="P2" s="21"/>
      <c r="Q2" s="21"/>
      <c r="R2" s="21"/>
      <c r="S2" s="21"/>
      <c r="T2" s="21"/>
      <c r="U2" s="21"/>
      <c r="V2" s="456"/>
    </row>
    <row r="3" spans="1:74" ht="13.5" thickBot="1">
      <c r="A3" s="581">
        <f>IF('ERR &amp; Sensitivity Analysis'!$I$10="N","Note: Current calculations are based on user input and are not the original MCC estimates.",IF('ERR &amp; Sensitivity Analysis'!$I$11="N","Note: Current calculations are based on user input and are not the original MCC estimates.",0))</f>
        <v>0</v>
      </c>
      <c r="B3" s="581"/>
      <c r="C3" s="581"/>
      <c r="D3" s="581"/>
      <c r="E3" s="581"/>
      <c r="F3" s="581"/>
      <c r="G3" s="581"/>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148"/>
    </row>
    <row r="4" spans="2:74" ht="12.75">
      <c r="B4" s="262" t="s">
        <v>13</v>
      </c>
      <c r="C4" s="276"/>
      <c r="D4" s="7"/>
      <c r="E4" s="4"/>
      <c r="F4" s="4"/>
      <c r="G4" s="214" t="s">
        <v>175</v>
      </c>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BA4" s="4"/>
      <c r="BB4" s="4"/>
      <c r="BC4" s="4"/>
      <c r="BD4" s="4"/>
      <c r="BE4" s="4"/>
      <c r="BF4" s="4"/>
      <c r="BG4" s="4"/>
      <c r="BH4" s="4"/>
      <c r="BI4" s="4"/>
      <c r="BJ4" s="4"/>
      <c r="BK4" s="4"/>
      <c r="BL4" s="4"/>
      <c r="BM4" s="4"/>
      <c r="BN4" s="4"/>
      <c r="BO4" s="127"/>
      <c r="BP4" s="127"/>
      <c r="BQ4" s="127"/>
      <c r="BR4" s="127"/>
      <c r="BS4" s="127"/>
      <c r="BT4" s="127"/>
      <c r="BU4" s="127"/>
      <c r="BV4" s="128"/>
    </row>
    <row r="5" spans="2:66" ht="12.75">
      <c r="B5" s="277" t="s">
        <v>14</v>
      </c>
      <c r="C5" s="278">
        <v>1</v>
      </c>
      <c r="D5" s="7"/>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BA5" s="4"/>
      <c r="BB5" s="4"/>
      <c r="BC5" s="4"/>
      <c r="BD5" s="4"/>
      <c r="BE5" s="4"/>
      <c r="BF5" s="4"/>
      <c r="BG5" s="4"/>
      <c r="BH5" s="4"/>
      <c r="BI5" s="4"/>
      <c r="BJ5" s="4"/>
      <c r="BK5" s="4"/>
      <c r="BL5" s="4"/>
      <c r="BM5" s="4"/>
      <c r="BN5" s="132"/>
    </row>
    <row r="6" spans="2:66" ht="12.75">
      <c r="B6" s="277" t="s">
        <v>15</v>
      </c>
      <c r="C6" s="278">
        <v>0.1</v>
      </c>
      <c r="D6" s="7"/>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BA6" s="4"/>
      <c r="BB6" s="4"/>
      <c r="BC6" s="4"/>
      <c r="BD6" s="4"/>
      <c r="BE6" s="4"/>
      <c r="BF6" s="4"/>
      <c r="BG6" s="4"/>
      <c r="BH6" s="4"/>
      <c r="BI6" s="4"/>
      <c r="BJ6" s="4"/>
      <c r="BK6" s="4"/>
      <c r="BL6" s="4"/>
      <c r="BM6" s="4"/>
      <c r="BN6" s="132"/>
    </row>
    <row r="7" spans="2:66" ht="12.75">
      <c r="B7" s="277" t="s">
        <v>16</v>
      </c>
      <c r="C7" s="278">
        <v>0.05</v>
      </c>
      <c r="D7" s="7"/>
      <c r="E7" s="279">
        <f>IF('ERR &amp; Sensitivity Analysis'!I13="N","Note: Current calculations are based on user input and are not the original MCC estimates.",IF('ERR &amp; Sensitivity Analysis'!I14="N","Note: Current calculations are based on user input and are not the original MCC estimates.",""))</f>
      </c>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BA7" s="4"/>
      <c r="BB7" s="4"/>
      <c r="BC7" s="4"/>
      <c r="BD7" s="4"/>
      <c r="BE7" s="4"/>
      <c r="BF7" s="4"/>
      <c r="BG7" s="4"/>
      <c r="BH7" s="4"/>
      <c r="BI7" s="4"/>
      <c r="BJ7" s="4"/>
      <c r="BK7" s="4"/>
      <c r="BL7" s="4"/>
      <c r="BM7" s="4"/>
      <c r="BN7" s="132"/>
    </row>
    <row r="8" spans="2:66" ht="12.75">
      <c r="B8" s="277" t="s">
        <v>17</v>
      </c>
      <c r="C8" s="280">
        <v>5</v>
      </c>
      <c r="D8" s="7"/>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BA8" s="4"/>
      <c r="BB8" s="4"/>
      <c r="BC8" s="4"/>
      <c r="BD8" s="4"/>
      <c r="BE8" s="4"/>
      <c r="BF8" s="4"/>
      <c r="BG8" s="4"/>
      <c r="BH8" s="4"/>
      <c r="BI8" s="4"/>
      <c r="BJ8" s="4"/>
      <c r="BK8" s="4"/>
      <c r="BL8" s="4"/>
      <c r="BM8" s="4"/>
      <c r="BN8" s="132"/>
    </row>
    <row r="9" spans="2:66" ht="12.75">
      <c r="B9" s="277" t="s">
        <v>18</v>
      </c>
      <c r="C9" s="281">
        <v>100</v>
      </c>
      <c r="D9" s="7"/>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BA9" s="4"/>
      <c r="BB9" s="4"/>
      <c r="BC9" s="4"/>
      <c r="BD9" s="4"/>
      <c r="BE9" s="4"/>
      <c r="BF9" s="4"/>
      <c r="BG9" s="4"/>
      <c r="BH9" s="4"/>
      <c r="BI9" s="4"/>
      <c r="BJ9" s="4"/>
      <c r="BK9" s="4"/>
      <c r="BL9" s="4"/>
      <c r="BM9" s="4"/>
      <c r="BN9" s="132"/>
    </row>
    <row r="10" spans="2:66" ht="13.5" thickBot="1">
      <c r="B10" s="263" t="s">
        <v>19</v>
      </c>
      <c r="C10" s="264">
        <f>1-C5</f>
        <v>0</v>
      </c>
      <c r="D10" s="282"/>
      <c r="E10" s="283"/>
      <c r="F10" s="283"/>
      <c r="G10" s="283"/>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BA10" s="4"/>
      <c r="BB10" s="4"/>
      <c r="BC10" s="4"/>
      <c r="BD10" s="4"/>
      <c r="BE10" s="4"/>
      <c r="BF10" s="4"/>
      <c r="BG10" s="4"/>
      <c r="BH10" s="4"/>
      <c r="BI10" s="4"/>
      <c r="BJ10" s="4"/>
      <c r="BK10" s="4"/>
      <c r="BL10" s="4"/>
      <c r="BM10" s="4"/>
      <c r="BN10" s="132"/>
    </row>
    <row r="11" spans="2:66" ht="12.75">
      <c r="B11" s="137"/>
      <c r="C11" s="284"/>
      <c r="D11" s="285"/>
      <c r="E11" s="286"/>
      <c r="F11" s="286"/>
      <c r="G11" s="286"/>
      <c r="H11" s="127"/>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BA11" s="4"/>
      <c r="BB11" s="4"/>
      <c r="BC11" s="4"/>
      <c r="BD11" s="4"/>
      <c r="BE11" s="4"/>
      <c r="BF11" s="4"/>
      <c r="BG11" s="4"/>
      <c r="BH11" s="4"/>
      <c r="BI11" s="4"/>
      <c r="BJ11" s="4"/>
      <c r="BK11" s="4"/>
      <c r="BL11" s="4"/>
      <c r="BM11" s="4"/>
      <c r="BN11" s="132"/>
    </row>
    <row r="12" spans="2:66" ht="12.75">
      <c r="B12" s="265" t="s">
        <v>211</v>
      </c>
      <c r="C12" s="122"/>
      <c r="D12" s="287">
        <v>1</v>
      </c>
      <c r="E12" s="287">
        <f>D12+1</f>
        <v>2</v>
      </c>
      <c r="F12" s="287">
        <f>E12+1</f>
        <v>3</v>
      </c>
      <c r="G12" s="287">
        <f>F12+1</f>
        <v>4</v>
      </c>
      <c r="H12" s="288" t="s">
        <v>2</v>
      </c>
      <c r="I12" s="7"/>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BA12" s="4"/>
      <c r="BB12" s="4"/>
      <c r="BC12" s="4"/>
      <c r="BD12" s="4"/>
      <c r="BE12" s="4"/>
      <c r="BF12" s="4"/>
      <c r="BG12" s="4"/>
      <c r="BH12" s="4"/>
      <c r="BI12" s="4"/>
      <c r="BJ12" s="4"/>
      <c r="BK12" s="4"/>
      <c r="BL12" s="4"/>
      <c r="BM12" s="4"/>
      <c r="BN12" s="132"/>
    </row>
    <row r="13" spans="2:66" ht="12.75">
      <c r="B13" s="118" t="s">
        <v>3</v>
      </c>
      <c r="C13" s="119"/>
      <c r="D13" s="120">
        <f>2701433.26763664*'ERR &amp; Sensitivity Analysis'!G10</f>
        <v>2701433.26763664</v>
      </c>
      <c r="E13" s="120">
        <f>1988125.95398301*'ERR &amp; Sensitivity Analysis'!G10</f>
        <v>1988125.95398301</v>
      </c>
      <c r="F13" s="120">
        <f>1941387.91197703*'ERR &amp; Sensitivity Analysis'!G10</f>
        <v>1941387.91197703</v>
      </c>
      <c r="G13" s="120">
        <f>1672308.22210471*'ERR &amp; Sensitivity Analysis'!G10</f>
        <v>1672308.22210471</v>
      </c>
      <c r="H13" s="121">
        <f>SUM(D13:G13)</f>
        <v>8303255.355701391</v>
      </c>
      <c r="I13" s="170"/>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BA13" s="4"/>
      <c r="BB13" s="4"/>
      <c r="BC13" s="4"/>
      <c r="BD13" s="4"/>
      <c r="BE13" s="4"/>
      <c r="BF13" s="4"/>
      <c r="BG13" s="4"/>
      <c r="BH13" s="4"/>
      <c r="BI13" s="4"/>
      <c r="BJ13" s="4"/>
      <c r="BK13" s="4"/>
      <c r="BL13" s="4"/>
      <c r="BM13" s="4"/>
      <c r="BN13" s="132"/>
    </row>
    <row r="14" spans="1:66" s="8" customFormat="1" ht="12.75">
      <c r="A14" s="7"/>
      <c r="B14" s="144"/>
      <c r="C14" s="144"/>
      <c r="D14" s="145"/>
      <c r="E14" s="145"/>
      <c r="F14" s="145"/>
      <c r="G14" s="145"/>
      <c r="H14" s="145"/>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row>
    <row r="15" spans="1:8" s="4" customFormat="1" ht="12.75">
      <c r="A15" s="7"/>
      <c r="B15" s="146"/>
      <c r="C15" s="146"/>
      <c r="D15" s="147"/>
      <c r="E15" s="289"/>
      <c r="F15" s="147"/>
      <c r="G15" s="147"/>
      <c r="H15" s="146"/>
    </row>
    <row r="16" spans="1:23" s="4" customFormat="1" ht="13.5" thickBot="1">
      <c r="A16" s="7"/>
      <c r="B16" s="127"/>
      <c r="C16" s="127"/>
      <c r="D16" s="127"/>
      <c r="E16" s="127"/>
      <c r="F16" s="127"/>
      <c r="G16" s="127"/>
      <c r="H16" s="127"/>
      <c r="I16" s="127"/>
      <c r="J16" s="127"/>
      <c r="K16" s="127"/>
      <c r="L16" s="127"/>
      <c r="M16" s="127"/>
      <c r="N16" s="127"/>
      <c r="O16" s="127"/>
      <c r="P16" s="127"/>
      <c r="Q16" s="127"/>
      <c r="R16" s="127"/>
      <c r="S16" s="127"/>
      <c r="T16" s="127"/>
      <c r="U16" s="127"/>
      <c r="V16" s="127"/>
      <c r="W16" s="127"/>
    </row>
    <row r="17" spans="1:53" s="127" customFormat="1" ht="13.5" thickBot="1">
      <c r="A17" s="129"/>
      <c r="B17" s="303" t="s">
        <v>21</v>
      </c>
      <c r="C17" s="290"/>
      <c r="D17" s="304">
        <v>1</v>
      </c>
      <c r="E17" s="266">
        <v>2</v>
      </c>
      <c r="F17" s="266">
        <f>E17+1</f>
        <v>3</v>
      </c>
      <c r="G17" s="266">
        <f aca="true" t="shared" si="0" ref="G17:W17">F17+1</f>
        <v>4</v>
      </c>
      <c r="H17" s="266">
        <f t="shared" si="0"/>
        <v>5</v>
      </c>
      <c r="I17" s="266">
        <f t="shared" si="0"/>
        <v>6</v>
      </c>
      <c r="J17" s="266">
        <f t="shared" si="0"/>
        <v>7</v>
      </c>
      <c r="K17" s="266">
        <f t="shared" si="0"/>
        <v>8</v>
      </c>
      <c r="L17" s="266">
        <f t="shared" si="0"/>
        <v>9</v>
      </c>
      <c r="M17" s="266">
        <f t="shared" si="0"/>
        <v>10</v>
      </c>
      <c r="N17" s="266">
        <f t="shared" si="0"/>
        <v>11</v>
      </c>
      <c r="O17" s="266">
        <f t="shared" si="0"/>
        <v>12</v>
      </c>
      <c r="P17" s="266">
        <f t="shared" si="0"/>
        <v>13</v>
      </c>
      <c r="Q17" s="266">
        <f t="shared" si="0"/>
        <v>14</v>
      </c>
      <c r="R17" s="266">
        <f t="shared" si="0"/>
        <v>15</v>
      </c>
      <c r="S17" s="266">
        <f t="shared" si="0"/>
        <v>16</v>
      </c>
      <c r="T17" s="266">
        <f t="shared" si="0"/>
        <v>17</v>
      </c>
      <c r="U17" s="266">
        <f t="shared" si="0"/>
        <v>18</v>
      </c>
      <c r="V17" s="266">
        <f t="shared" si="0"/>
        <v>19</v>
      </c>
      <c r="W17" s="267">
        <f t="shared" si="0"/>
        <v>20</v>
      </c>
      <c r="X17" s="7"/>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row>
    <row r="18" spans="2:39" ht="23.25" customHeight="1">
      <c r="B18" s="305" t="s">
        <v>147</v>
      </c>
      <c r="C18" s="306" t="s">
        <v>22</v>
      </c>
      <c r="D18" s="307"/>
      <c r="E18" s="308">
        <f>C19*$C$10</f>
        <v>0</v>
      </c>
      <c r="F18" s="308"/>
      <c r="G18" s="308"/>
      <c r="H18" s="308"/>
      <c r="I18" s="308"/>
      <c r="J18" s="308"/>
      <c r="K18" s="308"/>
      <c r="L18" s="308"/>
      <c r="M18" s="308"/>
      <c r="N18" s="308"/>
      <c r="O18" s="210"/>
      <c r="P18" s="8"/>
      <c r="Q18" s="8"/>
      <c r="R18" s="8"/>
      <c r="S18" s="8"/>
      <c r="T18" s="8"/>
      <c r="U18" s="8"/>
      <c r="V18" s="8"/>
      <c r="W18" s="291"/>
      <c r="X18" s="7"/>
      <c r="Y18" s="4"/>
      <c r="Z18" s="4"/>
      <c r="AA18" s="4"/>
      <c r="AB18" s="4"/>
      <c r="AC18" s="4"/>
      <c r="AD18" s="4"/>
      <c r="AE18" s="4"/>
      <c r="AF18" s="4"/>
      <c r="AG18" s="4"/>
      <c r="AH18" s="4"/>
      <c r="AI18" s="4"/>
      <c r="AJ18" s="4"/>
      <c r="AK18" s="4"/>
      <c r="AL18" s="4"/>
      <c r="AM18" s="132"/>
    </row>
    <row r="19" spans="2:39" ht="12.75">
      <c r="B19" s="309" t="s">
        <v>23</v>
      </c>
      <c r="C19" s="211">
        <v>-2533.86705</v>
      </c>
      <c r="D19" s="211"/>
      <c r="E19" s="152">
        <f>Cashew!C55</f>
        <v>-2068</v>
      </c>
      <c r="F19" s="152">
        <f>Cashew!D55</f>
        <v>-289.24500000000006</v>
      </c>
      <c r="G19" s="152">
        <f>Cashew!E55</f>
        <v>-176.62204999999997</v>
      </c>
      <c r="H19" s="152">
        <f>Cashew!F55</f>
        <v>172.91560000000004</v>
      </c>
      <c r="I19" s="152">
        <v>440.95908999999995</v>
      </c>
      <c r="J19" s="152">
        <f>Cashew!H55</f>
        <v>847.5746620000002</v>
      </c>
      <c r="K19" s="152">
        <f>Cashew!I55</f>
        <v>1155.5319226</v>
      </c>
      <c r="L19" s="152">
        <f>Cashew!J55</f>
        <v>1344.5185537300001</v>
      </c>
      <c r="M19" s="152">
        <f>Cashew!K55</f>
        <v>1553.4183214165002</v>
      </c>
      <c r="N19" s="152">
        <f>Cashew!L55</f>
        <v>1643.310182487325</v>
      </c>
      <c r="O19" s="152">
        <f>Cashew!L55</f>
        <v>1643.310182487325</v>
      </c>
      <c r="P19" s="152">
        <f>Cashew!L55</f>
        <v>1643.310182487325</v>
      </c>
      <c r="Q19" s="152">
        <f>Cashew!L55</f>
        <v>1643.310182487325</v>
      </c>
      <c r="R19" s="152">
        <f>Cashew!L55</f>
        <v>1643.310182487325</v>
      </c>
      <c r="S19" s="152">
        <f>Cashew!L55</f>
        <v>1643.310182487325</v>
      </c>
      <c r="T19" s="152">
        <f>Cashew!L55</f>
        <v>1643.310182487325</v>
      </c>
      <c r="U19" s="152">
        <f>Cashew!L55</f>
        <v>1643.310182487325</v>
      </c>
      <c r="V19" s="152">
        <f>Cashew!L55</f>
        <v>1643.310182487325</v>
      </c>
      <c r="W19" s="292">
        <f>Cashew!L55</f>
        <v>1643.310182487325</v>
      </c>
      <c r="X19" s="293"/>
      <c r="Y19" s="4"/>
      <c r="Z19" s="4"/>
      <c r="AA19" s="4"/>
      <c r="AB19" s="4"/>
      <c r="AC19" s="4"/>
      <c r="AD19" s="4"/>
      <c r="AE19" s="4"/>
      <c r="AF19" s="4"/>
      <c r="AG19" s="4"/>
      <c r="AH19" s="4"/>
      <c r="AI19" s="4"/>
      <c r="AJ19" s="4"/>
      <c r="AK19" s="4"/>
      <c r="AL19" s="4"/>
      <c r="AM19" s="132"/>
    </row>
    <row r="20" spans="2:39" ht="12.75">
      <c r="B20" s="309" t="s">
        <v>24</v>
      </c>
      <c r="C20" s="146"/>
      <c r="D20" s="146"/>
      <c r="E20" s="222">
        <f>100*'ERR &amp; Sensitivity Analysis'!G11</f>
        <v>100</v>
      </c>
      <c r="F20" s="222">
        <f>58.8*'ERR &amp; Sensitivity Analysis'!G11</f>
        <v>58.8</v>
      </c>
      <c r="G20" s="222">
        <f>61.74*'ERR &amp; Sensitivity Analysis'!G11</f>
        <v>61.74</v>
      </c>
      <c r="H20" s="222">
        <f>64.827*'ERR &amp; Sensitivity Analysis'!G11</f>
        <v>64.827</v>
      </c>
      <c r="I20" s="222">
        <f>68.06835*'ERR &amp; Sensitivity Analysis'!G11</f>
        <v>68.06835</v>
      </c>
      <c r="J20" s="222">
        <f>71.4717675*'ERR &amp; Sensitivity Analysis'!G11</f>
        <v>71.4717675</v>
      </c>
      <c r="K20" s="222">
        <f>75.045355875*'ERR &amp; Sensitivity Analysis'!G11</f>
        <v>75.045355875</v>
      </c>
      <c r="L20" s="222">
        <f>78.79762366875*'ERR &amp; Sensitivity Analysis'!G11</f>
        <v>78.79762366875</v>
      </c>
      <c r="M20" s="222">
        <f>82.7375048521875*'ERR &amp; Sensitivity Analysis'!G11</f>
        <v>82.7375048521875</v>
      </c>
      <c r="N20" s="222">
        <f>86.8743800947969*'ERR &amp; Sensitivity Analysis'!G11</f>
        <v>86.8743800947969</v>
      </c>
      <c r="O20" s="222">
        <f>N20*'ERR &amp; Sensitivity Analysis'!G11</f>
        <v>86.8743800947969</v>
      </c>
      <c r="P20" s="222">
        <f>O20*'ERR &amp; Sensitivity Analysis'!G11</f>
        <v>86.8743800947969</v>
      </c>
      <c r="Q20" s="222">
        <f>P20*'ERR &amp; Sensitivity Analysis'!G11</f>
        <v>86.8743800947969</v>
      </c>
      <c r="R20" s="222">
        <f>Q20*'ERR &amp; Sensitivity Analysis'!G11</f>
        <v>86.8743800947969</v>
      </c>
      <c r="S20" s="222">
        <f>R20*'ERR &amp; Sensitivity Analysis'!G11</f>
        <v>86.8743800947969</v>
      </c>
      <c r="T20" s="222">
        <f>S20*'ERR &amp; Sensitivity Analysis'!G11</f>
        <v>86.8743800947969</v>
      </c>
      <c r="U20" s="222">
        <f>T20*'ERR &amp; Sensitivity Analysis'!G11</f>
        <v>86.8743800947969</v>
      </c>
      <c r="V20" s="222">
        <f>U20*'ERR &amp; Sensitivity Analysis'!G11</f>
        <v>86.8743800947969</v>
      </c>
      <c r="W20" s="310">
        <f>V20*'ERR &amp; Sensitivity Analysis'!G11</f>
        <v>86.8743800947969</v>
      </c>
      <c r="X20" s="293"/>
      <c r="Y20" s="4"/>
      <c r="Z20" s="4"/>
      <c r="AA20" s="4"/>
      <c r="AB20" s="4"/>
      <c r="AC20" s="4"/>
      <c r="AD20" s="4"/>
      <c r="AE20" s="4"/>
      <c r="AF20" s="4"/>
      <c r="AG20" s="4"/>
      <c r="AH20" s="4"/>
      <c r="AI20" s="4"/>
      <c r="AJ20" s="4"/>
      <c r="AK20" s="4"/>
      <c r="AL20" s="4"/>
      <c r="AM20" s="132"/>
    </row>
    <row r="21" spans="2:39" ht="12.75">
      <c r="B21" s="309"/>
      <c r="C21" s="146"/>
      <c r="D21" s="146"/>
      <c r="E21" s="222"/>
      <c r="F21" s="222"/>
      <c r="G21" s="222"/>
      <c r="H21" s="222"/>
      <c r="I21" s="222"/>
      <c r="J21" s="222"/>
      <c r="K21" s="222"/>
      <c r="L21" s="222"/>
      <c r="M21" s="222"/>
      <c r="N21" s="222"/>
      <c r="O21" s="222"/>
      <c r="P21" s="222"/>
      <c r="Q21" s="222"/>
      <c r="R21" s="222"/>
      <c r="S21" s="222"/>
      <c r="T21" s="222"/>
      <c r="U21" s="222"/>
      <c r="V21" s="222"/>
      <c r="W21" s="310"/>
      <c r="X21" s="293"/>
      <c r="Y21" s="4"/>
      <c r="Z21" s="4"/>
      <c r="AA21" s="4"/>
      <c r="AB21" s="4"/>
      <c r="AC21" s="4"/>
      <c r="AD21" s="4"/>
      <c r="AE21" s="4"/>
      <c r="AF21" s="4"/>
      <c r="AG21" s="4"/>
      <c r="AH21" s="4"/>
      <c r="AI21" s="4"/>
      <c r="AJ21" s="4"/>
      <c r="AK21" s="4"/>
      <c r="AL21" s="4"/>
      <c r="AM21" s="132"/>
    </row>
    <row r="22" spans="2:39" ht="25.5">
      <c r="B22" s="309" t="s">
        <v>148</v>
      </c>
      <c r="C22" s="224" t="s">
        <v>22</v>
      </c>
      <c r="D22" s="311"/>
      <c r="E22" s="225">
        <f>C23*$C$10</f>
        <v>0</v>
      </c>
      <c r="F22" s="225"/>
      <c r="G22" s="225"/>
      <c r="H22" s="225"/>
      <c r="I22" s="225"/>
      <c r="J22" s="225"/>
      <c r="K22" s="225"/>
      <c r="L22" s="225"/>
      <c r="M22" s="225"/>
      <c r="N22" s="225"/>
      <c r="O22" s="211"/>
      <c r="P22" s="152"/>
      <c r="Q22" s="152"/>
      <c r="R22" s="152"/>
      <c r="S22" s="152"/>
      <c r="T22" s="152"/>
      <c r="U22" s="152"/>
      <c r="V22" s="152"/>
      <c r="W22" s="292"/>
      <c r="X22" s="293"/>
      <c r="Y22" s="4"/>
      <c r="Z22" s="4"/>
      <c r="AA22" s="4"/>
      <c r="AB22" s="4"/>
      <c r="AC22" s="4"/>
      <c r="AD22" s="4"/>
      <c r="AE22" s="4"/>
      <c r="AF22" s="4"/>
      <c r="AG22" s="4"/>
      <c r="AH22" s="4"/>
      <c r="AI22" s="4"/>
      <c r="AJ22" s="4"/>
      <c r="AK22" s="4"/>
      <c r="AL22" s="4"/>
      <c r="AM22" s="132"/>
    </row>
    <row r="23" spans="2:39" ht="12.75">
      <c r="B23" s="309" t="s">
        <v>23</v>
      </c>
      <c r="C23" s="211">
        <v>-4106.92</v>
      </c>
      <c r="D23" s="4"/>
      <c r="E23" s="152">
        <f>Plantain!C54</f>
        <v>-4106.92</v>
      </c>
      <c r="F23" s="152">
        <f>Plantain!D54</f>
        <v>3017.5699999999997</v>
      </c>
      <c r="G23" s="152">
        <f>Plantain!E54</f>
        <v>3017.5699999999997</v>
      </c>
      <c r="H23" s="152">
        <f>Plantain!F54</f>
        <v>3017.5699999999997</v>
      </c>
      <c r="I23" s="152">
        <f>Plantain!G54</f>
        <v>3017.5699999999997</v>
      </c>
      <c r="J23" s="152">
        <f>Plantain!H54</f>
        <v>3017.5699999999997</v>
      </c>
      <c r="K23" s="152">
        <f>Plantain!I54</f>
        <v>3017.5699999999997</v>
      </c>
      <c r="L23" s="152">
        <f>Plantain!J54</f>
        <v>3017.5699999999997</v>
      </c>
      <c r="M23" s="152">
        <f>Plantain!K54</f>
        <v>3017.5699999999997</v>
      </c>
      <c r="N23" s="152">
        <f>Plantain!K54</f>
        <v>3017.5699999999997</v>
      </c>
      <c r="O23" s="152">
        <f>Plantain!K54</f>
        <v>3017.5699999999997</v>
      </c>
      <c r="P23" s="152">
        <f>Plantain!K54</f>
        <v>3017.5699999999997</v>
      </c>
      <c r="Q23" s="152">
        <f>Plantain!K54</f>
        <v>3017.5699999999997</v>
      </c>
      <c r="R23" s="152">
        <f>Plantain!K54</f>
        <v>3017.5699999999997</v>
      </c>
      <c r="S23" s="152">
        <f>Plantain!K54</f>
        <v>3017.5699999999997</v>
      </c>
      <c r="T23" s="152">
        <f>Plantain!K54</f>
        <v>3017.5699999999997</v>
      </c>
      <c r="U23" s="152">
        <f>Plantain!K54</f>
        <v>3017.5699999999997</v>
      </c>
      <c r="V23" s="152">
        <f>Plantain!K54</f>
        <v>3017.5699999999997</v>
      </c>
      <c r="W23" s="292">
        <f>Plantain!K54</f>
        <v>3017.5699999999997</v>
      </c>
      <c r="X23" s="7"/>
      <c r="Y23" s="4"/>
      <c r="Z23" s="4"/>
      <c r="AA23" s="4"/>
      <c r="AB23" s="4"/>
      <c r="AC23" s="4"/>
      <c r="AD23" s="4"/>
      <c r="AE23" s="4"/>
      <c r="AF23" s="4"/>
      <c r="AG23" s="4"/>
      <c r="AH23" s="4"/>
      <c r="AI23" s="4"/>
      <c r="AJ23" s="4"/>
      <c r="AK23" s="4"/>
      <c r="AL23" s="4"/>
      <c r="AM23" s="132"/>
    </row>
    <row r="24" spans="2:39" ht="12.75">
      <c r="B24" s="309" t="s">
        <v>24</v>
      </c>
      <c r="C24" s="4"/>
      <c r="D24" s="146"/>
      <c r="E24" s="222">
        <f>264.05*'ERR &amp; Sensitivity Analysis'!G11</f>
        <v>264.05</v>
      </c>
      <c r="F24" s="222">
        <f>211.76*'ERR &amp; Sensitivity Analysis'!G11</f>
        <v>211.76</v>
      </c>
      <c r="G24" s="222">
        <f>211.76*'ERR &amp; Sensitivity Analysis'!G11</f>
        <v>211.76</v>
      </c>
      <c r="H24" s="222">
        <f>211.76*'ERR &amp; Sensitivity Analysis'!G11</f>
        <v>211.76</v>
      </c>
      <c r="I24" s="222">
        <f>211.76*'ERR &amp; Sensitivity Analysis'!G11</f>
        <v>211.76</v>
      </c>
      <c r="J24" s="222">
        <f>211.76*'ERR &amp; Sensitivity Analysis'!G11</f>
        <v>211.76</v>
      </c>
      <c r="K24" s="222">
        <f>211.76*'ERR &amp; Sensitivity Analysis'!G11</f>
        <v>211.76</v>
      </c>
      <c r="L24" s="222">
        <f>211.76*'ERR &amp; Sensitivity Analysis'!G11</f>
        <v>211.76</v>
      </c>
      <c r="M24" s="222">
        <f>211.76*'ERR &amp; Sensitivity Analysis'!G11</f>
        <v>211.76</v>
      </c>
      <c r="N24" s="222">
        <f>M24*'ERR &amp; Sensitivity Analysis'!G11</f>
        <v>211.76</v>
      </c>
      <c r="O24" s="222">
        <f>N24*'ERR &amp; Sensitivity Analysis'!G11</f>
        <v>211.76</v>
      </c>
      <c r="P24" s="222">
        <f>O24*'ERR &amp; Sensitivity Analysis'!G11</f>
        <v>211.76</v>
      </c>
      <c r="Q24" s="222">
        <f>P24*'ERR &amp; Sensitivity Analysis'!G11</f>
        <v>211.76</v>
      </c>
      <c r="R24" s="222">
        <f>Q24*'ERR &amp; Sensitivity Analysis'!G11</f>
        <v>211.76</v>
      </c>
      <c r="S24" s="222">
        <f>R24*'ERR &amp; Sensitivity Analysis'!G11</f>
        <v>211.76</v>
      </c>
      <c r="T24" s="222">
        <f>S24*'ERR &amp; Sensitivity Analysis'!G11</f>
        <v>211.76</v>
      </c>
      <c r="U24" s="222">
        <f>T24*'ERR &amp; Sensitivity Analysis'!G11</f>
        <v>211.76</v>
      </c>
      <c r="V24" s="222">
        <f>U24*'ERR &amp; Sensitivity Analysis'!G11</f>
        <v>211.76</v>
      </c>
      <c r="W24" s="310">
        <f>V24*'ERR &amp; Sensitivity Analysis'!G11</f>
        <v>211.76</v>
      </c>
      <c r="X24" s="7"/>
      <c r="Y24" s="4"/>
      <c r="Z24" s="4"/>
      <c r="AA24" s="4"/>
      <c r="AB24" s="4"/>
      <c r="AC24" s="4"/>
      <c r="AD24" s="4"/>
      <c r="AE24" s="4"/>
      <c r="AF24" s="4"/>
      <c r="AG24" s="4"/>
      <c r="AH24" s="4"/>
      <c r="AI24" s="4"/>
      <c r="AJ24" s="4"/>
      <c r="AK24" s="4"/>
      <c r="AL24" s="4"/>
      <c r="AM24" s="132"/>
    </row>
    <row r="25" spans="2:39" ht="12.75">
      <c r="B25" s="309"/>
      <c r="C25" s="4"/>
      <c r="D25" s="146"/>
      <c r="E25" s="222"/>
      <c r="F25" s="222"/>
      <c r="G25" s="222"/>
      <c r="H25" s="222"/>
      <c r="I25" s="222"/>
      <c r="J25" s="222"/>
      <c r="K25" s="222"/>
      <c r="L25" s="222"/>
      <c r="M25" s="222"/>
      <c r="N25" s="222"/>
      <c r="O25" s="222"/>
      <c r="P25" s="222"/>
      <c r="Q25" s="222"/>
      <c r="R25" s="222"/>
      <c r="S25" s="222"/>
      <c r="T25" s="222"/>
      <c r="U25" s="222"/>
      <c r="V25" s="222"/>
      <c r="W25" s="310"/>
      <c r="X25" s="7"/>
      <c r="Y25" s="4"/>
      <c r="Z25" s="4"/>
      <c r="AA25" s="4"/>
      <c r="AB25" s="4"/>
      <c r="AC25" s="4"/>
      <c r="AD25" s="4"/>
      <c r="AE25" s="4"/>
      <c r="AF25" s="4"/>
      <c r="AG25" s="4"/>
      <c r="AH25" s="4"/>
      <c r="AI25" s="4"/>
      <c r="AJ25" s="4"/>
      <c r="AK25" s="4"/>
      <c r="AL25" s="4"/>
      <c r="AM25" s="132"/>
    </row>
    <row r="26" spans="2:39" ht="25.5">
      <c r="B26" s="309" t="s">
        <v>149</v>
      </c>
      <c r="C26" s="224" t="s">
        <v>22</v>
      </c>
      <c r="D26" s="311"/>
      <c r="E26" s="225">
        <f>C27*$C$10</f>
        <v>0</v>
      </c>
      <c r="F26" s="225"/>
      <c r="G26" s="225"/>
      <c r="H26" s="225"/>
      <c r="I26" s="225"/>
      <c r="J26" s="225"/>
      <c r="K26" s="225"/>
      <c r="L26" s="225"/>
      <c r="M26" s="225"/>
      <c r="N26" s="225"/>
      <c r="O26" s="211"/>
      <c r="P26" s="211"/>
      <c r="Q26" s="211"/>
      <c r="R26" s="211"/>
      <c r="S26" s="211"/>
      <c r="T26" s="211"/>
      <c r="U26" s="211"/>
      <c r="V26" s="211"/>
      <c r="W26" s="246"/>
      <c r="X26" s="7"/>
      <c r="Y26" s="4"/>
      <c r="Z26" s="4"/>
      <c r="AA26" s="4"/>
      <c r="AB26" s="4"/>
      <c r="AC26" s="4"/>
      <c r="AD26" s="4"/>
      <c r="AE26" s="4"/>
      <c r="AF26" s="4"/>
      <c r="AG26" s="4"/>
      <c r="AH26" s="4"/>
      <c r="AI26" s="4"/>
      <c r="AJ26" s="4"/>
      <c r="AK26" s="4"/>
      <c r="AL26" s="4"/>
      <c r="AM26" s="132"/>
    </row>
    <row r="27" spans="2:39" ht="12.75">
      <c r="B27" s="309" t="s">
        <v>23</v>
      </c>
      <c r="C27" s="211">
        <v>-240.83</v>
      </c>
      <c r="D27" s="4"/>
      <c r="E27" s="152">
        <f>'Organic Sesame'!C48</f>
        <v>-240.82999999999998</v>
      </c>
      <c r="F27" s="152">
        <f>'Organic Sesame'!D48</f>
        <v>119.17000000000002</v>
      </c>
      <c r="G27" s="152">
        <f>'Organic Sesame'!E48</f>
        <v>119.17000000000002</v>
      </c>
      <c r="H27" s="152">
        <f>'Organic Sesame'!F48</f>
        <v>119.17000000000002</v>
      </c>
      <c r="I27" s="152">
        <f>'Organic Sesame'!G48</f>
        <v>119.17000000000002</v>
      </c>
      <c r="J27" s="152">
        <f>'Organic Sesame'!H48</f>
        <v>119.17000000000002</v>
      </c>
      <c r="K27" s="152">
        <f>'Organic Sesame'!I48</f>
        <v>119.17000000000002</v>
      </c>
      <c r="L27" s="152">
        <f>'Organic Sesame'!J48</f>
        <v>119.17000000000002</v>
      </c>
      <c r="M27" s="152">
        <f>'Organic Sesame'!K48</f>
        <v>119.17000000000002</v>
      </c>
      <c r="N27" s="152">
        <f>'Organic Sesame'!K48</f>
        <v>119.17000000000002</v>
      </c>
      <c r="O27" s="152">
        <f>'Organic Sesame'!K48</f>
        <v>119.17000000000002</v>
      </c>
      <c r="P27" s="152">
        <f>'Organic Sesame'!K48</f>
        <v>119.17000000000002</v>
      </c>
      <c r="Q27" s="152">
        <f>'Organic Sesame'!K48</f>
        <v>119.17000000000002</v>
      </c>
      <c r="R27" s="152">
        <f>'Organic Sesame'!K48</f>
        <v>119.17000000000002</v>
      </c>
      <c r="S27" s="152">
        <f>'Organic Sesame'!K48</f>
        <v>119.17000000000002</v>
      </c>
      <c r="T27" s="152">
        <f>'Organic Sesame'!K48</f>
        <v>119.17000000000002</v>
      </c>
      <c r="U27" s="152">
        <f>'Organic Sesame'!K48</f>
        <v>119.17000000000002</v>
      </c>
      <c r="V27" s="152">
        <f>'Organic Sesame'!K48</f>
        <v>119.17000000000002</v>
      </c>
      <c r="W27" s="292">
        <f>'Organic Sesame'!K48</f>
        <v>119.17000000000002</v>
      </c>
      <c r="X27" s="7"/>
      <c r="Y27" s="4"/>
      <c r="Z27" s="4"/>
      <c r="AA27" s="4"/>
      <c r="AB27" s="4"/>
      <c r="AC27" s="4"/>
      <c r="AD27" s="4"/>
      <c r="AE27" s="4"/>
      <c r="AF27" s="4"/>
      <c r="AG27" s="4"/>
      <c r="AH27" s="4"/>
      <c r="AI27" s="4"/>
      <c r="AJ27" s="4"/>
      <c r="AK27" s="4"/>
      <c r="AL27" s="4"/>
      <c r="AM27" s="132"/>
    </row>
    <row r="28" spans="2:39" ht="12.75">
      <c r="B28" s="309" t="s">
        <v>24</v>
      </c>
      <c r="C28" s="4"/>
      <c r="D28" s="146"/>
      <c r="E28" s="222">
        <f>50*'ERR &amp; Sensitivity Analysis'!G11</f>
        <v>50</v>
      </c>
      <c r="F28" s="222">
        <f>50*'ERR &amp; Sensitivity Analysis'!G11</f>
        <v>50</v>
      </c>
      <c r="G28" s="222">
        <f>50*'ERR &amp; Sensitivity Analysis'!G11</f>
        <v>50</v>
      </c>
      <c r="H28" s="222">
        <f>50*'ERR &amp; Sensitivity Analysis'!G11</f>
        <v>50</v>
      </c>
      <c r="I28" s="222">
        <f>50*'ERR &amp; Sensitivity Analysis'!G11</f>
        <v>50</v>
      </c>
      <c r="J28" s="222">
        <f>50*'ERR &amp; Sensitivity Analysis'!G11</f>
        <v>50</v>
      </c>
      <c r="K28" s="222">
        <f>50*'ERR &amp; Sensitivity Analysis'!G11</f>
        <v>50</v>
      </c>
      <c r="L28" s="222">
        <f>50*'ERR &amp; Sensitivity Analysis'!G11</f>
        <v>50</v>
      </c>
      <c r="M28" s="222">
        <f>50*'ERR &amp; Sensitivity Analysis'!G11</f>
        <v>50</v>
      </c>
      <c r="N28" s="222">
        <f>50*'ERR &amp; Sensitivity Analysis'!G11</f>
        <v>50</v>
      </c>
      <c r="O28" s="222">
        <f>N28*'ERR &amp; Sensitivity Analysis'!G11</f>
        <v>50</v>
      </c>
      <c r="P28" s="222">
        <f>O28*'ERR &amp; Sensitivity Analysis'!G11</f>
        <v>50</v>
      </c>
      <c r="Q28" s="222">
        <f>P28*'ERR &amp; Sensitivity Analysis'!G11</f>
        <v>50</v>
      </c>
      <c r="R28" s="222">
        <f>Q28*'ERR &amp; Sensitivity Analysis'!G11</f>
        <v>50</v>
      </c>
      <c r="S28" s="222">
        <f>R28*'ERR &amp; Sensitivity Analysis'!G11</f>
        <v>50</v>
      </c>
      <c r="T28" s="222">
        <f>S28*'ERR &amp; Sensitivity Analysis'!G11</f>
        <v>50</v>
      </c>
      <c r="U28" s="222">
        <f>T28*'ERR &amp; Sensitivity Analysis'!G11</f>
        <v>50</v>
      </c>
      <c r="V28" s="222">
        <f>U28*'ERR &amp; Sensitivity Analysis'!G11</f>
        <v>50</v>
      </c>
      <c r="W28" s="310">
        <f>V28*'ERR &amp; Sensitivity Analysis'!G11</f>
        <v>50</v>
      </c>
      <c r="X28" s="7"/>
      <c r="Y28" s="4"/>
      <c r="Z28" s="4"/>
      <c r="AA28" s="4"/>
      <c r="AB28" s="4"/>
      <c r="AC28" s="4"/>
      <c r="AD28" s="4"/>
      <c r="AE28" s="4"/>
      <c r="AF28" s="4"/>
      <c r="AG28" s="4"/>
      <c r="AH28" s="4"/>
      <c r="AI28" s="4"/>
      <c r="AJ28" s="4"/>
      <c r="AK28" s="4"/>
      <c r="AL28" s="4"/>
      <c r="AM28" s="132"/>
    </row>
    <row r="29" spans="2:39" ht="12.75">
      <c r="B29" s="309"/>
      <c r="C29" s="4"/>
      <c r="D29" s="146"/>
      <c r="E29" s="222"/>
      <c r="F29" s="222"/>
      <c r="G29" s="222"/>
      <c r="H29" s="222"/>
      <c r="I29" s="222"/>
      <c r="J29" s="222"/>
      <c r="K29" s="222"/>
      <c r="L29" s="222"/>
      <c r="M29" s="222"/>
      <c r="N29" s="222"/>
      <c r="O29" s="222"/>
      <c r="P29" s="222"/>
      <c r="Q29" s="222"/>
      <c r="R29" s="222"/>
      <c r="S29" s="222"/>
      <c r="T29" s="222"/>
      <c r="U29" s="222"/>
      <c r="V29" s="222"/>
      <c r="W29" s="310"/>
      <c r="X29" s="7"/>
      <c r="Y29" s="4"/>
      <c r="Z29" s="4"/>
      <c r="AA29" s="4"/>
      <c r="AB29" s="4"/>
      <c r="AC29" s="4"/>
      <c r="AD29" s="4"/>
      <c r="AE29" s="4"/>
      <c r="AF29" s="4"/>
      <c r="AG29" s="4"/>
      <c r="AH29" s="4"/>
      <c r="AI29" s="4"/>
      <c r="AJ29" s="4"/>
      <c r="AK29" s="4"/>
      <c r="AL29" s="4"/>
      <c r="AM29" s="132"/>
    </row>
    <row r="30" spans="2:39" ht="26.25" customHeight="1">
      <c r="B30" s="245" t="s">
        <v>25</v>
      </c>
      <c r="C30" s="224" t="s">
        <v>22</v>
      </c>
      <c r="D30" s="146"/>
      <c r="E30" s="225">
        <f>(E18+E22+E26)/3</f>
        <v>0</v>
      </c>
      <c r="F30" s="211"/>
      <c r="G30" s="211"/>
      <c r="H30" s="211"/>
      <c r="I30" s="211"/>
      <c r="J30" s="211"/>
      <c r="K30" s="211"/>
      <c r="L30" s="211"/>
      <c r="M30" s="211"/>
      <c r="N30" s="211"/>
      <c r="O30" s="211"/>
      <c r="P30" s="211"/>
      <c r="Q30" s="211"/>
      <c r="R30" s="211"/>
      <c r="S30" s="211"/>
      <c r="T30" s="211"/>
      <c r="U30" s="211"/>
      <c r="V30" s="211"/>
      <c r="W30" s="246"/>
      <c r="X30" s="7"/>
      <c r="Y30" s="4"/>
      <c r="Z30" s="4"/>
      <c r="AA30" s="4"/>
      <c r="AB30" s="4"/>
      <c r="AC30" s="4"/>
      <c r="AD30" s="4"/>
      <c r="AE30" s="4"/>
      <c r="AF30" s="4"/>
      <c r="AG30" s="4"/>
      <c r="AH30" s="4"/>
      <c r="AI30" s="4"/>
      <c r="AJ30" s="4"/>
      <c r="AK30" s="4"/>
      <c r="AL30" s="4"/>
      <c r="AM30" s="132"/>
    </row>
    <row r="31" spans="2:39" ht="12.75">
      <c r="B31" s="309" t="s">
        <v>23</v>
      </c>
      <c r="C31" s="152">
        <f>(C27+C23+C19)/3</f>
        <v>-2293.87235</v>
      </c>
      <c r="D31" s="146"/>
      <c r="E31" s="222">
        <f>((E19*('ERR &amp; Sensitivity Analysis'!G19/33.333333%))+(E23*('ERR &amp; Sensitivity Analysis'!G18/33.333333%))+(E27*('ERR &amp; Sensitivity Analysis'!G20/33.333333%)))/3</f>
        <v>-2138.583354719167</v>
      </c>
      <c r="F31" s="222">
        <f>((F19*('ERR &amp; Sensitivity Analysis'!G19/33.333333%))+(F23*('ERR &amp; Sensitivity Analysis'!G18/33.333333%))+(F27*('ERR &amp; Sensitivity Analysis'!G20/33.333333%)))/3</f>
        <v>949.1650094916499</v>
      </c>
      <c r="G31" s="222">
        <f>((G19*('ERR &amp; Sensitivity Analysis'!G19/33.333333%))+(G23*('ERR &amp; Sensitivity Analysis'!G18/33.333333%))+(G27*('ERR &amp; Sensitivity Analysis'!G20/33.333333%)))/3</f>
        <v>986.7059932003931</v>
      </c>
      <c r="H31" s="222">
        <f>((H19*('ERR &amp; Sensitivity Analysis'!G19/33.333333%))+(H23*('ERR &amp; Sensitivity Analysis'!G18/33.333333%))+(H27*('ERR &amp; Sensitivity Analysis'!G20/33.333333%)))/3</f>
        <v>1103.2185443655187</v>
      </c>
      <c r="I31" s="222">
        <f>((I19*('ERR &amp; Sensitivity Analysis'!G19/33.333333%))+(I23*('ERR &amp; Sensitivity Analysis'!G18/33.333333%))+(I27*('ERR &amp; Sensitivity Analysis'!G20/33.333333%)))/3</f>
        <v>1192.566375258997</v>
      </c>
      <c r="J31" s="222">
        <f>((J19*('ERR &amp; Sensitivity Analysis'!G19/33.333333%))+(J23*('ERR &amp; Sensitivity Analysis'!G18/33.333333%))+(J27*('ERR &amp; Sensitivity Analysis'!G20/33.333333%)))/3</f>
        <v>1328.1049006143821</v>
      </c>
      <c r="K31" s="222">
        <f>((K19*('ERR &amp; Sensitivity Analysis'!G19/33.333333%))+(K23*('ERR &amp; Sensitivity Analysis'!G18/33.333333%))+(K27*('ERR &amp; Sensitivity Analysis'!G20/33.333333%)))/3</f>
        <v>1430.7573218409063</v>
      </c>
      <c r="L31" s="222">
        <f>((L19*('ERR &amp; Sensitivity Analysis'!G19/33.333333%))+(L23*('ERR &amp; Sensitivity Analysis'!G18/33.333333%))+(L27*('ERR &amp; Sensitivity Analysis'!G20/33.333333%)))/3</f>
        <v>1493.7528661808617</v>
      </c>
      <c r="M31" s="222">
        <f>((M19*('ERR &amp; Sensitivity Analysis'!G19/33.333333%))+(M23*('ERR &amp; Sensitivity Analysis'!G18/33.333333%))+(M27*('ERR &amp; Sensitivity Analysis'!G20/33.333333%)))/3</f>
        <v>1563.3861227726945</v>
      </c>
      <c r="N31" s="222">
        <f>((N19*('ERR &amp; Sensitivity Analysis'!G19/33.333333%))+(N23*('ERR &amp; Sensitivity Analysis'!G18/33.333333%))+(N27*('ERR &amp; Sensitivity Analysis'!G20/33.333333%)))/3</f>
        <v>1593.350076762609</v>
      </c>
      <c r="O31" s="222">
        <f>((O19*('ERR &amp; Sensitivity Analysis'!G19/33.333333%))+(O23*('ERR &amp; Sensitivity Analysis'!G18/33.333333%))+(O27*('ERR &amp; Sensitivity Analysis'!G20/33.333333%)))/3</f>
        <v>1593.350076762609</v>
      </c>
      <c r="P31" s="222">
        <f>((P19*('ERR &amp; Sensitivity Analysis'!G19/33.333333%))+(P23*('ERR &amp; Sensitivity Analysis'!G18/33.333333%))+(P27*('ERR &amp; Sensitivity Analysis'!G20/33.333333%)))/3</f>
        <v>1593.350076762609</v>
      </c>
      <c r="Q31" s="222">
        <f>((Q19*('ERR &amp; Sensitivity Analysis'!G19/33.333333%))+(Q23*('ERR &amp; Sensitivity Analysis'!G18/33.333333%))+(Q27*('ERR &amp; Sensitivity Analysis'!G20/33.333333%)))/3</f>
        <v>1593.350076762609</v>
      </c>
      <c r="R31" s="222">
        <f>((R19*('ERR &amp; Sensitivity Analysis'!G19/33.333333%))+(R23*('ERR &amp; Sensitivity Analysis'!G18/33.333333%))+(R27*('ERR &amp; Sensitivity Analysis'!G20/33.333333%)))/3</f>
        <v>1593.350076762609</v>
      </c>
      <c r="S31" s="222">
        <f>((S19*('ERR &amp; Sensitivity Analysis'!G19/33.333333%))+(S23*('ERR &amp; Sensitivity Analysis'!G18/33.333333%))+(S27*('ERR &amp; Sensitivity Analysis'!G20/33.333333%)))/3</f>
        <v>1593.350076762609</v>
      </c>
      <c r="T31" s="222">
        <f>((T19*('ERR &amp; Sensitivity Analysis'!G19/33.333333%))+(T23*('ERR &amp; Sensitivity Analysis'!G18/33.333333%))+(T27*('ERR &amp; Sensitivity Analysis'!G20/33.333333%)))/3</f>
        <v>1593.350076762609</v>
      </c>
      <c r="U31" s="222">
        <f>((U19*('ERR &amp; Sensitivity Analysis'!G19/33.333333%))+(U23*('ERR &amp; Sensitivity Analysis'!G18/33.333333%))+(U27*('ERR &amp; Sensitivity Analysis'!G20/33.333333%)))/3</f>
        <v>1593.350076762609</v>
      </c>
      <c r="V31" s="222">
        <f>((V19*('ERR &amp; Sensitivity Analysis'!G19/33.333333%))+(V23*('ERR &amp; Sensitivity Analysis'!G18/33.333333%))+(V27*('ERR &amp; Sensitivity Analysis'!G20/33.333333%)))/3</f>
        <v>1593.350076762609</v>
      </c>
      <c r="W31" s="310">
        <f>((W19*('ERR &amp; Sensitivity Analysis'!G19/33.333333%))+(W23*('ERR &amp; Sensitivity Analysis'!G18/33.333333%))+(W27*('ERR &amp; Sensitivity Analysis'!G20/33.333333%)))/3</f>
        <v>1593.350076762609</v>
      </c>
      <c r="X31" s="7"/>
      <c r="Y31" s="4"/>
      <c r="Z31" s="4"/>
      <c r="AA31" s="4"/>
      <c r="AB31" s="4"/>
      <c r="AC31" s="4"/>
      <c r="AD31" s="4"/>
      <c r="AE31" s="4"/>
      <c r="AF31" s="4"/>
      <c r="AG31" s="4"/>
      <c r="AH31" s="4"/>
      <c r="AI31" s="4"/>
      <c r="AJ31" s="4"/>
      <c r="AK31" s="4"/>
      <c r="AL31" s="4"/>
      <c r="AM31" s="132"/>
    </row>
    <row r="32" spans="2:39" ht="13.5" thickBot="1">
      <c r="B32" s="312" t="s">
        <v>24</v>
      </c>
      <c r="C32" s="249"/>
      <c r="D32" s="313"/>
      <c r="E32" s="251">
        <f aca="true" t="shared" si="1" ref="E32:L32">(E20+E24+E28)/3</f>
        <v>138.01666666666668</v>
      </c>
      <c r="F32" s="251">
        <f t="shared" si="1"/>
        <v>106.85333333333334</v>
      </c>
      <c r="G32" s="251">
        <f t="shared" si="1"/>
        <v>107.83333333333333</v>
      </c>
      <c r="H32" s="251">
        <f t="shared" si="1"/>
        <v>108.86233333333332</v>
      </c>
      <c r="I32" s="251">
        <f t="shared" si="1"/>
        <v>109.94278333333334</v>
      </c>
      <c r="J32" s="251">
        <f t="shared" si="1"/>
        <v>111.07725583333333</v>
      </c>
      <c r="K32" s="251">
        <f t="shared" si="1"/>
        <v>112.26845195833333</v>
      </c>
      <c r="L32" s="251">
        <f t="shared" si="1"/>
        <v>113.51920788958334</v>
      </c>
      <c r="M32" s="251">
        <v>115</v>
      </c>
      <c r="N32" s="251">
        <f aca="true" t="shared" si="2" ref="N32:W32">(N20+N24+N28)/3</f>
        <v>116.21146003159896</v>
      </c>
      <c r="O32" s="251">
        <f t="shared" si="2"/>
        <v>116.21146003159896</v>
      </c>
      <c r="P32" s="251">
        <f t="shared" si="2"/>
        <v>116.21146003159896</v>
      </c>
      <c r="Q32" s="251">
        <f t="shared" si="2"/>
        <v>116.21146003159896</v>
      </c>
      <c r="R32" s="251">
        <f t="shared" si="2"/>
        <v>116.21146003159896</v>
      </c>
      <c r="S32" s="251">
        <f t="shared" si="2"/>
        <v>116.21146003159896</v>
      </c>
      <c r="T32" s="251">
        <f t="shared" si="2"/>
        <v>116.21146003159896</v>
      </c>
      <c r="U32" s="251">
        <f t="shared" si="2"/>
        <v>116.21146003159896</v>
      </c>
      <c r="V32" s="251">
        <f t="shared" si="2"/>
        <v>116.21146003159896</v>
      </c>
      <c r="W32" s="252">
        <f t="shared" si="2"/>
        <v>116.21146003159896</v>
      </c>
      <c r="X32" s="7"/>
      <c r="Y32" s="4"/>
      <c r="Z32" s="4"/>
      <c r="AA32" s="4"/>
      <c r="AB32" s="4"/>
      <c r="AC32" s="4"/>
      <c r="AD32" s="4"/>
      <c r="AE32" s="4"/>
      <c r="AF32" s="4"/>
      <c r="AG32" s="4"/>
      <c r="AH32" s="4"/>
      <c r="AI32" s="4"/>
      <c r="AJ32" s="4"/>
      <c r="AK32" s="4"/>
      <c r="AL32" s="4"/>
      <c r="AM32" s="132"/>
    </row>
    <row r="33" spans="1:53" s="8" customFormat="1" ht="12.75">
      <c r="A33" s="7"/>
      <c r="C33" s="314"/>
      <c r="E33" s="144"/>
      <c r="F33" s="210"/>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row>
    <row r="34" spans="1:24" s="4" customFormat="1" ht="13.5" thickBot="1">
      <c r="A34" s="7"/>
      <c r="B34" s="127"/>
      <c r="C34" s="127"/>
      <c r="D34" s="127"/>
      <c r="E34" s="127"/>
      <c r="F34" s="268"/>
      <c r="G34" s="268"/>
      <c r="H34" s="268"/>
      <c r="I34" s="268"/>
      <c r="J34" s="268"/>
      <c r="K34" s="268"/>
      <c r="L34" s="268"/>
      <c r="M34" s="268"/>
      <c r="N34" s="268"/>
      <c r="O34" s="268"/>
      <c r="P34" s="268"/>
      <c r="Q34" s="268"/>
      <c r="R34" s="268"/>
      <c r="S34" s="268"/>
      <c r="T34" s="268"/>
      <c r="U34" s="268"/>
      <c r="V34" s="268"/>
      <c r="W34" s="268"/>
      <c r="X34" s="113"/>
    </row>
    <row r="35" spans="1:53" s="127" customFormat="1" ht="13.5" thickBot="1">
      <c r="A35" s="129"/>
      <c r="B35" s="269" t="s">
        <v>0</v>
      </c>
      <c r="C35" s="294"/>
      <c r="D35" s="270">
        <v>1</v>
      </c>
      <c r="E35" s="270">
        <v>2</v>
      </c>
      <c r="F35" s="270">
        <f>E35+1</f>
        <v>3</v>
      </c>
      <c r="G35" s="270">
        <f aca="true" t="shared" si="3" ref="G35:W35">F35+1</f>
        <v>4</v>
      </c>
      <c r="H35" s="270">
        <f t="shared" si="3"/>
        <v>5</v>
      </c>
      <c r="I35" s="270">
        <f t="shared" si="3"/>
        <v>6</v>
      </c>
      <c r="J35" s="270">
        <f t="shared" si="3"/>
        <v>7</v>
      </c>
      <c r="K35" s="270">
        <f t="shared" si="3"/>
        <v>8</v>
      </c>
      <c r="L35" s="270">
        <f t="shared" si="3"/>
        <v>9</v>
      </c>
      <c r="M35" s="270">
        <f t="shared" si="3"/>
        <v>10</v>
      </c>
      <c r="N35" s="270">
        <f t="shared" si="3"/>
        <v>11</v>
      </c>
      <c r="O35" s="270">
        <f t="shared" si="3"/>
        <v>12</v>
      </c>
      <c r="P35" s="270">
        <f t="shared" si="3"/>
        <v>13</v>
      </c>
      <c r="Q35" s="270">
        <f t="shared" si="3"/>
        <v>14</v>
      </c>
      <c r="R35" s="270">
        <f t="shared" si="3"/>
        <v>15</v>
      </c>
      <c r="S35" s="270">
        <f t="shared" si="3"/>
        <v>16</v>
      </c>
      <c r="T35" s="270">
        <f t="shared" si="3"/>
        <v>17</v>
      </c>
      <c r="U35" s="270">
        <f t="shared" si="3"/>
        <v>18</v>
      </c>
      <c r="V35" s="270">
        <f t="shared" si="3"/>
        <v>19</v>
      </c>
      <c r="W35" s="271">
        <f t="shared" si="3"/>
        <v>20</v>
      </c>
      <c r="X35" s="7"/>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row>
    <row r="36" spans="2:39" ht="12.75">
      <c r="B36" s="156" t="s">
        <v>161</v>
      </c>
      <c r="C36" s="157"/>
      <c r="D36" s="158">
        <f aca="true" t="shared" si="4" ref="D36:W36">$C$9</f>
        <v>100</v>
      </c>
      <c r="E36" s="158">
        <f t="shared" si="4"/>
        <v>100</v>
      </c>
      <c r="F36" s="158">
        <f t="shared" si="4"/>
        <v>100</v>
      </c>
      <c r="G36" s="158">
        <f t="shared" si="4"/>
        <v>100</v>
      </c>
      <c r="H36" s="158">
        <f t="shared" si="4"/>
        <v>100</v>
      </c>
      <c r="I36" s="158">
        <f t="shared" si="4"/>
        <v>100</v>
      </c>
      <c r="J36" s="158">
        <f t="shared" si="4"/>
        <v>100</v>
      </c>
      <c r="K36" s="158">
        <f t="shared" si="4"/>
        <v>100</v>
      </c>
      <c r="L36" s="158">
        <f t="shared" si="4"/>
        <v>100</v>
      </c>
      <c r="M36" s="158">
        <f t="shared" si="4"/>
        <v>100</v>
      </c>
      <c r="N36" s="158">
        <f t="shared" si="4"/>
        <v>100</v>
      </c>
      <c r="O36" s="158">
        <f t="shared" si="4"/>
        <v>100</v>
      </c>
      <c r="P36" s="158">
        <f t="shared" si="4"/>
        <v>100</v>
      </c>
      <c r="Q36" s="158">
        <f t="shared" si="4"/>
        <v>100</v>
      </c>
      <c r="R36" s="158">
        <f t="shared" si="4"/>
        <v>100</v>
      </c>
      <c r="S36" s="158">
        <f t="shared" si="4"/>
        <v>100</v>
      </c>
      <c r="T36" s="158">
        <f t="shared" si="4"/>
        <v>100</v>
      </c>
      <c r="U36" s="158">
        <f t="shared" si="4"/>
        <v>100</v>
      </c>
      <c r="V36" s="158">
        <f t="shared" si="4"/>
        <v>100</v>
      </c>
      <c r="W36" s="159">
        <f t="shared" si="4"/>
        <v>100</v>
      </c>
      <c r="X36" s="7"/>
      <c r="Y36" s="4"/>
      <c r="Z36" s="4"/>
      <c r="AA36" s="4"/>
      <c r="AB36" s="4"/>
      <c r="AC36" s="4"/>
      <c r="AD36" s="4"/>
      <c r="AE36" s="4"/>
      <c r="AF36" s="4"/>
      <c r="AG36" s="4"/>
      <c r="AH36" s="4"/>
      <c r="AI36" s="4"/>
      <c r="AJ36" s="4"/>
      <c r="AK36" s="4"/>
      <c r="AL36" s="4"/>
      <c r="AM36" s="132"/>
    </row>
    <row r="37" spans="2:39" ht="12.75">
      <c r="B37" s="100" t="s">
        <v>163</v>
      </c>
      <c r="C37" s="160"/>
      <c r="D37" s="160"/>
      <c r="E37" s="160"/>
      <c r="F37" s="160"/>
      <c r="G37" s="161">
        <f>5410*'ERR &amp; Sensitivity Analysis'!G13</f>
        <v>5410</v>
      </c>
      <c r="H37" s="162">
        <f>G37*(1-$C$6)</f>
        <v>4869</v>
      </c>
      <c r="I37" s="162">
        <f>H37*(1-$C$7)</f>
        <v>4625.55</v>
      </c>
      <c r="J37" s="162">
        <f aca="true" t="shared" si="5" ref="J37:W40">I37*(1-$C$7)</f>
        <v>4394.2725</v>
      </c>
      <c r="K37" s="162">
        <f t="shared" si="5"/>
        <v>4174.558875</v>
      </c>
      <c r="L37" s="162">
        <f t="shared" si="5"/>
        <v>3965.8309312499996</v>
      </c>
      <c r="M37" s="162">
        <f t="shared" si="5"/>
        <v>3767.5393846874995</v>
      </c>
      <c r="N37" s="162">
        <f t="shared" si="5"/>
        <v>3579.162415453124</v>
      </c>
      <c r="O37" s="162">
        <f t="shared" si="5"/>
        <v>3400.2042946804677</v>
      </c>
      <c r="P37" s="162">
        <f t="shared" si="5"/>
        <v>3230.194079946444</v>
      </c>
      <c r="Q37" s="162">
        <f t="shared" si="5"/>
        <v>3068.6843759491217</v>
      </c>
      <c r="R37" s="162">
        <f t="shared" si="5"/>
        <v>2915.2501571516655</v>
      </c>
      <c r="S37" s="162">
        <f t="shared" si="5"/>
        <v>2769.487649294082</v>
      </c>
      <c r="T37" s="162">
        <f t="shared" si="5"/>
        <v>2631.0132668293777</v>
      </c>
      <c r="U37" s="162">
        <f t="shared" si="5"/>
        <v>2499.462603487909</v>
      </c>
      <c r="V37" s="162">
        <f t="shared" si="5"/>
        <v>2374.4894733135134</v>
      </c>
      <c r="W37" s="163">
        <f t="shared" si="5"/>
        <v>2255.7649996478376</v>
      </c>
      <c r="X37" s="7"/>
      <c r="Y37" s="4"/>
      <c r="Z37" s="4"/>
      <c r="AA37" s="4"/>
      <c r="AB37" s="4"/>
      <c r="AC37" s="4"/>
      <c r="AD37" s="4"/>
      <c r="AE37" s="4"/>
      <c r="AF37" s="4"/>
      <c r="AG37" s="4"/>
      <c r="AH37" s="4"/>
      <c r="AI37" s="4"/>
      <c r="AJ37" s="4"/>
      <c r="AK37" s="4"/>
      <c r="AL37" s="4"/>
      <c r="AM37" s="132"/>
    </row>
    <row r="38" spans="2:39" ht="12.75">
      <c r="B38" s="164"/>
      <c r="C38" s="165"/>
      <c r="D38" s="166"/>
      <c r="E38" s="167"/>
      <c r="F38" s="168">
        <f>4690*'ERR &amp; Sensitivity Analysis'!G13</f>
        <v>4690</v>
      </c>
      <c r="G38" s="166">
        <f>F38*(1-$C$6)</f>
        <v>4221</v>
      </c>
      <c r="H38" s="166">
        <f>G38*(1-$C$7)</f>
        <v>4009.95</v>
      </c>
      <c r="I38" s="166">
        <f>H38*(1-$C$7)</f>
        <v>3809.4525</v>
      </c>
      <c r="J38" s="166">
        <f t="shared" si="5"/>
        <v>3618.9798749999995</v>
      </c>
      <c r="K38" s="166">
        <f t="shared" si="5"/>
        <v>3438.0308812499993</v>
      </c>
      <c r="L38" s="166">
        <f t="shared" si="5"/>
        <v>3266.129337187499</v>
      </c>
      <c r="M38" s="166">
        <f t="shared" si="5"/>
        <v>3102.822870328124</v>
      </c>
      <c r="N38" s="166">
        <f t="shared" si="5"/>
        <v>2947.6817268117175</v>
      </c>
      <c r="O38" s="166">
        <f t="shared" si="5"/>
        <v>2800.2976404711317</v>
      </c>
      <c r="P38" s="166">
        <f t="shared" si="5"/>
        <v>2660.282758447575</v>
      </c>
      <c r="Q38" s="166">
        <f t="shared" si="5"/>
        <v>2527.268620525196</v>
      </c>
      <c r="R38" s="166">
        <f t="shared" si="5"/>
        <v>2400.905189498936</v>
      </c>
      <c r="S38" s="166">
        <f t="shared" si="5"/>
        <v>2280.8599300239894</v>
      </c>
      <c r="T38" s="166">
        <f t="shared" si="5"/>
        <v>2166.81693352279</v>
      </c>
      <c r="U38" s="166">
        <f t="shared" si="5"/>
        <v>2058.47608684665</v>
      </c>
      <c r="V38" s="166">
        <f t="shared" si="5"/>
        <v>1955.5522825043174</v>
      </c>
      <c r="W38" s="169">
        <f t="shared" si="5"/>
        <v>1857.7746683791015</v>
      </c>
      <c r="X38" s="7"/>
      <c r="Y38" s="4"/>
      <c r="Z38" s="4"/>
      <c r="AA38" s="4"/>
      <c r="AB38" s="4"/>
      <c r="AC38" s="4"/>
      <c r="AD38" s="4"/>
      <c r="AE38" s="4"/>
      <c r="AF38" s="4"/>
      <c r="AG38" s="4"/>
      <c r="AH38" s="4"/>
      <c r="AI38" s="4"/>
      <c r="AJ38" s="4"/>
      <c r="AK38" s="4"/>
      <c r="AL38" s="4"/>
      <c r="AM38" s="132"/>
    </row>
    <row r="39" spans="2:39" ht="12.75">
      <c r="B39" s="164"/>
      <c r="C39" s="165"/>
      <c r="D39" s="166"/>
      <c r="E39" s="168">
        <f>4210*'ERR &amp; Sensitivity Analysis'!G13</f>
        <v>4210</v>
      </c>
      <c r="F39" s="166">
        <f>E39*(1-$C$6)</f>
        <v>3789</v>
      </c>
      <c r="G39" s="166">
        <f>F39*(1-$C$7)</f>
        <v>3599.5499999999997</v>
      </c>
      <c r="H39" s="166">
        <f>G39*(1-$C$7)</f>
        <v>3419.5724999999998</v>
      </c>
      <c r="I39" s="166">
        <f>H39*(1-$C$7)</f>
        <v>3248.5938749999996</v>
      </c>
      <c r="J39" s="166">
        <f t="shared" si="5"/>
        <v>3086.1641812499993</v>
      </c>
      <c r="K39" s="166">
        <f t="shared" si="5"/>
        <v>2931.855972187499</v>
      </c>
      <c r="L39" s="166">
        <f t="shared" si="5"/>
        <v>2785.2631735781238</v>
      </c>
      <c r="M39" s="166">
        <f t="shared" si="5"/>
        <v>2646.0000148992176</v>
      </c>
      <c r="N39" s="166">
        <f t="shared" si="5"/>
        <v>2513.7000141542567</v>
      </c>
      <c r="O39" s="166">
        <f t="shared" si="5"/>
        <v>2388.015013446544</v>
      </c>
      <c r="P39" s="166">
        <f t="shared" si="5"/>
        <v>2268.6142627742165</v>
      </c>
      <c r="Q39" s="166">
        <f t="shared" si="5"/>
        <v>2155.1835496355056</v>
      </c>
      <c r="R39" s="166">
        <f t="shared" si="5"/>
        <v>2047.4243721537302</v>
      </c>
      <c r="S39" s="166">
        <f t="shared" si="5"/>
        <v>1945.0531535460436</v>
      </c>
      <c r="T39" s="166">
        <f t="shared" si="5"/>
        <v>1847.8004958687413</v>
      </c>
      <c r="U39" s="166">
        <f t="shared" si="5"/>
        <v>1755.4104710753043</v>
      </c>
      <c r="V39" s="166">
        <f t="shared" si="5"/>
        <v>1667.639947521539</v>
      </c>
      <c r="W39" s="169">
        <f t="shared" si="5"/>
        <v>1584.257950145462</v>
      </c>
      <c r="X39" s="7"/>
      <c r="Y39" s="4"/>
      <c r="Z39" s="4"/>
      <c r="AA39" s="4"/>
      <c r="AB39" s="4"/>
      <c r="AC39" s="4"/>
      <c r="AD39" s="4"/>
      <c r="AE39" s="4"/>
      <c r="AF39" s="4"/>
      <c r="AG39" s="4"/>
      <c r="AH39" s="4"/>
      <c r="AI39" s="4"/>
      <c r="AJ39" s="4"/>
      <c r="AK39" s="4"/>
      <c r="AL39" s="4"/>
      <c r="AM39" s="132"/>
    </row>
    <row r="40" spans="2:39" ht="12.75">
      <c r="B40" s="171"/>
      <c r="C40" s="172"/>
      <c r="D40" s="173">
        <f>3490*'ERR &amp; Sensitivity Analysis'!G13</f>
        <v>3490</v>
      </c>
      <c r="E40" s="174">
        <f>D40*(1-$C$6)</f>
        <v>3141</v>
      </c>
      <c r="F40" s="174">
        <f>E40*(1-$C$7)</f>
        <v>2983.95</v>
      </c>
      <c r="G40" s="174">
        <f>F40*(1-$C$7)</f>
        <v>2834.7524999999996</v>
      </c>
      <c r="H40" s="174">
        <f>G40*(1-$C$7)</f>
        <v>2693.0148749999994</v>
      </c>
      <c r="I40" s="174">
        <f>H40*(1-$C$7)</f>
        <v>2558.3641312499994</v>
      </c>
      <c r="J40" s="174">
        <f t="shared" si="5"/>
        <v>2430.4459246874994</v>
      </c>
      <c r="K40" s="174">
        <f t="shared" si="5"/>
        <v>2308.9236284531244</v>
      </c>
      <c r="L40" s="174">
        <f t="shared" si="5"/>
        <v>2193.477447030468</v>
      </c>
      <c r="M40" s="174">
        <f t="shared" si="5"/>
        <v>2083.803574678944</v>
      </c>
      <c r="N40" s="174">
        <f t="shared" si="5"/>
        <v>1979.613395944997</v>
      </c>
      <c r="O40" s="174">
        <f t="shared" si="5"/>
        <v>1880.632726147747</v>
      </c>
      <c r="P40" s="174">
        <f t="shared" si="5"/>
        <v>1786.6010898403595</v>
      </c>
      <c r="Q40" s="174">
        <f t="shared" si="5"/>
        <v>1697.2710353483415</v>
      </c>
      <c r="R40" s="174">
        <f t="shared" si="5"/>
        <v>1612.4074835809242</v>
      </c>
      <c r="S40" s="174">
        <f t="shared" si="5"/>
        <v>1531.7871094018778</v>
      </c>
      <c r="T40" s="174">
        <f t="shared" si="5"/>
        <v>1455.1977539317838</v>
      </c>
      <c r="U40" s="174">
        <f t="shared" si="5"/>
        <v>1382.4378662351946</v>
      </c>
      <c r="V40" s="174">
        <f t="shared" si="5"/>
        <v>1313.3159729234349</v>
      </c>
      <c r="W40" s="175">
        <f t="shared" si="5"/>
        <v>1247.650174277263</v>
      </c>
      <c r="X40" s="7"/>
      <c r="Y40" s="4"/>
      <c r="Z40" s="4"/>
      <c r="AA40" s="4"/>
      <c r="AB40" s="4"/>
      <c r="AC40" s="4"/>
      <c r="AD40" s="4"/>
      <c r="AE40" s="4"/>
      <c r="AF40" s="4"/>
      <c r="AG40" s="4"/>
      <c r="AH40" s="4"/>
      <c r="AI40" s="4"/>
      <c r="AJ40" s="4"/>
      <c r="AK40" s="4"/>
      <c r="AL40" s="4"/>
      <c r="AM40" s="132"/>
    </row>
    <row r="41" spans="2:39" ht="13.5" thickBot="1">
      <c r="B41" s="176" t="s">
        <v>164</v>
      </c>
      <c r="C41" s="177"/>
      <c r="D41" s="12">
        <f>SUM(D37:D40)*D36</f>
        <v>349000</v>
      </c>
      <c r="E41" s="12">
        <f aca="true" t="shared" si="6" ref="E41:W41">SUM(E37:E40)*E36</f>
        <v>735100</v>
      </c>
      <c r="F41" s="12">
        <f t="shared" si="6"/>
        <v>1146295</v>
      </c>
      <c r="G41" s="12">
        <f t="shared" si="6"/>
        <v>1606530.2499999998</v>
      </c>
      <c r="H41" s="12">
        <f t="shared" si="6"/>
        <v>1499153.7375</v>
      </c>
      <c r="I41" s="12">
        <f t="shared" si="6"/>
        <v>1424196.0506250001</v>
      </c>
      <c r="J41" s="12">
        <f t="shared" si="6"/>
        <v>1352986.2480937499</v>
      </c>
      <c r="K41" s="12">
        <f t="shared" si="6"/>
        <v>1285336.9356890623</v>
      </c>
      <c r="L41" s="12">
        <f t="shared" si="6"/>
        <v>1221070.088904609</v>
      </c>
      <c r="M41" s="12">
        <f t="shared" si="6"/>
        <v>1160016.5844593784</v>
      </c>
      <c r="N41" s="12">
        <f t="shared" si="6"/>
        <v>1102015.7552364096</v>
      </c>
      <c r="O41" s="12">
        <f t="shared" si="6"/>
        <v>1046914.967474589</v>
      </c>
      <c r="P41" s="12">
        <f t="shared" si="6"/>
        <v>994569.2191008595</v>
      </c>
      <c r="Q41" s="12">
        <f t="shared" si="6"/>
        <v>944840.7581458165</v>
      </c>
      <c r="R41" s="12">
        <f t="shared" si="6"/>
        <v>897598.7202385255</v>
      </c>
      <c r="S41" s="12">
        <f t="shared" si="6"/>
        <v>852718.7842265991</v>
      </c>
      <c r="T41" s="12">
        <f t="shared" si="6"/>
        <v>810082.8450152694</v>
      </c>
      <c r="U41" s="12">
        <f t="shared" si="6"/>
        <v>769578.7027645058</v>
      </c>
      <c r="V41" s="12">
        <f t="shared" si="6"/>
        <v>731099.7676262804</v>
      </c>
      <c r="W41" s="13">
        <f t="shared" si="6"/>
        <v>694544.7792449665</v>
      </c>
      <c r="X41" s="7"/>
      <c r="Y41" s="4"/>
      <c r="Z41" s="4"/>
      <c r="AA41" s="4"/>
      <c r="AB41" s="4"/>
      <c r="AC41" s="4"/>
      <c r="AD41" s="4"/>
      <c r="AE41" s="4"/>
      <c r="AF41" s="4"/>
      <c r="AG41" s="4"/>
      <c r="AH41" s="4"/>
      <c r="AI41" s="4"/>
      <c r="AJ41" s="4"/>
      <c r="AK41" s="4"/>
      <c r="AL41" s="4"/>
      <c r="AM41" s="132"/>
    </row>
    <row r="42" spans="2:39" ht="13.5" thickBot="1">
      <c r="B42" s="167"/>
      <c r="C42" s="167"/>
      <c r="D42" s="114"/>
      <c r="E42" s="114"/>
      <c r="F42" s="114"/>
      <c r="G42" s="114"/>
      <c r="H42" s="114"/>
      <c r="I42" s="114"/>
      <c r="J42" s="114"/>
      <c r="K42" s="114"/>
      <c r="L42" s="114"/>
      <c r="M42" s="114"/>
      <c r="N42" s="114"/>
      <c r="O42" s="114"/>
      <c r="P42" s="114"/>
      <c r="Q42" s="114"/>
      <c r="R42" s="114"/>
      <c r="S42" s="114"/>
      <c r="T42" s="114"/>
      <c r="U42" s="114"/>
      <c r="V42" s="114"/>
      <c r="W42" s="114"/>
      <c r="X42" s="7"/>
      <c r="Y42" s="4"/>
      <c r="Z42" s="4"/>
      <c r="AA42" s="4"/>
      <c r="AB42" s="4"/>
      <c r="AC42" s="4"/>
      <c r="AD42" s="4"/>
      <c r="AE42" s="4"/>
      <c r="AF42" s="4"/>
      <c r="AG42" s="4"/>
      <c r="AH42" s="4"/>
      <c r="AI42" s="4"/>
      <c r="AJ42" s="4"/>
      <c r="AK42" s="4"/>
      <c r="AL42" s="4"/>
      <c r="AM42" s="132"/>
    </row>
    <row r="43" spans="1:53" s="239" customFormat="1" ht="13.5" customHeight="1" thickBot="1">
      <c r="A43" s="129"/>
      <c r="B43" s="593" t="s">
        <v>165</v>
      </c>
      <c r="C43" s="594"/>
      <c r="D43" s="272"/>
      <c r="E43" s="272"/>
      <c r="F43" s="273"/>
      <c r="G43" s="273"/>
      <c r="H43" s="273"/>
      <c r="I43" s="273"/>
      <c r="J43" s="290"/>
      <c r="K43" s="290"/>
      <c r="L43" s="290"/>
      <c r="M43" s="290"/>
      <c r="N43" s="290"/>
      <c r="O43" s="290"/>
      <c r="P43" s="290"/>
      <c r="Q43" s="290"/>
      <c r="R43" s="290"/>
      <c r="S43" s="290"/>
      <c r="T43" s="290"/>
      <c r="U43" s="290"/>
      <c r="V43" s="290"/>
      <c r="W43" s="295"/>
      <c r="X43" s="7"/>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row>
    <row r="44" spans="2:39" ht="12.75">
      <c r="B44" s="231" t="s">
        <v>127</v>
      </c>
      <c r="C44" s="315"/>
      <c r="D44" s="179"/>
      <c r="E44" s="158"/>
      <c r="F44" s="179"/>
      <c r="G44" s="179"/>
      <c r="H44" s="158">
        <f aca="true" t="shared" si="7" ref="H44:W44">G37*E31</f>
        <v>-11569735.949030694</v>
      </c>
      <c r="I44" s="158">
        <f t="shared" si="7"/>
        <v>4621484.431214844</v>
      </c>
      <c r="J44" s="158">
        <f t="shared" si="7"/>
        <v>4564057.906848079</v>
      </c>
      <c r="K44" s="158">
        <f t="shared" si="7"/>
        <v>4847842.910995428</v>
      </c>
      <c r="L44" s="158">
        <f t="shared" si="7"/>
        <v>4978438.545864026</v>
      </c>
      <c r="M44" s="158">
        <f t="shared" si="7"/>
        <v>5267039.494801223</v>
      </c>
      <c r="N44" s="158">
        <f t="shared" si="7"/>
        <v>5390434.559965623</v>
      </c>
      <c r="O44" s="158">
        <f t="shared" si="7"/>
        <v>5346384.11660992</v>
      </c>
      <c r="P44" s="158">
        <f t="shared" si="7"/>
        <v>5315832.208895561</v>
      </c>
      <c r="Q44" s="158">
        <f t="shared" si="7"/>
        <v>5146829.985240792</v>
      </c>
      <c r="R44" s="158">
        <f t="shared" si="7"/>
        <v>4889488.485978751</v>
      </c>
      <c r="S44" s="158">
        <f t="shared" si="7"/>
        <v>4645014.061679814</v>
      </c>
      <c r="T44" s="158">
        <f t="shared" si="7"/>
        <v>4412763.358595823</v>
      </c>
      <c r="U44" s="158">
        <f t="shared" si="7"/>
        <v>4192125.1906660316</v>
      </c>
      <c r="V44" s="158">
        <f t="shared" si="7"/>
        <v>3982518.93113273</v>
      </c>
      <c r="W44" s="159">
        <f t="shared" si="7"/>
        <v>3783392.9845760935</v>
      </c>
      <c r="X44" s="7"/>
      <c r="Y44" s="4"/>
      <c r="Z44" s="4"/>
      <c r="AA44" s="4"/>
      <c r="AB44" s="4"/>
      <c r="AC44" s="4"/>
      <c r="AD44" s="4"/>
      <c r="AE44" s="4"/>
      <c r="AF44" s="4"/>
      <c r="AG44" s="4"/>
      <c r="AH44" s="4"/>
      <c r="AI44" s="4"/>
      <c r="AJ44" s="4"/>
      <c r="AK44" s="4"/>
      <c r="AL44" s="4"/>
      <c r="AM44" s="132"/>
    </row>
    <row r="45" spans="2:39" ht="12.75">
      <c r="B45" s="232"/>
      <c r="C45" s="316"/>
      <c r="D45" s="167"/>
      <c r="E45" s="182"/>
      <c r="F45" s="182"/>
      <c r="G45" s="182">
        <f aca="true" t="shared" si="8" ref="G45:W45">F38*E31</f>
        <v>-10029955.933632893</v>
      </c>
      <c r="H45" s="182">
        <f t="shared" si="8"/>
        <v>4006425.505064254</v>
      </c>
      <c r="I45" s="182">
        <f t="shared" si="8"/>
        <v>3956641.697433916</v>
      </c>
      <c r="J45" s="182">
        <f t="shared" si="8"/>
        <v>4202658.641879586</v>
      </c>
      <c r="K45" s="182">
        <f t="shared" si="8"/>
        <v>4315873.711664007</v>
      </c>
      <c r="L45" s="182">
        <f t="shared" si="8"/>
        <v>4566065.661851707</v>
      </c>
      <c r="M45" s="182">
        <f t="shared" si="8"/>
        <v>4673038.463260401</v>
      </c>
      <c r="N45" s="182">
        <f t="shared" si="8"/>
        <v>4634850.555804163</v>
      </c>
      <c r="O45" s="182">
        <f t="shared" si="8"/>
        <v>4608364.706048092</v>
      </c>
      <c r="P45" s="182">
        <f t="shared" si="8"/>
        <v>4461854.4604028305</v>
      </c>
      <c r="Q45" s="182">
        <f t="shared" si="8"/>
        <v>4238761.737382689</v>
      </c>
      <c r="R45" s="182">
        <f t="shared" si="8"/>
        <v>4026823.6505135545</v>
      </c>
      <c r="S45" s="182">
        <f t="shared" si="8"/>
        <v>3825482.467987876</v>
      </c>
      <c r="T45" s="182">
        <f t="shared" si="8"/>
        <v>3634208.3445884823</v>
      </c>
      <c r="U45" s="182">
        <f t="shared" si="8"/>
        <v>3452497.927359058</v>
      </c>
      <c r="V45" s="182">
        <f t="shared" si="8"/>
        <v>3279873.030991105</v>
      </c>
      <c r="W45" s="183">
        <f t="shared" si="8"/>
        <v>3115879.3794415495</v>
      </c>
      <c r="X45" s="7"/>
      <c r="Y45" s="4"/>
      <c r="Z45" s="4"/>
      <c r="AA45" s="4"/>
      <c r="AB45" s="4"/>
      <c r="AC45" s="4"/>
      <c r="AD45" s="4"/>
      <c r="AE45" s="4"/>
      <c r="AF45" s="4"/>
      <c r="AG45" s="4"/>
      <c r="AH45" s="4"/>
      <c r="AI45" s="4"/>
      <c r="AJ45" s="4"/>
      <c r="AK45" s="4"/>
      <c r="AL45" s="4"/>
      <c r="AM45" s="132"/>
    </row>
    <row r="46" spans="2:39" ht="12.75">
      <c r="B46" s="233"/>
      <c r="C46" s="317"/>
      <c r="D46" s="167"/>
      <c r="E46" s="182"/>
      <c r="F46" s="182">
        <f aca="true" t="shared" si="9" ref="F46:W46">E39*E31</f>
        <v>-9003435.923367692</v>
      </c>
      <c r="G46" s="182">
        <f t="shared" si="9"/>
        <v>3596386.220963862</v>
      </c>
      <c r="H46" s="182">
        <f t="shared" si="9"/>
        <v>3551697.5578244748</v>
      </c>
      <c r="I46" s="182">
        <f t="shared" si="9"/>
        <v>3772535.7958023576</v>
      </c>
      <c r="J46" s="182">
        <f t="shared" si="9"/>
        <v>3874163.8221973283</v>
      </c>
      <c r="K46" s="182">
        <f t="shared" si="9"/>
        <v>4098749.7732186965</v>
      </c>
      <c r="L46" s="182">
        <f t="shared" si="9"/>
        <v>4194774.398790252</v>
      </c>
      <c r="M46" s="182">
        <f t="shared" si="9"/>
        <v>4160494.848600325</v>
      </c>
      <c r="N46" s="182">
        <f t="shared" si="9"/>
        <v>4136719.70414978</v>
      </c>
      <c r="O46" s="182">
        <f t="shared" si="9"/>
        <v>4005204.1105108564</v>
      </c>
      <c r="P46" s="182">
        <f t="shared" si="9"/>
        <v>3804943.9049853133</v>
      </c>
      <c r="Q46" s="182">
        <f t="shared" si="9"/>
        <v>3614696.7097360473</v>
      </c>
      <c r="R46" s="182">
        <f t="shared" si="9"/>
        <v>3433961.874249245</v>
      </c>
      <c r="S46" s="182">
        <f t="shared" si="9"/>
        <v>3262263.7805367825</v>
      </c>
      <c r="T46" s="182">
        <f t="shared" si="9"/>
        <v>3099150.5915099434</v>
      </c>
      <c r="U46" s="182">
        <f t="shared" si="9"/>
        <v>2944193.061934446</v>
      </c>
      <c r="V46" s="182">
        <f t="shared" si="9"/>
        <v>2796983.4088377235</v>
      </c>
      <c r="W46" s="183">
        <f t="shared" si="9"/>
        <v>2657134.238395837</v>
      </c>
      <c r="X46" s="7"/>
      <c r="Y46" s="4"/>
      <c r="Z46" s="4"/>
      <c r="AA46" s="4"/>
      <c r="AB46" s="4"/>
      <c r="AC46" s="4"/>
      <c r="AD46" s="4"/>
      <c r="AE46" s="4"/>
      <c r="AF46" s="4"/>
      <c r="AG46" s="4"/>
      <c r="AH46" s="4"/>
      <c r="AI46" s="4"/>
      <c r="AJ46" s="4"/>
      <c r="AK46" s="4"/>
      <c r="AL46" s="4"/>
      <c r="AM46" s="132"/>
    </row>
    <row r="47" spans="2:39" ht="12.75">
      <c r="B47" s="164"/>
      <c r="C47" s="167"/>
      <c r="D47" s="167"/>
      <c r="E47" s="182">
        <f aca="true" t="shared" si="10" ref="E47:W47">E31*D40</f>
        <v>-7463655.907969892</v>
      </c>
      <c r="F47" s="182">
        <f t="shared" si="10"/>
        <v>2981327.2948132725</v>
      </c>
      <c r="G47" s="182">
        <f t="shared" si="10"/>
        <v>2944281.348410313</v>
      </c>
      <c r="H47" s="182">
        <f t="shared" si="10"/>
        <v>3127351.5266865147</v>
      </c>
      <c r="I47" s="182">
        <f t="shared" si="10"/>
        <v>3211598.98799731</v>
      </c>
      <c r="J47" s="182">
        <f t="shared" si="10"/>
        <v>3397775.9402691806</v>
      </c>
      <c r="K47" s="182">
        <f t="shared" si="10"/>
        <v>3477378.3020850318</v>
      </c>
      <c r="L47" s="182">
        <f t="shared" si="10"/>
        <v>3448961.2877945695</v>
      </c>
      <c r="M47" s="182">
        <f t="shared" si="10"/>
        <v>3429252.2013023114</v>
      </c>
      <c r="N47" s="182">
        <f t="shared" si="10"/>
        <v>3320228.5856728945</v>
      </c>
      <c r="O47" s="182">
        <f t="shared" si="10"/>
        <v>3154217.15638925</v>
      </c>
      <c r="P47" s="182">
        <f t="shared" si="10"/>
        <v>2996506.2985697873</v>
      </c>
      <c r="Q47" s="182">
        <f t="shared" si="10"/>
        <v>2846680.9836412976</v>
      </c>
      <c r="R47" s="182">
        <f t="shared" si="10"/>
        <v>2704346.9344592327</v>
      </c>
      <c r="S47" s="182">
        <f t="shared" si="10"/>
        <v>2569129.587736271</v>
      </c>
      <c r="T47" s="182">
        <f t="shared" si="10"/>
        <v>2440673.108349457</v>
      </c>
      <c r="U47" s="182">
        <f t="shared" si="10"/>
        <v>2318639.452931984</v>
      </c>
      <c r="V47" s="182">
        <f t="shared" si="10"/>
        <v>2202707.4802853847</v>
      </c>
      <c r="W47" s="183">
        <f t="shared" si="10"/>
        <v>2092572.1062711154</v>
      </c>
      <c r="X47" s="7"/>
      <c r="Y47" s="4"/>
      <c r="Z47" s="4"/>
      <c r="AA47" s="4"/>
      <c r="AB47" s="4"/>
      <c r="AC47" s="4"/>
      <c r="AD47" s="4"/>
      <c r="AE47" s="4"/>
      <c r="AF47" s="4"/>
      <c r="AG47" s="4"/>
      <c r="AH47" s="4"/>
      <c r="AI47" s="4"/>
      <c r="AJ47" s="4"/>
      <c r="AK47" s="4"/>
      <c r="AL47" s="4"/>
      <c r="AM47" s="132"/>
    </row>
    <row r="48" spans="2:39" ht="13.5" thickBot="1">
      <c r="B48" s="318" t="s">
        <v>2</v>
      </c>
      <c r="C48" s="319"/>
      <c r="D48" s="6"/>
      <c r="E48" s="12">
        <f>SUM(E44:E47)</f>
        <v>-7463655.907969892</v>
      </c>
      <c r="F48" s="12">
        <f aca="true" t="shared" si="11" ref="F48:W48">SUM(F44:F47)</f>
        <v>-6022108.62855442</v>
      </c>
      <c r="G48" s="12">
        <f t="shared" si="11"/>
        <v>-3489288.3642587187</v>
      </c>
      <c r="H48" s="12">
        <f t="shared" si="11"/>
        <v>-884261.3594554495</v>
      </c>
      <c r="I48" s="12">
        <f t="shared" si="11"/>
        <v>15562260.912448427</v>
      </c>
      <c r="J48" s="12">
        <f t="shared" si="11"/>
        <v>16038656.311194174</v>
      </c>
      <c r="K48" s="12">
        <f t="shared" si="11"/>
        <v>16739844.697963163</v>
      </c>
      <c r="L48" s="12">
        <f t="shared" si="11"/>
        <v>17188239.894300558</v>
      </c>
      <c r="M48" s="12">
        <f t="shared" si="11"/>
        <v>17529825.00796426</v>
      </c>
      <c r="N48" s="12">
        <f t="shared" si="11"/>
        <v>17482233.405592456</v>
      </c>
      <c r="O48" s="12">
        <f t="shared" si="11"/>
        <v>17114170.089558117</v>
      </c>
      <c r="P48" s="12">
        <f t="shared" si="11"/>
        <v>16579136.872853491</v>
      </c>
      <c r="Q48" s="12">
        <f t="shared" si="11"/>
        <v>15846969.416000824</v>
      </c>
      <c r="R48" s="12">
        <f t="shared" si="11"/>
        <v>15054620.945200782</v>
      </c>
      <c r="S48" s="12">
        <f t="shared" si="11"/>
        <v>14301889.897940744</v>
      </c>
      <c r="T48" s="12">
        <f t="shared" si="11"/>
        <v>13586795.403043706</v>
      </c>
      <c r="U48" s="12">
        <f t="shared" si="11"/>
        <v>12907455.632891519</v>
      </c>
      <c r="V48" s="12">
        <f t="shared" si="11"/>
        <v>12262082.851246942</v>
      </c>
      <c r="W48" s="13">
        <f t="shared" si="11"/>
        <v>11648978.708684595</v>
      </c>
      <c r="X48" s="7"/>
      <c r="Y48" s="4"/>
      <c r="Z48" s="4"/>
      <c r="AA48" s="4"/>
      <c r="AB48" s="4"/>
      <c r="AC48" s="4"/>
      <c r="AD48" s="4"/>
      <c r="AE48" s="4"/>
      <c r="AF48" s="4"/>
      <c r="AG48" s="4"/>
      <c r="AH48" s="4"/>
      <c r="AI48" s="4"/>
      <c r="AJ48" s="4"/>
      <c r="AK48" s="4"/>
      <c r="AL48" s="4"/>
      <c r="AM48" s="132"/>
    </row>
    <row r="49" spans="2:39" ht="12.75">
      <c r="B49" s="235" t="s">
        <v>52</v>
      </c>
      <c r="C49" s="320"/>
      <c r="D49" s="179"/>
      <c r="E49" s="179"/>
      <c r="F49" s="179"/>
      <c r="G49" s="179"/>
      <c r="H49" s="158">
        <f aca="true" t="shared" si="12" ref="H49:W49">G37*E32</f>
        <v>746670.1666666667</v>
      </c>
      <c r="I49" s="158">
        <f t="shared" si="12"/>
        <v>520268.88</v>
      </c>
      <c r="J49" s="158">
        <f t="shared" si="12"/>
        <v>498788.475</v>
      </c>
      <c r="K49" s="158">
        <f t="shared" si="12"/>
        <v>478370.75765249995</v>
      </c>
      <c r="L49" s="158">
        <f t="shared" si="12"/>
        <v>458962.62190636876</v>
      </c>
      <c r="M49" s="158">
        <f t="shared" si="12"/>
        <v>440513.61694220273</v>
      </c>
      <c r="N49" s="158">
        <f t="shared" si="12"/>
        <v>422975.8144109172</v>
      </c>
      <c r="O49" s="158">
        <f t="shared" si="12"/>
        <v>406303.68231040647</v>
      </c>
      <c r="P49" s="158">
        <f t="shared" si="12"/>
        <v>391023.4938882538</v>
      </c>
      <c r="Q49" s="158">
        <f t="shared" si="12"/>
        <v>375385.57021600375</v>
      </c>
      <c r="R49" s="158">
        <f t="shared" si="12"/>
        <v>356616.29170520353</v>
      </c>
      <c r="S49" s="158">
        <f t="shared" si="12"/>
        <v>338785.47711994336</v>
      </c>
      <c r="T49" s="158">
        <f t="shared" si="12"/>
        <v>321846.20326394617</v>
      </c>
      <c r="U49" s="158">
        <f t="shared" si="12"/>
        <v>305753.8931007488</v>
      </c>
      <c r="V49" s="158">
        <f t="shared" si="12"/>
        <v>290466.1984457114</v>
      </c>
      <c r="W49" s="159">
        <f t="shared" si="12"/>
        <v>275942.88852342585</v>
      </c>
      <c r="X49" s="7"/>
      <c r="Y49" s="4"/>
      <c r="Z49" s="4"/>
      <c r="AA49" s="4"/>
      <c r="AB49" s="4"/>
      <c r="AC49" s="4"/>
      <c r="AD49" s="4"/>
      <c r="AE49" s="4"/>
      <c r="AF49" s="4"/>
      <c r="AG49" s="4"/>
      <c r="AH49" s="4"/>
      <c r="AI49" s="4"/>
      <c r="AJ49" s="4"/>
      <c r="AK49" s="4"/>
      <c r="AL49" s="4"/>
      <c r="AM49" s="132"/>
    </row>
    <row r="50" spans="2:39" ht="12.75">
      <c r="B50" s="233"/>
      <c r="C50" s="317"/>
      <c r="D50" s="167"/>
      <c r="E50" s="182"/>
      <c r="F50" s="182"/>
      <c r="G50" s="182">
        <f aca="true" t="shared" si="13" ref="G50:W50">F38*E32</f>
        <v>647298.1666666667</v>
      </c>
      <c r="H50" s="182">
        <f t="shared" si="13"/>
        <v>451027.92000000004</v>
      </c>
      <c r="I50" s="182">
        <f t="shared" si="13"/>
        <v>432406.27499999997</v>
      </c>
      <c r="J50" s="182">
        <f t="shared" si="13"/>
        <v>414705.88787249994</v>
      </c>
      <c r="K50" s="182">
        <f t="shared" si="13"/>
        <v>397880.72028481873</v>
      </c>
      <c r="L50" s="182">
        <f t="shared" si="13"/>
        <v>381887.0357595066</v>
      </c>
      <c r="M50" s="182">
        <f t="shared" si="13"/>
        <v>366683.2845817378</v>
      </c>
      <c r="N50" s="182">
        <f t="shared" si="13"/>
        <v>352229.994461332</v>
      </c>
      <c r="O50" s="182">
        <f t="shared" si="13"/>
        <v>338983.3985833475</v>
      </c>
      <c r="P50" s="182">
        <f t="shared" si="13"/>
        <v>325426.67732219177</v>
      </c>
      <c r="Q50" s="182">
        <f t="shared" si="13"/>
        <v>309155.34345608216</v>
      </c>
      <c r="R50" s="182">
        <f t="shared" si="13"/>
        <v>293697.57628327806</v>
      </c>
      <c r="S50" s="182">
        <f t="shared" si="13"/>
        <v>279012.69746911415</v>
      </c>
      <c r="T50" s="182">
        <f t="shared" si="13"/>
        <v>265062.06259565847</v>
      </c>
      <c r="U50" s="182">
        <f t="shared" si="13"/>
        <v>251808.95946587552</v>
      </c>
      <c r="V50" s="182">
        <f t="shared" si="13"/>
        <v>239218.51149258172</v>
      </c>
      <c r="W50" s="183">
        <f t="shared" si="13"/>
        <v>227257.58591795262</v>
      </c>
      <c r="X50" s="7"/>
      <c r="Y50" s="4"/>
      <c r="Z50" s="4"/>
      <c r="AA50" s="4"/>
      <c r="AB50" s="4"/>
      <c r="AC50" s="4"/>
      <c r="AD50" s="4"/>
      <c r="AE50" s="4"/>
      <c r="AF50" s="4"/>
      <c r="AG50" s="4"/>
      <c r="AH50" s="4"/>
      <c r="AI50" s="4"/>
      <c r="AJ50" s="4"/>
      <c r="AK50" s="4"/>
      <c r="AL50" s="4"/>
      <c r="AM50" s="132"/>
    </row>
    <row r="51" spans="2:39" ht="12.75">
      <c r="B51" s="164"/>
      <c r="C51" s="167"/>
      <c r="D51" s="167"/>
      <c r="E51" s="182"/>
      <c r="F51" s="182">
        <f aca="true" t="shared" si="14" ref="F51:W51">E39*E32</f>
        <v>581050.1666666667</v>
      </c>
      <c r="G51" s="182">
        <f t="shared" si="14"/>
        <v>404867.28</v>
      </c>
      <c r="H51" s="182">
        <f t="shared" si="14"/>
        <v>388151.475</v>
      </c>
      <c r="I51" s="182">
        <f t="shared" si="14"/>
        <v>372262.64135249995</v>
      </c>
      <c r="J51" s="182">
        <f t="shared" si="14"/>
        <v>357159.4525371187</v>
      </c>
      <c r="K51" s="182">
        <f t="shared" si="14"/>
        <v>342802.6483043758</v>
      </c>
      <c r="L51" s="182">
        <f t="shared" si="14"/>
        <v>329154.9313622849</v>
      </c>
      <c r="M51" s="182">
        <f t="shared" si="14"/>
        <v>316180.86922861566</v>
      </c>
      <c r="N51" s="182">
        <f t="shared" si="14"/>
        <v>304290.00171341</v>
      </c>
      <c r="O51" s="182">
        <f t="shared" si="14"/>
        <v>292120.74872631714</v>
      </c>
      <c r="P51" s="182">
        <f t="shared" si="14"/>
        <v>277514.7112900013</v>
      </c>
      <c r="Q51" s="182">
        <f t="shared" si="14"/>
        <v>263638.9757255012</v>
      </c>
      <c r="R51" s="182">
        <f t="shared" si="14"/>
        <v>250457.02693922614</v>
      </c>
      <c r="S51" s="182">
        <f t="shared" si="14"/>
        <v>237934.17559226483</v>
      </c>
      <c r="T51" s="182">
        <f t="shared" si="14"/>
        <v>226037.46681265158</v>
      </c>
      <c r="U51" s="182">
        <f t="shared" si="14"/>
        <v>214735.59347201898</v>
      </c>
      <c r="V51" s="182">
        <f t="shared" si="14"/>
        <v>203998.81379841804</v>
      </c>
      <c r="W51" s="183">
        <f t="shared" si="14"/>
        <v>193798.87310849712</v>
      </c>
      <c r="X51" s="7"/>
      <c r="Y51" s="4"/>
      <c r="Z51" s="4"/>
      <c r="AA51" s="4"/>
      <c r="AB51" s="4"/>
      <c r="AC51" s="4"/>
      <c r="AD51" s="4"/>
      <c r="AE51" s="4"/>
      <c r="AF51" s="4"/>
      <c r="AG51" s="4"/>
      <c r="AH51" s="4"/>
      <c r="AI51" s="4"/>
      <c r="AJ51" s="4"/>
      <c r="AK51" s="4"/>
      <c r="AL51" s="4"/>
      <c r="AM51" s="132"/>
    </row>
    <row r="52" spans="2:39" ht="12.75">
      <c r="B52" s="164"/>
      <c r="C52" s="167"/>
      <c r="D52" s="167"/>
      <c r="E52" s="182">
        <f aca="true" t="shared" si="15" ref="E52:W52">D40*E32</f>
        <v>481678.1666666667</v>
      </c>
      <c r="F52" s="182">
        <f t="shared" si="15"/>
        <v>335626.32</v>
      </c>
      <c r="G52" s="182">
        <f t="shared" si="15"/>
        <v>321769.27499999997</v>
      </c>
      <c r="H52" s="182">
        <f t="shared" si="15"/>
        <v>308597.77157249994</v>
      </c>
      <c r="I52" s="182">
        <f t="shared" si="15"/>
        <v>296077.5509155687</v>
      </c>
      <c r="J52" s="182">
        <f t="shared" si="15"/>
        <v>284176.0671216797</v>
      </c>
      <c r="K52" s="182">
        <f t="shared" si="15"/>
        <v>272862.4015331055</v>
      </c>
      <c r="L52" s="182">
        <f t="shared" si="15"/>
        <v>262107.18137954132</v>
      </c>
      <c r="M52" s="182">
        <f t="shared" si="15"/>
        <v>252249.9064085038</v>
      </c>
      <c r="N52" s="182">
        <f t="shared" si="15"/>
        <v>242161.85583250516</v>
      </c>
      <c r="O52" s="182">
        <f t="shared" si="15"/>
        <v>230053.7630408799</v>
      </c>
      <c r="P52" s="182">
        <f t="shared" si="15"/>
        <v>218551.0748888359</v>
      </c>
      <c r="Q52" s="182">
        <f t="shared" si="15"/>
        <v>207623.52114439406</v>
      </c>
      <c r="R52" s="182">
        <f t="shared" si="15"/>
        <v>197242.34508717436</v>
      </c>
      <c r="S52" s="182">
        <f t="shared" si="15"/>
        <v>187380.22783281564</v>
      </c>
      <c r="T52" s="182">
        <f t="shared" si="15"/>
        <v>178011.21644117482</v>
      </c>
      <c r="U52" s="182">
        <f t="shared" si="15"/>
        <v>169110.65561911606</v>
      </c>
      <c r="V52" s="182">
        <f t="shared" si="15"/>
        <v>160655.12283816029</v>
      </c>
      <c r="W52" s="183">
        <f t="shared" si="15"/>
        <v>152622.36669625225</v>
      </c>
      <c r="X52" s="7"/>
      <c r="Y52" s="4"/>
      <c r="Z52" s="4"/>
      <c r="AA52" s="4"/>
      <c r="AB52" s="4"/>
      <c r="AC52" s="4"/>
      <c r="AD52" s="4"/>
      <c r="AE52" s="4"/>
      <c r="AF52" s="4"/>
      <c r="AG52" s="4"/>
      <c r="AH52" s="4"/>
      <c r="AI52" s="4"/>
      <c r="AJ52" s="4"/>
      <c r="AK52" s="4"/>
      <c r="AL52" s="4"/>
      <c r="AM52" s="132"/>
    </row>
    <row r="53" spans="2:39" ht="13.5" thickBot="1">
      <c r="B53" s="318" t="s">
        <v>2</v>
      </c>
      <c r="C53" s="319"/>
      <c r="D53" s="6"/>
      <c r="E53" s="12">
        <f>SUM(E49:E52)</f>
        <v>481678.1666666667</v>
      </c>
      <c r="F53" s="12">
        <f aca="true" t="shared" si="16" ref="F53:W53">SUM(F49:F52)</f>
        <v>916676.4866666668</v>
      </c>
      <c r="G53" s="12">
        <f t="shared" si="16"/>
        <v>1373934.7216666667</v>
      </c>
      <c r="H53" s="12">
        <f t="shared" si="16"/>
        <v>1894447.333239167</v>
      </c>
      <c r="I53" s="12">
        <f t="shared" si="16"/>
        <v>1621015.3472680687</v>
      </c>
      <c r="J53" s="12">
        <f t="shared" si="16"/>
        <v>1554829.8825312983</v>
      </c>
      <c r="K53" s="12">
        <f t="shared" si="16"/>
        <v>1491916.5277748</v>
      </c>
      <c r="L53" s="12">
        <f t="shared" si="16"/>
        <v>1432111.7704077014</v>
      </c>
      <c r="M53" s="12">
        <f t="shared" si="16"/>
        <v>1375627.67716106</v>
      </c>
      <c r="N53" s="12">
        <f t="shared" si="16"/>
        <v>1321657.6664181645</v>
      </c>
      <c r="O53" s="12">
        <f t="shared" si="16"/>
        <v>1267461.5926609512</v>
      </c>
      <c r="P53" s="12">
        <f t="shared" si="16"/>
        <v>1212515.9573892828</v>
      </c>
      <c r="Q53" s="12">
        <f t="shared" si="16"/>
        <v>1155803.410541981</v>
      </c>
      <c r="R53" s="12">
        <f t="shared" si="16"/>
        <v>1098013.240014882</v>
      </c>
      <c r="S53" s="12">
        <f t="shared" si="16"/>
        <v>1043112.5780141379</v>
      </c>
      <c r="T53" s="12">
        <f t="shared" si="16"/>
        <v>990956.949113431</v>
      </c>
      <c r="U53" s="12">
        <f t="shared" si="16"/>
        <v>941409.1016577593</v>
      </c>
      <c r="V53" s="12">
        <f t="shared" si="16"/>
        <v>894338.6465748714</v>
      </c>
      <c r="W53" s="13">
        <f t="shared" si="16"/>
        <v>849621.7142461279</v>
      </c>
      <c r="X53" s="7"/>
      <c r="Y53" s="4"/>
      <c r="Z53" s="4"/>
      <c r="AA53" s="4"/>
      <c r="AB53" s="4"/>
      <c r="AC53" s="4"/>
      <c r="AD53" s="4"/>
      <c r="AE53" s="4"/>
      <c r="AF53" s="4"/>
      <c r="AG53" s="4"/>
      <c r="AH53" s="4"/>
      <c r="AI53" s="4"/>
      <c r="AJ53" s="4"/>
      <c r="AK53" s="4"/>
      <c r="AL53" s="4"/>
      <c r="AM53" s="132"/>
    </row>
    <row r="54" spans="2:39" ht="12.75">
      <c r="B54" s="296" t="s">
        <v>151</v>
      </c>
      <c r="C54" s="242"/>
      <c r="D54" s="297">
        <f>D41*0.6</f>
        <v>209400</v>
      </c>
      <c r="E54" s="297">
        <f aca="true" t="shared" si="17" ref="E54:W54">E41*0.6</f>
        <v>441060</v>
      </c>
      <c r="F54" s="297">
        <f t="shared" si="17"/>
        <v>687777</v>
      </c>
      <c r="G54" s="297">
        <f t="shared" si="17"/>
        <v>963918.1499999998</v>
      </c>
      <c r="H54" s="297">
        <f t="shared" si="17"/>
        <v>899492.2425</v>
      </c>
      <c r="I54" s="297">
        <f t="shared" si="17"/>
        <v>854517.6303750001</v>
      </c>
      <c r="J54" s="297">
        <f t="shared" si="17"/>
        <v>811791.7488562498</v>
      </c>
      <c r="K54" s="297">
        <f t="shared" si="17"/>
        <v>771202.1614134373</v>
      </c>
      <c r="L54" s="297">
        <f t="shared" si="17"/>
        <v>732642.0533427653</v>
      </c>
      <c r="M54" s="297">
        <f t="shared" si="17"/>
        <v>696009.950675627</v>
      </c>
      <c r="N54" s="297">
        <f t="shared" si="17"/>
        <v>661209.4531418458</v>
      </c>
      <c r="O54" s="297">
        <f t="shared" si="17"/>
        <v>628148.9804847534</v>
      </c>
      <c r="P54" s="297">
        <f t="shared" si="17"/>
        <v>596741.5314605157</v>
      </c>
      <c r="Q54" s="297">
        <f t="shared" si="17"/>
        <v>566904.4548874899</v>
      </c>
      <c r="R54" s="297">
        <f t="shared" si="17"/>
        <v>538559.2321431153</v>
      </c>
      <c r="S54" s="297">
        <f t="shared" si="17"/>
        <v>511631.27053595945</v>
      </c>
      <c r="T54" s="297">
        <f t="shared" si="17"/>
        <v>486049.7070091616</v>
      </c>
      <c r="U54" s="297">
        <f t="shared" si="17"/>
        <v>461747.22165870346</v>
      </c>
      <c r="V54" s="297">
        <f t="shared" si="17"/>
        <v>438659.8605757682</v>
      </c>
      <c r="W54" s="298">
        <f t="shared" si="17"/>
        <v>416726.86754697986</v>
      </c>
      <c r="X54" s="7"/>
      <c r="Y54" s="4"/>
      <c r="Z54" s="4"/>
      <c r="AA54" s="4"/>
      <c r="AB54" s="4"/>
      <c r="AC54" s="4"/>
      <c r="AD54" s="4"/>
      <c r="AE54" s="4"/>
      <c r="AF54" s="4"/>
      <c r="AG54" s="4"/>
      <c r="AH54" s="4"/>
      <c r="AI54" s="4"/>
      <c r="AJ54" s="4"/>
      <c r="AK54" s="4"/>
      <c r="AL54" s="4"/>
      <c r="AM54" s="132"/>
    </row>
    <row r="55" spans="2:39" ht="13.5" thickBot="1">
      <c r="B55" s="248" t="s">
        <v>152</v>
      </c>
      <c r="C55" s="249"/>
      <c r="D55" s="250">
        <f>D41*0.4</f>
        <v>139600</v>
      </c>
      <c r="E55" s="250">
        <f aca="true" t="shared" si="18" ref="E55:W55">E41*0.4</f>
        <v>294040</v>
      </c>
      <c r="F55" s="250">
        <f t="shared" si="18"/>
        <v>458518</v>
      </c>
      <c r="G55" s="250">
        <f t="shared" si="18"/>
        <v>642612.1</v>
      </c>
      <c r="H55" s="250">
        <f t="shared" si="18"/>
        <v>599661.495</v>
      </c>
      <c r="I55" s="250">
        <f t="shared" si="18"/>
        <v>569678.4202500001</v>
      </c>
      <c r="J55" s="250">
        <f t="shared" si="18"/>
        <v>541194.4992375</v>
      </c>
      <c r="K55" s="250">
        <f t="shared" si="18"/>
        <v>514134.77427562495</v>
      </c>
      <c r="L55" s="250">
        <f t="shared" si="18"/>
        <v>488428.0355618436</v>
      </c>
      <c r="M55" s="250">
        <f t="shared" si="18"/>
        <v>464006.6337837514</v>
      </c>
      <c r="N55" s="250">
        <f t="shared" si="18"/>
        <v>440806.30209456384</v>
      </c>
      <c r="O55" s="250">
        <f t="shared" si="18"/>
        <v>418765.9869898356</v>
      </c>
      <c r="P55" s="250">
        <f t="shared" si="18"/>
        <v>397827.6876403438</v>
      </c>
      <c r="Q55" s="250">
        <f t="shared" si="18"/>
        <v>377936.3032583266</v>
      </c>
      <c r="R55" s="250">
        <f t="shared" si="18"/>
        <v>359039.4880954102</v>
      </c>
      <c r="S55" s="250">
        <f t="shared" si="18"/>
        <v>341087.5136906397</v>
      </c>
      <c r="T55" s="250">
        <f t="shared" si="18"/>
        <v>324033.13800610777</v>
      </c>
      <c r="U55" s="250">
        <f t="shared" si="18"/>
        <v>307831.4811058023</v>
      </c>
      <c r="V55" s="250">
        <f t="shared" si="18"/>
        <v>292439.9070505122</v>
      </c>
      <c r="W55" s="299">
        <f t="shared" si="18"/>
        <v>277817.9116979866</v>
      </c>
      <c r="X55" s="7"/>
      <c r="Y55" s="4"/>
      <c r="Z55" s="4"/>
      <c r="AA55" s="4"/>
      <c r="AB55" s="4"/>
      <c r="AC55" s="4"/>
      <c r="AD55" s="4"/>
      <c r="AE55" s="4"/>
      <c r="AF55" s="4"/>
      <c r="AG55" s="4"/>
      <c r="AH55" s="4"/>
      <c r="AI55" s="4"/>
      <c r="AJ55" s="4"/>
      <c r="AK55" s="4"/>
      <c r="AL55" s="4"/>
      <c r="AM55" s="132"/>
    </row>
    <row r="56" spans="2:39" ht="13.5" thickBot="1">
      <c r="B56" s="300"/>
      <c r="C56" s="290"/>
      <c r="D56" s="290"/>
      <c r="E56" s="290"/>
      <c r="F56" s="301"/>
      <c r="G56" s="301"/>
      <c r="H56" s="301"/>
      <c r="I56" s="301"/>
      <c r="J56" s="301"/>
      <c r="K56" s="301"/>
      <c r="L56" s="301"/>
      <c r="M56" s="301"/>
      <c r="N56" s="301"/>
      <c r="O56" s="301"/>
      <c r="P56" s="301"/>
      <c r="Q56" s="301"/>
      <c r="R56" s="301"/>
      <c r="S56" s="301"/>
      <c r="T56" s="301"/>
      <c r="U56" s="301"/>
      <c r="V56" s="301"/>
      <c r="W56" s="302"/>
      <c r="X56" s="212"/>
      <c r="Y56" s="4"/>
      <c r="Z56" s="4"/>
      <c r="AA56" s="4"/>
      <c r="AB56" s="4"/>
      <c r="AC56" s="4"/>
      <c r="AD56" s="4"/>
      <c r="AE56" s="4"/>
      <c r="AF56" s="4"/>
      <c r="AG56" s="4"/>
      <c r="AH56" s="4"/>
      <c r="AI56" s="4"/>
      <c r="AJ56" s="4"/>
      <c r="AK56" s="4"/>
      <c r="AL56" s="4"/>
      <c r="AM56" s="132"/>
    </row>
    <row r="57" spans="2:39" ht="13.5" thickBot="1">
      <c r="B57" s="156" t="s">
        <v>166</v>
      </c>
      <c r="C57" s="197">
        <f>D53+D48-D13-C41</f>
        <v>-2701433.26763664</v>
      </c>
      <c r="D57" s="197">
        <f>D53+D48-E13-D41</f>
        <v>-2337125.95398301</v>
      </c>
      <c r="E57" s="197">
        <f>E53+E48-F13-E41</f>
        <v>-9658465.653280254</v>
      </c>
      <c r="F57" s="197">
        <f>F53+F48-G13-F41</f>
        <v>-7924035.363992462</v>
      </c>
      <c r="G57" s="197">
        <f>G53+G48-G41</f>
        <v>-3721883.892592052</v>
      </c>
      <c r="H57" s="197">
        <f aca="true" t="shared" si="19" ref="H57:W57">H53+H48-I13-H41</f>
        <v>-488967.76371628256</v>
      </c>
      <c r="I57" s="197">
        <f t="shared" si="19"/>
        <v>15759080.209091496</v>
      </c>
      <c r="J57" s="197">
        <f t="shared" si="19"/>
        <v>16240499.945631724</v>
      </c>
      <c r="K57" s="197">
        <f t="shared" si="19"/>
        <v>16946424.2900489</v>
      </c>
      <c r="L57" s="197">
        <f t="shared" si="19"/>
        <v>17399281.575803652</v>
      </c>
      <c r="M57" s="197">
        <f t="shared" si="19"/>
        <v>17745436.10066594</v>
      </c>
      <c r="N57" s="197">
        <f t="shared" si="19"/>
        <v>17701875.31677421</v>
      </c>
      <c r="O57" s="197">
        <f t="shared" si="19"/>
        <v>17334716.714744482</v>
      </c>
      <c r="P57" s="197">
        <f t="shared" si="19"/>
        <v>16797083.611141916</v>
      </c>
      <c r="Q57" s="197">
        <f t="shared" si="19"/>
        <v>16057932.06839699</v>
      </c>
      <c r="R57" s="197">
        <f t="shared" si="19"/>
        <v>15255035.46497714</v>
      </c>
      <c r="S57" s="197">
        <f t="shared" si="19"/>
        <v>14492283.691728283</v>
      </c>
      <c r="T57" s="197">
        <f t="shared" si="19"/>
        <v>13767669.507141868</v>
      </c>
      <c r="U57" s="197">
        <f t="shared" si="19"/>
        <v>13079286.031784773</v>
      </c>
      <c r="V57" s="197">
        <f t="shared" si="19"/>
        <v>12425321.730195533</v>
      </c>
      <c r="W57" s="198">
        <f t="shared" si="19"/>
        <v>11804055.643685756</v>
      </c>
      <c r="X57" s="7"/>
      <c r="Y57" s="4"/>
      <c r="Z57" s="4"/>
      <c r="AA57" s="4"/>
      <c r="AB57" s="4"/>
      <c r="AC57" s="4"/>
      <c r="AD57" s="4"/>
      <c r="AE57" s="4"/>
      <c r="AF57" s="4"/>
      <c r="AG57" s="4"/>
      <c r="AH57" s="4"/>
      <c r="AI57" s="4"/>
      <c r="AJ57" s="4"/>
      <c r="AK57" s="4"/>
      <c r="AL57" s="4"/>
      <c r="AM57" s="132"/>
    </row>
    <row r="58" spans="2:39" ht="13.5" thickBot="1">
      <c r="B58" s="9" t="s">
        <v>155</v>
      </c>
      <c r="C58" s="11">
        <f>IRR(C57:W57)</f>
        <v>0.29056095064725235</v>
      </c>
      <c r="D58" s="177"/>
      <c r="E58" s="199"/>
      <c r="F58" s="199"/>
      <c r="G58" s="199"/>
      <c r="H58" s="199"/>
      <c r="I58" s="199"/>
      <c r="J58" s="199"/>
      <c r="K58" s="199"/>
      <c r="L58" s="199"/>
      <c r="M58" s="199"/>
      <c r="N58" s="199"/>
      <c r="O58" s="199"/>
      <c r="P58" s="199"/>
      <c r="Q58" s="199"/>
      <c r="R58" s="199"/>
      <c r="S58" s="199"/>
      <c r="T58" s="199"/>
      <c r="U58" s="199"/>
      <c r="V58" s="199"/>
      <c r="W58" s="200"/>
      <c r="X58" s="7"/>
      <c r="Y58" s="4"/>
      <c r="Z58" s="4"/>
      <c r="AA58" s="4"/>
      <c r="AB58" s="4"/>
      <c r="AC58" s="4"/>
      <c r="AD58" s="4"/>
      <c r="AE58" s="4"/>
      <c r="AF58" s="4"/>
      <c r="AG58" s="4"/>
      <c r="AH58" s="4"/>
      <c r="AI58" s="4"/>
      <c r="AJ58" s="4"/>
      <c r="AK58" s="4"/>
      <c r="AL58" s="4"/>
      <c r="AM58" s="132"/>
    </row>
    <row r="59" spans="2:39" ht="13.5" thickBot="1">
      <c r="B59" s="102" t="s">
        <v>156</v>
      </c>
      <c r="C59" s="238">
        <f>IRR(C57:L57)</f>
        <v>0.18945428842015186</v>
      </c>
      <c r="D59" s="24"/>
      <c r="E59" s="24"/>
      <c r="F59" s="24"/>
      <c r="G59" s="24"/>
      <c r="H59" s="24"/>
      <c r="I59" s="24"/>
      <c r="J59" s="24"/>
      <c r="K59" s="24"/>
      <c r="L59" s="24"/>
      <c r="M59" s="24"/>
      <c r="N59" s="24"/>
      <c r="O59" s="24"/>
      <c r="P59" s="24"/>
      <c r="Q59" s="24"/>
      <c r="R59" s="24"/>
      <c r="S59" s="24"/>
      <c r="T59" s="24"/>
      <c r="U59" s="24"/>
      <c r="V59" s="24"/>
      <c r="W59" s="24"/>
      <c r="X59" s="7"/>
      <c r="Y59" s="4"/>
      <c r="Z59" s="4"/>
      <c r="AA59" s="4"/>
      <c r="AB59" s="4"/>
      <c r="AC59" s="4"/>
      <c r="AD59" s="4"/>
      <c r="AE59" s="4"/>
      <c r="AF59" s="4"/>
      <c r="AG59" s="4"/>
      <c r="AH59" s="4"/>
      <c r="AI59" s="4"/>
      <c r="AJ59" s="4"/>
      <c r="AK59" s="4"/>
      <c r="AL59" s="4"/>
      <c r="AM59" s="132"/>
    </row>
    <row r="60" spans="1:39" ht="12.75">
      <c r="A60" s="7"/>
      <c r="B60" s="8"/>
      <c r="C60" s="8"/>
      <c r="D60" s="8"/>
      <c r="E60" s="8"/>
      <c r="F60" s="8"/>
      <c r="G60" s="8"/>
      <c r="H60" s="8"/>
      <c r="I60" s="8"/>
      <c r="J60" s="8"/>
      <c r="K60" s="8"/>
      <c r="L60" s="8"/>
      <c r="M60" s="8"/>
      <c r="N60" s="8"/>
      <c r="O60" s="8"/>
      <c r="P60" s="8"/>
      <c r="Q60" s="8"/>
      <c r="R60" s="8"/>
      <c r="S60" s="8"/>
      <c r="T60" s="8"/>
      <c r="U60" s="8"/>
      <c r="V60" s="8"/>
      <c r="W60" s="8"/>
      <c r="X60" s="4"/>
      <c r="Y60" s="4"/>
      <c r="Z60" s="4"/>
      <c r="AA60" s="4"/>
      <c r="AB60" s="4"/>
      <c r="AC60" s="4"/>
      <c r="AD60" s="4"/>
      <c r="AE60" s="4"/>
      <c r="AF60" s="4"/>
      <c r="AG60" s="4"/>
      <c r="AH60" s="4"/>
      <c r="AI60" s="4"/>
      <c r="AJ60" s="4"/>
      <c r="AK60" s="4"/>
      <c r="AL60" s="4"/>
      <c r="AM60" s="132"/>
    </row>
    <row r="61" spans="1:39" ht="13.5" thickBot="1">
      <c r="A61" s="7"/>
      <c r="B61" s="4"/>
      <c r="C61" s="4"/>
      <c r="D61" s="4"/>
      <c r="E61" s="4"/>
      <c r="F61" s="211"/>
      <c r="G61" s="211"/>
      <c r="H61" s="211"/>
      <c r="I61" s="211"/>
      <c r="J61" s="211"/>
      <c r="K61" s="211"/>
      <c r="L61" s="211"/>
      <c r="M61" s="211"/>
      <c r="N61" s="211"/>
      <c r="O61" s="211"/>
      <c r="P61" s="211"/>
      <c r="Q61" s="211"/>
      <c r="R61" s="211"/>
      <c r="S61" s="211"/>
      <c r="T61" s="211"/>
      <c r="U61" s="211"/>
      <c r="V61" s="211"/>
      <c r="W61" s="211"/>
      <c r="X61" s="211"/>
      <c r="Y61" s="4"/>
      <c r="Z61" s="4"/>
      <c r="AA61" s="4"/>
      <c r="AB61" s="4"/>
      <c r="AC61" s="4"/>
      <c r="AD61" s="4"/>
      <c r="AE61" s="4"/>
      <c r="AF61" s="4"/>
      <c r="AG61" s="4"/>
      <c r="AH61" s="4"/>
      <c r="AI61" s="4"/>
      <c r="AJ61" s="4"/>
      <c r="AK61" s="4"/>
      <c r="AL61" s="4"/>
      <c r="AM61" s="132"/>
    </row>
    <row r="62" spans="1:54" ht="12.75">
      <c r="A62" s="7"/>
      <c r="B62" s="241" t="s">
        <v>0</v>
      </c>
      <c r="C62" s="274"/>
      <c r="D62" s="242">
        <v>1</v>
      </c>
      <c r="E62" s="243">
        <v>2</v>
      </c>
      <c r="F62" s="243">
        <f>E62+1</f>
        <v>3</v>
      </c>
      <c r="G62" s="243">
        <f aca="true" t="shared" si="20" ref="G62:W62">F62+1</f>
        <v>4</v>
      </c>
      <c r="H62" s="243">
        <f t="shared" si="20"/>
        <v>5</v>
      </c>
      <c r="I62" s="243">
        <f t="shared" si="20"/>
        <v>6</v>
      </c>
      <c r="J62" s="243">
        <f t="shared" si="20"/>
        <v>7</v>
      </c>
      <c r="K62" s="243">
        <f t="shared" si="20"/>
        <v>8</v>
      </c>
      <c r="L62" s="243">
        <f t="shared" si="20"/>
        <v>9</v>
      </c>
      <c r="M62" s="243">
        <f t="shared" si="20"/>
        <v>10</v>
      </c>
      <c r="N62" s="243">
        <f t="shared" si="20"/>
        <v>11</v>
      </c>
      <c r="O62" s="243">
        <f t="shared" si="20"/>
        <v>12</v>
      </c>
      <c r="P62" s="243">
        <f t="shared" si="20"/>
        <v>13</v>
      </c>
      <c r="Q62" s="243">
        <f t="shared" si="20"/>
        <v>14</v>
      </c>
      <c r="R62" s="243">
        <f t="shared" si="20"/>
        <v>15</v>
      </c>
      <c r="S62" s="243">
        <f t="shared" si="20"/>
        <v>16</v>
      </c>
      <c r="T62" s="243">
        <f t="shared" si="20"/>
        <v>17</v>
      </c>
      <c r="U62" s="243">
        <f t="shared" si="20"/>
        <v>18</v>
      </c>
      <c r="V62" s="243">
        <f t="shared" si="20"/>
        <v>19</v>
      </c>
      <c r="W62" s="243">
        <f t="shared" si="20"/>
        <v>20</v>
      </c>
      <c r="X62" s="4"/>
      <c r="Y62" s="4"/>
      <c r="Z62" s="4"/>
      <c r="AA62" s="4"/>
      <c r="AB62" s="4"/>
      <c r="AC62" s="4"/>
      <c r="AD62" s="4"/>
      <c r="AE62" s="4"/>
      <c r="AF62" s="4"/>
      <c r="AG62" s="4"/>
      <c r="AH62" s="4"/>
      <c r="AI62" s="4"/>
      <c r="AJ62" s="4"/>
      <c r="AK62" s="4"/>
      <c r="AL62" s="4"/>
      <c r="AM62" s="4"/>
      <c r="AN62" s="132"/>
      <c r="AO62" s="7"/>
      <c r="BA62" s="4"/>
      <c r="BB62" s="132"/>
    </row>
    <row r="63" spans="1:54" ht="14.25" customHeight="1">
      <c r="A63" s="7"/>
      <c r="B63" s="245" t="s">
        <v>30</v>
      </c>
      <c r="C63" s="7"/>
      <c r="D63" s="4" t="s">
        <v>167</v>
      </c>
      <c r="E63" s="4">
        <f aca="true" t="shared" si="21" ref="E63:W63">E48-E54</f>
        <v>-7904715.907969892</v>
      </c>
      <c r="F63" s="211">
        <f t="shared" si="21"/>
        <v>-6709885.62855442</v>
      </c>
      <c r="G63" s="211">
        <f t="shared" si="21"/>
        <v>-4453206.514258718</v>
      </c>
      <c r="H63" s="211">
        <f t="shared" si="21"/>
        <v>-1783753.6019554497</v>
      </c>
      <c r="I63" s="211">
        <f t="shared" si="21"/>
        <v>14707743.282073427</v>
      </c>
      <c r="J63" s="211">
        <f t="shared" si="21"/>
        <v>15226864.562337924</v>
      </c>
      <c r="K63" s="211">
        <f t="shared" si="21"/>
        <v>15968642.536549727</v>
      </c>
      <c r="L63" s="211">
        <f t="shared" si="21"/>
        <v>16455597.840957792</v>
      </c>
      <c r="M63" s="211">
        <f t="shared" si="21"/>
        <v>16833815.057288636</v>
      </c>
      <c r="N63" s="211">
        <f t="shared" si="21"/>
        <v>16821023.95245061</v>
      </c>
      <c r="O63" s="211">
        <f t="shared" si="21"/>
        <v>16486021.109073363</v>
      </c>
      <c r="P63" s="211">
        <f t="shared" si="21"/>
        <v>15982395.341392975</v>
      </c>
      <c r="Q63" s="211">
        <f t="shared" si="21"/>
        <v>15280064.961113334</v>
      </c>
      <c r="R63" s="211">
        <f t="shared" si="21"/>
        <v>14516061.713057667</v>
      </c>
      <c r="S63" s="211">
        <f t="shared" si="21"/>
        <v>13790258.627404785</v>
      </c>
      <c r="T63" s="211">
        <f t="shared" si="21"/>
        <v>13100745.696034545</v>
      </c>
      <c r="U63" s="211">
        <f t="shared" si="21"/>
        <v>12445708.411232816</v>
      </c>
      <c r="V63" s="211">
        <f t="shared" si="21"/>
        <v>11823422.990671173</v>
      </c>
      <c r="W63" s="211">
        <f t="shared" si="21"/>
        <v>11232251.841137616</v>
      </c>
      <c r="X63" s="4"/>
      <c r="Y63" s="4"/>
      <c r="Z63" s="4"/>
      <c r="AA63" s="4"/>
      <c r="AB63" s="4"/>
      <c r="AC63" s="4"/>
      <c r="AD63" s="4"/>
      <c r="AE63" s="4"/>
      <c r="AF63" s="4"/>
      <c r="AG63" s="4"/>
      <c r="AH63" s="4"/>
      <c r="AI63" s="4"/>
      <c r="AJ63" s="4"/>
      <c r="AK63" s="4"/>
      <c r="AL63" s="4"/>
      <c r="AM63" s="4"/>
      <c r="AN63" s="132"/>
      <c r="AO63" s="7"/>
      <c r="BA63" s="4"/>
      <c r="BB63" s="132"/>
    </row>
    <row r="64" spans="1:54" ht="15.75" customHeight="1">
      <c r="A64" s="7"/>
      <c r="B64" s="245" t="s">
        <v>31</v>
      </c>
      <c r="C64" s="7"/>
      <c r="D64" s="4" t="s">
        <v>167</v>
      </c>
      <c r="E64" s="4">
        <f aca="true" t="shared" si="22" ref="E64:W64">E53-E55</f>
        <v>187638.1666666667</v>
      </c>
      <c r="F64" s="211">
        <f t="shared" si="22"/>
        <v>458158.4866666668</v>
      </c>
      <c r="G64" s="211">
        <f t="shared" si="22"/>
        <v>731322.6216666667</v>
      </c>
      <c r="H64" s="211">
        <f t="shared" si="22"/>
        <v>1294785.838239167</v>
      </c>
      <c r="I64" s="211">
        <f t="shared" si="22"/>
        <v>1051336.9270180687</v>
      </c>
      <c r="J64" s="211">
        <f t="shared" si="22"/>
        <v>1013635.3832937983</v>
      </c>
      <c r="K64" s="211">
        <f t="shared" si="22"/>
        <v>977781.7534991752</v>
      </c>
      <c r="L64" s="211">
        <f t="shared" si="22"/>
        <v>943683.7348458578</v>
      </c>
      <c r="M64" s="211">
        <f t="shared" si="22"/>
        <v>911621.0433773086</v>
      </c>
      <c r="N64" s="211">
        <f t="shared" si="22"/>
        <v>880851.3643236007</v>
      </c>
      <c r="O64" s="211">
        <f t="shared" si="22"/>
        <v>848695.6056711156</v>
      </c>
      <c r="P64" s="211">
        <f t="shared" si="22"/>
        <v>814688.269748939</v>
      </c>
      <c r="Q64" s="211">
        <f t="shared" si="22"/>
        <v>777867.1072836544</v>
      </c>
      <c r="R64" s="211">
        <f t="shared" si="22"/>
        <v>738973.7519194719</v>
      </c>
      <c r="S64" s="211">
        <f t="shared" si="22"/>
        <v>702025.0643234982</v>
      </c>
      <c r="T64" s="211">
        <f t="shared" si="22"/>
        <v>666923.8111073233</v>
      </c>
      <c r="U64" s="211">
        <f t="shared" si="22"/>
        <v>633577.620551957</v>
      </c>
      <c r="V64" s="211">
        <f t="shared" si="22"/>
        <v>601898.7395243591</v>
      </c>
      <c r="W64" s="211">
        <f t="shared" si="22"/>
        <v>571803.8025481412</v>
      </c>
      <c r="X64" s="4"/>
      <c r="Y64" s="4"/>
      <c r="Z64" s="4"/>
      <c r="AA64" s="4"/>
      <c r="AB64" s="4"/>
      <c r="AC64" s="4"/>
      <c r="AD64" s="4"/>
      <c r="AE64" s="4"/>
      <c r="AF64" s="4"/>
      <c r="AG64" s="4"/>
      <c r="AH64" s="4"/>
      <c r="AI64" s="4"/>
      <c r="AJ64" s="4"/>
      <c r="AK64" s="4"/>
      <c r="AL64" s="4"/>
      <c r="AM64" s="4"/>
      <c r="AN64" s="132"/>
      <c r="AO64" s="7"/>
      <c r="BA64" s="4"/>
      <c r="BB64" s="132"/>
    </row>
    <row r="65" spans="1:54" ht="12.75">
      <c r="A65" s="7"/>
      <c r="B65" s="245" t="s">
        <v>157</v>
      </c>
      <c r="C65" s="7"/>
      <c r="D65" s="116" t="s">
        <v>167</v>
      </c>
      <c r="E65" s="116">
        <f>E64+E63</f>
        <v>-7717077.741303225</v>
      </c>
      <c r="F65" s="117">
        <f aca="true" t="shared" si="23" ref="F65:W65">F64+F63</f>
        <v>-6251727.141887752</v>
      </c>
      <c r="G65" s="117">
        <f t="shared" si="23"/>
        <v>-3721883.8925920515</v>
      </c>
      <c r="H65" s="117">
        <f t="shared" si="23"/>
        <v>-488967.7637162828</v>
      </c>
      <c r="I65" s="117">
        <f t="shared" si="23"/>
        <v>15759080.209091496</v>
      </c>
      <c r="J65" s="117">
        <f t="shared" si="23"/>
        <v>16240499.945631722</v>
      </c>
      <c r="K65" s="117">
        <f t="shared" si="23"/>
        <v>16946424.2900489</v>
      </c>
      <c r="L65" s="117">
        <f t="shared" si="23"/>
        <v>17399281.57580365</v>
      </c>
      <c r="M65" s="117">
        <f t="shared" si="23"/>
        <v>17745436.100665946</v>
      </c>
      <c r="N65" s="117">
        <f t="shared" si="23"/>
        <v>17701875.31677421</v>
      </c>
      <c r="O65" s="117">
        <f t="shared" si="23"/>
        <v>17334716.71474448</v>
      </c>
      <c r="P65" s="117">
        <f t="shared" si="23"/>
        <v>16797083.611141913</v>
      </c>
      <c r="Q65" s="117">
        <f t="shared" si="23"/>
        <v>16057932.068396987</v>
      </c>
      <c r="R65" s="117">
        <f t="shared" si="23"/>
        <v>15255035.46497714</v>
      </c>
      <c r="S65" s="117">
        <f t="shared" si="23"/>
        <v>14492283.691728283</v>
      </c>
      <c r="T65" s="117">
        <f t="shared" si="23"/>
        <v>13767669.507141868</v>
      </c>
      <c r="U65" s="117">
        <f t="shared" si="23"/>
        <v>13079286.031784773</v>
      </c>
      <c r="V65" s="117">
        <f t="shared" si="23"/>
        <v>12425321.730195532</v>
      </c>
      <c r="W65" s="117">
        <f t="shared" si="23"/>
        <v>11804055.643685758</v>
      </c>
      <c r="X65" s="4"/>
      <c r="Y65" s="4"/>
      <c r="Z65" s="4"/>
      <c r="AA65" s="4"/>
      <c r="AB65" s="4"/>
      <c r="AC65" s="4"/>
      <c r="AD65" s="4"/>
      <c r="AE65" s="4"/>
      <c r="AF65" s="4"/>
      <c r="AG65" s="4"/>
      <c r="AH65" s="4"/>
      <c r="AI65" s="4"/>
      <c r="AJ65" s="4"/>
      <c r="AK65" s="4"/>
      <c r="AL65" s="4"/>
      <c r="AM65" s="4"/>
      <c r="AN65" s="132"/>
      <c r="AO65" s="7"/>
      <c r="BA65" s="4"/>
      <c r="BB65" s="132"/>
    </row>
    <row r="66" spans="1:54" ht="13.5" thickBot="1">
      <c r="A66" s="7"/>
      <c r="B66" s="248" t="s">
        <v>158</v>
      </c>
      <c r="C66" s="275"/>
      <c r="D66" s="249" t="s">
        <v>167</v>
      </c>
      <c r="E66" s="250"/>
      <c r="F66" s="250"/>
      <c r="G66" s="250"/>
      <c r="H66" s="250"/>
      <c r="I66" s="250"/>
      <c r="J66" s="250"/>
      <c r="K66" s="250"/>
      <c r="L66" s="250"/>
      <c r="M66" s="250"/>
      <c r="N66" s="250"/>
      <c r="O66" s="250"/>
      <c r="P66" s="250"/>
      <c r="Q66" s="250"/>
      <c r="R66" s="250"/>
      <c r="S66" s="250"/>
      <c r="T66" s="250"/>
      <c r="U66" s="250"/>
      <c r="V66" s="250"/>
      <c r="W66" s="251"/>
      <c r="X66" s="211"/>
      <c r="Y66" s="211"/>
      <c r="Z66" s="4"/>
      <c r="AA66" s="4"/>
      <c r="AB66" s="4"/>
      <c r="AC66" s="4"/>
      <c r="AD66" s="4"/>
      <c r="AE66" s="4"/>
      <c r="AF66" s="4"/>
      <c r="AG66" s="4"/>
      <c r="AH66" s="4"/>
      <c r="AI66" s="4"/>
      <c r="AJ66" s="4"/>
      <c r="AK66" s="4"/>
      <c r="AL66" s="4"/>
      <c r="AM66" s="4"/>
      <c r="AN66" s="132"/>
      <c r="AO66" s="7"/>
      <c r="BA66" s="4"/>
      <c r="BB66" s="132"/>
    </row>
    <row r="67" spans="1:39" ht="12.75">
      <c r="A67" s="7"/>
      <c r="B67" s="4"/>
      <c r="C67" s="4"/>
      <c r="D67" s="4"/>
      <c r="E67" s="4"/>
      <c r="F67" s="211"/>
      <c r="G67" s="211"/>
      <c r="H67" s="211"/>
      <c r="I67" s="211"/>
      <c r="J67" s="211"/>
      <c r="K67" s="211"/>
      <c r="L67" s="211"/>
      <c r="M67" s="211"/>
      <c r="N67" s="211"/>
      <c r="O67" s="211"/>
      <c r="P67" s="211"/>
      <c r="Q67" s="211"/>
      <c r="R67" s="211"/>
      <c r="S67" s="211"/>
      <c r="T67" s="211"/>
      <c r="U67" s="211"/>
      <c r="V67" s="211"/>
      <c r="W67" s="211"/>
      <c r="X67" s="211"/>
      <c r="Y67" s="4"/>
      <c r="Z67" s="4"/>
      <c r="AA67" s="4"/>
      <c r="AB67" s="4"/>
      <c r="AC67" s="4"/>
      <c r="AD67" s="4"/>
      <c r="AE67" s="4"/>
      <c r="AF67" s="4"/>
      <c r="AG67" s="4"/>
      <c r="AH67" s="4"/>
      <c r="AI67" s="4"/>
      <c r="AJ67" s="4"/>
      <c r="AK67" s="4"/>
      <c r="AL67" s="4"/>
      <c r="AM67" s="132"/>
    </row>
    <row r="68" spans="1:39" ht="12.75">
      <c r="A68" s="7"/>
      <c r="B68" s="4"/>
      <c r="C68" s="4"/>
      <c r="D68" s="4"/>
      <c r="E68" s="4"/>
      <c r="F68" s="211"/>
      <c r="G68" s="211"/>
      <c r="H68" s="211"/>
      <c r="I68" s="211"/>
      <c r="J68" s="211"/>
      <c r="K68" s="211"/>
      <c r="L68" s="211"/>
      <c r="M68" s="211"/>
      <c r="N68" s="211"/>
      <c r="O68" s="211"/>
      <c r="P68" s="211"/>
      <c r="Q68" s="211"/>
      <c r="R68" s="211"/>
      <c r="S68" s="211"/>
      <c r="T68" s="211"/>
      <c r="U68" s="211"/>
      <c r="V68" s="211"/>
      <c r="W68" s="211"/>
      <c r="X68" s="211"/>
      <c r="Y68" s="4"/>
      <c r="Z68" s="4"/>
      <c r="AA68" s="4"/>
      <c r="AB68" s="4"/>
      <c r="AC68" s="4"/>
      <c r="AD68" s="4"/>
      <c r="AE68" s="4"/>
      <c r="AF68" s="4"/>
      <c r="AG68" s="4"/>
      <c r="AH68" s="4"/>
      <c r="AI68" s="4"/>
      <c r="AJ68" s="4"/>
      <c r="AK68" s="4"/>
      <c r="AL68" s="4"/>
      <c r="AM68" s="132"/>
    </row>
    <row r="69" spans="1:39" ht="12.75">
      <c r="A69" s="7"/>
      <c r="B69" s="4"/>
      <c r="C69" s="4"/>
      <c r="D69" s="4"/>
      <c r="E69" s="4"/>
      <c r="F69" s="211"/>
      <c r="G69" s="211"/>
      <c r="H69" s="211"/>
      <c r="I69" s="211"/>
      <c r="J69" s="211"/>
      <c r="K69" s="211"/>
      <c r="L69" s="211"/>
      <c r="M69" s="211"/>
      <c r="N69" s="211"/>
      <c r="O69" s="211"/>
      <c r="P69" s="211"/>
      <c r="Q69" s="211"/>
      <c r="R69" s="211"/>
      <c r="S69" s="211"/>
      <c r="T69" s="211"/>
      <c r="U69" s="211"/>
      <c r="V69" s="211"/>
      <c r="W69" s="211"/>
      <c r="X69" s="211"/>
      <c r="Y69" s="4"/>
      <c r="Z69" s="4"/>
      <c r="AA69" s="4"/>
      <c r="AB69" s="4"/>
      <c r="AC69" s="4"/>
      <c r="AD69" s="4"/>
      <c r="AE69" s="4"/>
      <c r="AF69" s="4"/>
      <c r="AG69" s="4"/>
      <c r="AH69" s="4"/>
      <c r="AI69" s="4"/>
      <c r="AJ69" s="4"/>
      <c r="AK69" s="4"/>
      <c r="AL69" s="4"/>
      <c r="AM69" s="132"/>
    </row>
    <row r="70" spans="1:39" ht="12.75">
      <c r="A70" s="7"/>
      <c r="B70" s="4"/>
      <c r="C70" s="4"/>
      <c r="D70" s="4"/>
      <c r="E70" s="4"/>
      <c r="F70" s="211"/>
      <c r="G70" s="211"/>
      <c r="H70" s="211"/>
      <c r="I70" s="211"/>
      <c r="J70" s="211"/>
      <c r="K70" s="211"/>
      <c r="L70" s="211"/>
      <c r="M70" s="211"/>
      <c r="N70" s="211"/>
      <c r="O70" s="211"/>
      <c r="P70" s="211"/>
      <c r="Q70" s="211"/>
      <c r="R70" s="211"/>
      <c r="S70" s="211"/>
      <c r="T70" s="211"/>
      <c r="U70" s="211"/>
      <c r="V70" s="211"/>
      <c r="W70" s="211"/>
      <c r="X70" s="211"/>
      <c r="Y70" s="4"/>
      <c r="Z70" s="4"/>
      <c r="AA70" s="4"/>
      <c r="AB70" s="4"/>
      <c r="AC70" s="4"/>
      <c r="AD70" s="4"/>
      <c r="AE70" s="4"/>
      <c r="AF70" s="4"/>
      <c r="AG70" s="4"/>
      <c r="AH70" s="4"/>
      <c r="AI70" s="4"/>
      <c r="AJ70" s="4"/>
      <c r="AK70" s="4"/>
      <c r="AL70" s="4"/>
      <c r="AM70" s="132"/>
    </row>
    <row r="71" spans="1:39" ht="12.75">
      <c r="A71" s="7"/>
      <c r="B71" s="4"/>
      <c r="C71" s="4"/>
      <c r="D71" s="4"/>
      <c r="E71" s="4"/>
      <c r="F71" s="211"/>
      <c r="G71" s="211"/>
      <c r="H71" s="211"/>
      <c r="I71" s="211"/>
      <c r="J71" s="211"/>
      <c r="K71" s="211"/>
      <c r="L71" s="211"/>
      <c r="M71" s="211"/>
      <c r="N71" s="211"/>
      <c r="O71" s="211"/>
      <c r="P71" s="211"/>
      <c r="Q71" s="211"/>
      <c r="R71" s="211"/>
      <c r="S71" s="211"/>
      <c r="T71" s="211"/>
      <c r="U71" s="211"/>
      <c r="V71" s="211"/>
      <c r="W71" s="211"/>
      <c r="X71" s="211"/>
      <c r="Y71" s="4"/>
      <c r="Z71" s="4"/>
      <c r="AA71" s="4"/>
      <c r="AB71" s="4"/>
      <c r="AC71" s="4"/>
      <c r="AD71" s="4"/>
      <c r="AE71" s="4"/>
      <c r="AF71" s="4"/>
      <c r="AG71" s="4"/>
      <c r="AH71" s="4"/>
      <c r="AI71" s="4"/>
      <c r="AJ71" s="4"/>
      <c r="AK71" s="4"/>
      <c r="AL71" s="4"/>
      <c r="AM71" s="132"/>
    </row>
    <row r="72" spans="1:39" ht="12.75">
      <c r="A72" s="7"/>
      <c r="B72" s="4"/>
      <c r="C72" s="4"/>
      <c r="D72" s="4"/>
      <c r="E72" s="4"/>
      <c r="F72" s="211"/>
      <c r="G72" s="211"/>
      <c r="H72" s="211"/>
      <c r="I72" s="211"/>
      <c r="J72" s="211"/>
      <c r="K72" s="211"/>
      <c r="L72" s="211"/>
      <c r="M72" s="211"/>
      <c r="N72" s="211"/>
      <c r="O72" s="211"/>
      <c r="P72" s="211"/>
      <c r="Q72" s="211"/>
      <c r="R72" s="211"/>
      <c r="S72" s="211"/>
      <c r="T72" s="211"/>
      <c r="U72" s="211"/>
      <c r="V72" s="211"/>
      <c r="W72" s="211"/>
      <c r="X72" s="211"/>
      <c r="Y72" s="4"/>
      <c r="Z72" s="4"/>
      <c r="AA72" s="4"/>
      <c r="AB72" s="4"/>
      <c r="AC72" s="4"/>
      <c r="AD72" s="4"/>
      <c r="AE72" s="4"/>
      <c r="AF72" s="4"/>
      <c r="AG72" s="4"/>
      <c r="AH72" s="4"/>
      <c r="AI72" s="4"/>
      <c r="AJ72" s="4"/>
      <c r="AK72" s="4"/>
      <c r="AL72" s="4"/>
      <c r="AM72" s="132"/>
    </row>
    <row r="73" spans="1:39" ht="12.75">
      <c r="A73" s="7"/>
      <c r="B73" s="4"/>
      <c r="C73" s="4"/>
      <c r="D73" s="4"/>
      <c r="E73" s="4"/>
      <c r="F73" s="211"/>
      <c r="G73" s="211"/>
      <c r="H73" s="211"/>
      <c r="I73" s="211"/>
      <c r="J73" s="211"/>
      <c r="K73" s="211"/>
      <c r="L73" s="211"/>
      <c r="M73" s="211"/>
      <c r="N73" s="211"/>
      <c r="O73" s="211"/>
      <c r="P73" s="211"/>
      <c r="Q73" s="211"/>
      <c r="R73" s="211"/>
      <c r="S73" s="211"/>
      <c r="T73" s="211"/>
      <c r="U73" s="211"/>
      <c r="V73" s="211"/>
      <c r="W73" s="211"/>
      <c r="X73" s="211"/>
      <c r="Y73" s="4"/>
      <c r="Z73" s="4"/>
      <c r="AA73" s="4"/>
      <c r="AB73" s="4"/>
      <c r="AC73" s="4"/>
      <c r="AD73" s="4"/>
      <c r="AE73" s="4"/>
      <c r="AF73" s="4"/>
      <c r="AG73" s="4"/>
      <c r="AH73" s="4"/>
      <c r="AI73" s="4"/>
      <c r="AJ73" s="4"/>
      <c r="AK73" s="4"/>
      <c r="AL73" s="4"/>
      <c r="AM73" s="132"/>
    </row>
    <row r="74" spans="1:39" ht="12.75">
      <c r="A74" s="7"/>
      <c r="B74" s="4"/>
      <c r="C74" s="4"/>
      <c r="D74" s="4"/>
      <c r="E74" s="4"/>
      <c r="F74" s="211"/>
      <c r="G74" s="211"/>
      <c r="H74" s="211"/>
      <c r="I74" s="211"/>
      <c r="J74" s="211"/>
      <c r="K74" s="211"/>
      <c r="L74" s="211"/>
      <c r="M74" s="211"/>
      <c r="N74" s="211"/>
      <c r="O74" s="211"/>
      <c r="P74" s="211"/>
      <c r="Q74" s="211"/>
      <c r="R74" s="211"/>
      <c r="S74" s="211"/>
      <c r="T74" s="211"/>
      <c r="U74" s="211"/>
      <c r="V74" s="211"/>
      <c r="W74" s="211"/>
      <c r="X74" s="211"/>
      <c r="Y74" s="4"/>
      <c r="Z74" s="4"/>
      <c r="AA74" s="4"/>
      <c r="AB74" s="4"/>
      <c r="AC74" s="4"/>
      <c r="AD74" s="4"/>
      <c r="AE74" s="4"/>
      <c r="AF74" s="4"/>
      <c r="AG74" s="4"/>
      <c r="AH74" s="4"/>
      <c r="AI74" s="4"/>
      <c r="AJ74" s="4"/>
      <c r="AK74" s="4"/>
      <c r="AL74" s="4"/>
      <c r="AM74" s="132"/>
    </row>
    <row r="75" spans="1:39" ht="12.75">
      <c r="A75" s="7"/>
      <c r="B75" s="4"/>
      <c r="C75" s="4"/>
      <c r="D75" s="4"/>
      <c r="E75" s="4"/>
      <c r="F75" s="211"/>
      <c r="G75" s="211"/>
      <c r="H75" s="211"/>
      <c r="I75" s="211"/>
      <c r="J75" s="211"/>
      <c r="K75" s="211"/>
      <c r="L75" s="211"/>
      <c r="M75" s="211"/>
      <c r="N75" s="211"/>
      <c r="O75" s="211"/>
      <c r="P75" s="211"/>
      <c r="Q75" s="211"/>
      <c r="R75" s="211"/>
      <c r="S75" s="211"/>
      <c r="T75" s="211"/>
      <c r="U75" s="211"/>
      <c r="V75" s="211"/>
      <c r="W75" s="211"/>
      <c r="X75" s="211"/>
      <c r="Y75" s="4"/>
      <c r="Z75" s="4"/>
      <c r="AA75" s="4"/>
      <c r="AB75" s="4"/>
      <c r="AC75" s="4"/>
      <c r="AD75" s="4"/>
      <c r="AE75" s="4"/>
      <c r="AF75" s="4"/>
      <c r="AG75" s="4"/>
      <c r="AH75" s="4"/>
      <c r="AI75" s="4"/>
      <c r="AJ75" s="4"/>
      <c r="AK75" s="4"/>
      <c r="AL75" s="4"/>
      <c r="AM75" s="132"/>
    </row>
    <row r="76" spans="1:39" ht="12.75">
      <c r="A76" s="7"/>
      <c r="B76" s="4"/>
      <c r="C76" s="4"/>
      <c r="D76" s="4"/>
      <c r="E76" s="4"/>
      <c r="F76" s="211"/>
      <c r="G76" s="211"/>
      <c r="H76" s="211"/>
      <c r="I76" s="211"/>
      <c r="J76" s="211"/>
      <c r="K76" s="211"/>
      <c r="L76" s="211"/>
      <c r="M76" s="211"/>
      <c r="N76" s="211"/>
      <c r="O76" s="211"/>
      <c r="P76" s="211"/>
      <c r="Q76" s="211"/>
      <c r="R76" s="211"/>
      <c r="S76" s="211"/>
      <c r="T76" s="211"/>
      <c r="U76" s="211"/>
      <c r="V76" s="211"/>
      <c r="W76" s="211"/>
      <c r="X76" s="211"/>
      <c r="Y76" s="4"/>
      <c r="Z76" s="4"/>
      <c r="AA76" s="4"/>
      <c r="AB76" s="4"/>
      <c r="AC76" s="4"/>
      <c r="AD76" s="4"/>
      <c r="AE76" s="4"/>
      <c r="AF76" s="4"/>
      <c r="AG76" s="4"/>
      <c r="AH76" s="4"/>
      <c r="AI76" s="4"/>
      <c r="AJ76" s="4"/>
      <c r="AK76" s="4"/>
      <c r="AL76" s="4"/>
      <c r="AM76" s="132"/>
    </row>
    <row r="77" spans="1:39" ht="12.75">
      <c r="A77" s="7"/>
      <c r="B77" s="4"/>
      <c r="C77" s="4"/>
      <c r="D77" s="4"/>
      <c r="E77" s="4"/>
      <c r="F77" s="211"/>
      <c r="G77" s="211"/>
      <c r="H77" s="211"/>
      <c r="I77" s="211"/>
      <c r="J77" s="211"/>
      <c r="K77" s="211"/>
      <c r="L77" s="211"/>
      <c r="M77" s="211"/>
      <c r="N77" s="211"/>
      <c r="O77" s="211"/>
      <c r="P77" s="211"/>
      <c r="Q77" s="211"/>
      <c r="R77" s="211"/>
      <c r="S77" s="211"/>
      <c r="T77" s="211"/>
      <c r="U77" s="211"/>
      <c r="V77" s="211"/>
      <c r="W77" s="211"/>
      <c r="X77" s="211"/>
      <c r="Y77" s="4"/>
      <c r="Z77" s="4"/>
      <c r="AA77" s="4"/>
      <c r="AB77" s="4"/>
      <c r="AC77" s="4"/>
      <c r="AD77" s="4"/>
      <c r="AE77" s="4"/>
      <c r="AF77" s="4"/>
      <c r="AG77" s="4"/>
      <c r="AH77" s="4"/>
      <c r="AI77" s="4"/>
      <c r="AJ77" s="4"/>
      <c r="AK77" s="4"/>
      <c r="AL77" s="4"/>
      <c r="AM77" s="132"/>
    </row>
    <row r="78" spans="1:39" ht="12.75">
      <c r="A78" s="7"/>
      <c r="B78" s="4"/>
      <c r="C78" s="4"/>
      <c r="D78" s="4"/>
      <c r="E78" s="4"/>
      <c r="F78" s="211"/>
      <c r="G78" s="211"/>
      <c r="H78" s="211"/>
      <c r="I78" s="211"/>
      <c r="J78" s="211"/>
      <c r="K78" s="211"/>
      <c r="L78" s="211"/>
      <c r="M78" s="211"/>
      <c r="N78" s="211"/>
      <c r="O78" s="211"/>
      <c r="P78" s="211"/>
      <c r="Q78" s="211"/>
      <c r="R78" s="211"/>
      <c r="S78" s="211"/>
      <c r="T78" s="211"/>
      <c r="U78" s="211"/>
      <c r="V78" s="211"/>
      <c r="W78" s="211"/>
      <c r="X78" s="211"/>
      <c r="Y78" s="4"/>
      <c r="Z78" s="4"/>
      <c r="AA78" s="4"/>
      <c r="AB78" s="4"/>
      <c r="AC78" s="4"/>
      <c r="AD78" s="4"/>
      <c r="AE78" s="4"/>
      <c r="AF78" s="4"/>
      <c r="AG78" s="4"/>
      <c r="AH78" s="4"/>
      <c r="AI78" s="4"/>
      <c r="AJ78" s="4"/>
      <c r="AK78" s="4"/>
      <c r="AL78" s="4"/>
      <c r="AM78" s="132"/>
    </row>
    <row r="79" spans="1:39" ht="12.75">
      <c r="A79" s="7"/>
      <c r="B79" s="4"/>
      <c r="C79" s="4"/>
      <c r="D79" s="4"/>
      <c r="E79" s="4"/>
      <c r="F79" s="211"/>
      <c r="G79" s="211"/>
      <c r="H79" s="211"/>
      <c r="I79" s="211"/>
      <c r="J79" s="211"/>
      <c r="K79" s="211"/>
      <c r="L79" s="211"/>
      <c r="M79" s="211"/>
      <c r="N79" s="211"/>
      <c r="O79" s="211"/>
      <c r="P79" s="211"/>
      <c r="Q79" s="211"/>
      <c r="R79" s="211"/>
      <c r="S79" s="211"/>
      <c r="T79" s="211"/>
      <c r="U79" s="211"/>
      <c r="V79" s="211"/>
      <c r="W79" s="211"/>
      <c r="X79" s="211"/>
      <c r="Y79" s="4"/>
      <c r="Z79" s="4"/>
      <c r="AA79" s="4"/>
      <c r="AB79" s="4"/>
      <c r="AC79" s="4"/>
      <c r="AD79" s="4"/>
      <c r="AE79" s="4"/>
      <c r="AF79" s="4"/>
      <c r="AG79" s="4"/>
      <c r="AH79" s="4"/>
      <c r="AI79" s="4"/>
      <c r="AJ79" s="4"/>
      <c r="AK79" s="4"/>
      <c r="AL79" s="4"/>
      <c r="AM79" s="132"/>
    </row>
    <row r="80" spans="1:39" ht="12.75">
      <c r="A80" s="7"/>
      <c r="B80" s="4"/>
      <c r="C80" s="4"/>
      <c r="D80" s="4"/>
      <c r="E80" s="4"/>
      <c r="F80" s="211"/>
      <c r="G80" s="211"/>
      <c r="H80" s="211"/>
      <c r="I80" s="211"/>
      <c r="J80" s="211"/>
      <c r="K80" s="211"/>
      <c r="L80" s="211"/>
      <c r="M80" s="211"/>
      <c r="N80" s="211"/>
      <c r="O80" s="211"/>
      <c r="P80" s="211"/>
      <c r="Q80" s="211"/>
      <c r="R80" s="211"/>
      <c r="S80" s="211"/>
      <c r="T80" s="211"/>
      <c r="U80" s="211"/>
      <c r="V80" s="211"/>
      <c r="W80" s="211"/>
      <c r="X80" s="211"/>
      <c r="Y80" s="4"/>
      <c r="Z80" s="4"/>
      <c r="AA80" s="4"/>
      <c r="AB80" s="4"/>
      <c r="AC80" s="4"/>
      <c r="AD80" s="4"/>
      <c r="AE80" s="4"/>
      <c r="AF80" s="4"/>
      <c r="AG80" s="4"/>
      <c r="AH80" s="4"/>
      <c r="AI80" s="4"/>
      <c r="AJ80" s="4"/>
      <c r="AK80" s="4"/>
      <c r="AL80" s="4"/>
      <c r="AM80" s="132"/>
    </row>
    <row r="81" spans="1:39" ht="12.75">
      <c r="A81" s="7"/>
      <c r="B81" s="4"/>
      <c r="C81" s="4"/>
      <c r="D81" s="4"/>
      <c r="E81" s="4"/>
      <c r="F81" s="211"/>
      <c r="G81" s="211"/>
      <c r="H81" s="211"/>
      <c r="I81" s="211"/>
      <c r="J81" s="211"/>
      <c r="K81" s="211"/>
      <c r="L81" s="211"/>
      <c r="M81" s="211"/>
      <c r="N81" s="211"/>
      <c r="O81" s="211"/>
      <c r="P81" s="211"/>
      <c r="Q81" s="211"/>
      <c r="R81" s="211"/>
      <c r="S81" s="211"/>
      <c r="T81" s="211"/>
      <c r="U81" s="211"/>
      <c r="V81" s="211"/>
      <c r="W81" s="211"/>
      <c r="X81" s="211"/>
      <c r="Y81" s="4"/>
      <c r="Z81" s="4"/>
      <c r="AA81" s="4"/>
      <c r="AB81" s="4"/>
      <c r="AC81" s="4"/>
      <c r="AD81" s="4"/>
      <c r="AE81" s="4"/>
      <c r="AF81" s="4"/>
      <c r="AG81" s="4"/>
      <c r="AH81" s="4"/>
      <c r="AI81" s="4"/>
      <c r="AJ81" s="4"/>
      <c r="AK81" s="4"/>
      <c r="AL81" s="4"/>
      <c r="AM81" s="132"/>
    </row>
    <row r="82" spans="1:39" ht="12.75">
      <c r="A82" s="7"/>
      <c r="B82" s="4"/>
      <c r="C82" s="4"/>
      <c r="D82" s="4"/>
      <c r="E82" s="4"/>
      <c r="F82" s="211"/>
      <c r="G82" s="211"/>
      <c r="H82" s="211"/>
      <c r="I82" s="211"/>
      <c r="J82" s="211"/>
      <c r="K82" s="211"/>
      <c r="L82" s="211"/>
      <c r="M82" s="211"/>
      <c r="N82" s="211"/>
      <c r="O82" s="211"/>
      <c r="P82" s="211"/>
      <c r="Q82" s="211"/>
      <c r="R82" s="211"/>
      <c r="S82" s="211"/>
      <c r="T82" s="211"/>
      <c r="U82" s="211"/>
      <c r="V82" s="211"/>
      <c r="W82" s="211"/>
      <c r="X82" s="211"/>
      <c r="Y82" s="4"/>
      <c r="Z82" s="4"/>
      <c r="AA82" s="4"/>
      <c r="AB82" s="4"/>
      <c r="AC82" s="4"/>
      <c r="AD82" s="4"/>
      <c r="AE82" s="4"/>
      <c r="AF82" s="4"/>
      <c r="AG82" s="4"/>
      <c r="AH82" s="4"/>
      <c r="AI82" s="4"/>
      <c r="AJ82" s="4"/>
      <c r="AK82" s="4"/>
      <c r="AL82" s="4"/>
      <c r="AM82" s="132"/>
    </row>
    <row r="83" spans="1:39" ht="12.75">
      <c r="A83" s="7"/>
      <c r="B83" s="4"/>
      <c r="C83" s="4"/>
      <c r="D83" s="4"/>
      <c r="E83" s="4"/>
      <c r="F83" s="211"/>
      <c r="G83" s="211"/>
      <c r="H83" s="211"/>
      <c r="I83" s="211"/>
      <c r="J83" s="211"/>
      <c r="K83" s="211"/>
      <c r="L83" s="211"/>
      <c r="M83" s="211"/>
      <c r="N83" s="211"/>
      <c r="O83" s="211"/>
      <c r="P83" s="211"/>
      <c r="Q83" s="211"/>
      <c r="R83" s="211"/>
      <c r="S83" s="211"/>
      <c r="T83" s="211"/>
      <c r="U83" s="211"/>
      <c r="V83" s="211"/>
      <c r="W83" s="211"/>
      <c r="X83" s="211"/>
      <c r="Y83" s="4"/>
      <c r="Z83" s="4"/>
      <c r="AA83" s="4"/>
      <c r="AB83" s="4"/>
      <c r="AC83" s="4"/>
      <c r="AD83" s="4"/>
      <c r="AE83" s="4"/>
      <c r="AF83" s="4"/>
      <c r="AG83" s="4"/>
      <c r="AH83" s="4"/>
      <c r="AI83" s="4"/>
      <c r="AJ83" s="4"/>
      <c r="AK83" s="4"/>
      <c r="AL83" s="4"/>
      <c r="AM83" s="132"/>
    </row>
    <row r="84" spans="1:39" ht="12.75">
      <c r="A84" s="7"/>
      <c r="B84" s="4"/>
      <c r="C84" s="4"/>
      <c r="D84" s="4"/>
      <c r="E84" s="4"/>
      <c r="F84" s="211"/>
      <c r="G84" s="211"/>
      <c r="H84" s="211"/>
      <c r="I84" s="211"/>
      <c r="J84" s="211"/>
      <c r="K84" s="211"/>
      <c r="L84" s="211"/>
      <c r="M84" s="211"/>
      <c r="N84" s="211"/>
      <c r="O84" s="211"/>
      <c r="P84" s="211"/>
      <c r="Q84" s="211"/>
      <c r="R84" s="211"/>
      <c r="S84" s="211"/>
      <c r="T84" s="211"/>
      <c r="U84" s="211"/>
      <c r="V84" s="211"/>
      <c r="W84" s="211"/>
      <c r="X84" s="211"/>
      <c r="Y84" s="4"/>
      <c r="Z84" s="4"/>
      <c r="AA84" s="4"/>
      <c r="AB84" s="4"/>
      <c r="AC84" s="4"/>
      <c r="AD84" s="4"/>
      <c r="AE84" s="4"/>
      <c r="AF84" s="4"/>
      <c r="AG84" s="4"/>
      <c r="AH84" s="4"/>
      <c r="AI84" s="4"/>
      <c r="AJ84" s="4"/>
      <c r="AK84" s="4"/>
      <c r="AL84" s="4"/>
      <c r="AM84" s="132"/>
    </row>
    <row r="85" spans="1:39" ht="12.75">
      <c r="A85" s="7"/>
      <c r="B85" s="4"/>
      <c r="C85" s="4"/>
      <c r="D85" s="4"/>
      <c r="E85" s="4"/>
      <c r="F85" s="211"/>
      <c r="G85" s="211"/>
      <c r="H85" s="211"/>
      <c r="I85" s="211"/>
      <c r="J85" s="211"/>
      <c r="K85" s="211"/>
      <c r="L85" s="211"/>
      <c r="M85" s="211"/>
      <c r="N85" s="211"/>
      <c r="O85" s="211"/>
      <c r="P85" s="211"/>
      <c r="Q85" s="211"/>
      <c r="R85" s="211"/>
      <c r="S85" s="211"/>
      <c r="T85" s="211"/>
      <c r="U85" s="211"/>
      <c r="V85" s="211"/>
      <c r="W85" s="211"/>
      <c r="X85" s="211"/>
      <c r="Y85" s="4"/>
      <c r="Z85" s="4"/>
      <c r="AA85" s="4"/>
      <c r="AB85" s="4"/>
      <c r="AC85" s="4"/>
      <c r="AD85" s="4"/>
      <c r="AE85" s="4"/>
      <c r="AF85" s="4"/>
      <c r="AG85" s="4"/>
      <c r="AH85" s="4"/>
      <c r="AI85" s="4"/>
      <c r="AJ85" s="4"/>
      <c r="AK85" s="4"/>
      <c r="AL85" s="4"/>
      <c r="AM85" s="132"/>
    </row>
    <row r="86" spans="1:39" ht="12.75">
      <c r="A86" s="7"/>
      <c r="B86" s="4"/>
      <c r="C86" s="4"/>
      <c r="D86" s="4"/>
      <c r="E86" s="4"/>
      <c r="F86" s="211"/>
      <c r="G86" s="211"/>
      <c r="H86" s="211"/>
      <c r="I86" s="211"/>
      <c r="J86" s="211"/>
      <c r="K86" s="211"/>
      <c r="L86" s="211"/>
      <c r="M86" s="211"/>
      <c r="N86" s="211"/>
      <c r="O86" s="211"/>
      <c r="P86" s="211"/>
      <c r="Q86" s="211"/>
      <c r="R86" s="211"/>
      <c r="S86" s="211"/>
      <c r="T86" s="211"/>
      <c r="U86" s="211"/>
      <c r="V86" s="211"/>
      <c r="W86" s="211"/>
      <c r="X86" s="211"/>
      <c r="Y86" s="4"/>
      <c r="Z86" s="4"/>
      <c r="AA86" s="4"/>
      <c r="AB86" s="4"/>
      <c r="AC86" s="4"/>
      <c r="AD86" s="4"/>
      <c r="AE86" s="4"/>
      <c r="AF86" s="4"/>
      <c r="AG86" s="4"/>
      <c r="AH86" s="4"/>
      <c r="AI86" s="4"/>
      <c r="AJ86" s="4"/>
      <c r="AK86" s="4"/>
      <c r="AL86" s="4"/>
      <c r="AM86" s="132"/>
    </row>
    <row r="87" spans="1:39" ht="12.75">
      <c r="A87" s="7"/>
      <c r="B87" s="4"/>
      <c r="C87" s="4"/>
      <c r="D87" s="4"/>
      <c r="E87" s="4"/>
      <c r="F87" s="211"/>
      <c r="G87" s="211"/>
      <c r="H87" s="211"/>
      <c r="I87" s="211"/>
      <c r="J87" s="211"/>
      <c r="K87" s="211"/>
      <c r="L87" s="211"/>
      <c r="M87" s="211"/>
      <c r="N87" s="211"/>
      <c r="O87" s="211"/>
      <c r="P87" s="211"/>
      <c r="Q87" s="211"/>
      <c r="R87" s="211"/>
      <c r="S87" s="211"/>
      <c r="T87" s="211"/>
      <c r="U87" s="211"/>
      <c r="V87" s="211"/>
      <c r="W87" s="211"/>
      <c r="X87" s="211"/>
      <c r="Y87" s="4"/>
      <c r="Z87" s="4"/>
      <c r="AA87" s="4"/>
      <c r="AB87" s="4"/>
      <c r="AC87" s="4"/>
      <c r="AD87" s="4"/>
      <c r="AE87" s="4"/>
      <c r="AF87" s="4"/>
      <c r="AG87" s="4"/>
      <c r="AH87" s="4"/>
      <c r="AI87" s="4"/>
      <c r="AJ87" s="4"/>
      <c r="AK87" s="4"/>
      <c r="AL87" s="4"/>
      <c r="AM87" s="132"/>
    </row>
    <row r="88" spans="1:39" ht="12.75">
      <c r="A88" s="7"/>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132"/>
    </row>
    <row r="89" spans="1:39" ht="12.75">
      <c r="A89" s="7"/>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132"/>
    </row>
    <row r="90" spans="1:39" ht="12.75">
      <c r="A90" s="7"/>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132"/>
    </row>
    <row r="91" spans="1:39" ht="12.75">
      <c r="A91" s="7"/>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132"/>
    </row>
    <row r="92" spans="1:39" ht="12.75">
      <c r="A92" s="7"/>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132"/>
    </row>
    <row r="93" spans="1:39" ht="12.75">
      <c r="A93" s="7"/>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132"/>
    </row>
    <row r="94" spans="1:39" ht="12.75">
      <c r="A94" s="7"/>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132"/>
    </row>
    <row r="95" spans="1:39" ht="12.75">
      <c r="A95" s="7"/>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132"/>
    </row>
    <row r="96" spans="1:39" ht="12.75">
      <c r="A96" s="7"/>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132"/>
    </row>
    <row r="97" spans="1:39" ht="12.75">
      <c r="A97" s="7"/>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132"/>
    </row>
    <row r="98" spans="1:39" ht="12.75">
      <c r="A98" s="7"/>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132"/>
    </row>
    <row r="99" spans="1:39" ht="12.75">
      <c r="A99" s="7"/>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132"/>
    </row>
    <row r="100" spans="1:39" ht="12.75">
      <c r="A100" s="7"/>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132"/>
    </row>
    <row r="101" spans="1:39" ht="12.75">
      <c r="A101" s="7"/>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132"/>
    </row>
    <row r="102" spans="1:39" ht="12.75">
      <c r="A102" s="7"/>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132"/>
    </row>
    <row r="103" spans="1:39" ht="12.75">
      <c r="A103" s="7"/>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132"/>
    </row>
    <row r="104" spans="1:39" ht="12.75">
      <c r="A104" s="7"/>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132"/>
    </row>
    <row r="105" spans="1:39" ht="12.75">
      <c r="A105" s="7"/>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132"/>
    </row>
    <row r="106" spans="1:39" ht="12.75">
      <c r="A106" s="7"/>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132"/>
    </row>
    <row r="107" spans="1:39" ht="12.75">
      <c r="A107" s="7"/>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132"/>
    </row>
    <row r="108" spans="1:39" ht="12.75">
      <c r="A108" s="7"/>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132"/>
    </row>
    <row r="109" spans="1:39" ht="12.75">
      <c r="A109" s="7"/>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132"/>
    </row>
    <row r="110" spans="1:39" ht="12.75">
      <c r="A110" s="7"/>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132"/>
    </row>
    <row r="111" spans="1:39" ht="12.75">
      <c r="A111" s="7"/>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132"/>
    </row>
    <row r="112" spans="1:39" ht="12.75">
      <c r="A112" s="7"/>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132"/>
    </row>
    <row r="113" spans="1:39" ht="12.75">
      <c r="A113" s="7"/>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132"/>
    </row>
    <row r="114" spans="1:39" ht="12.75">
      <c r="A114" s="7"/>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132"/>
    </row>
    <row r="115" spans="1:39" ht="12.75">
      <c r="A115" s="7"/>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132"/>
    </row>
    <row r="116" spans="1:39" ht="12.75">
      <c r="A116" s="7"/>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132"/>
    </row>
    <row r="117" spans="1:39" ht="12.75">
      <c r="A117" s="7"/>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132"/>
    </row>
    <row r="118" spans="1:39" ht="12.75">
      <c r="A118" s="7"/>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132"/>
    </row>
    <row r="119" spans="1:39" ht="12.75">
      <c r="A119" s="7"/>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132"/>
    </row>
    <row r="120" spans="1:39" ht="12.75">
      <c r="A120" s="7"/>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132"/>
    </row>
    <row r="121" spans="1:39" ht="12.75">
      <c r="A121" s="7"/>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132"/>
    </row>
    <row r="122" spans="1:39" ht="12.75">
      <c r="A122" s="7"/>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132"/>
    </row>
    <row r="123" spans="1:39" ht="12.75">
      <c r="A123" s="7"/>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132"/>
    </row>
    <row r="124" spans="1:39" ht="12.75">
      <c r="A124" s="7"/>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132"/>
    </row>
    <row r="125" spans="1:39" ht="12.75">
      <c r="A125" s="7"/>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132"/>
    </row>
    <row r="126" spans="1:39" ht="12.75">
      <c r="A126" s="7"/>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132"/>
    </row>
    <row r="127" spans="1:39" ht="12.75">
      <c r="A127" s="7"/>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132"/>
    </row>
    <row r="128" spans="1:39" ht="12.75">
      <c r="A128" s="7"/>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132"/>
    </row>
    <row r="129" spans="1:39" ht="12.75">
      <c r="A129" s="7"/>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132"/>
    </row>
    <row r="130" spans="1:39" ht="12.75">
      <c r="A130" s="7"/>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132"/>
    </row>
    <row r="131" spans="1:39" ht="12.75">
      <c r="A131" s="7"/>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132"/>
    </row>
    <row r="132" spans="1:39" ht="12.75">
      <c r="A132" s="7"/>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132"/>
    </row>
    <row r="133" spans="1:39" ht="12.75">
      <c r="A133" s="7"/>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132"/>
    </row>
    <row r="134" spans="1:39" ht="12.75">
      <c r="A134" s="7"/>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132"/>
    </row>
    <row r="135" spans="1:39" ht="12.75">
      <c r="A135" s="7"/>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132"/>
    </row>
    <row r="136" spans="1:39" ht="12.75">
      <c r="A136" s="7"/>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132"/>
    </row>
    <row r="137" spans="1:39" ht="12.75">
      <c r="A137" s="7"/>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132"/>
    </row>
    <row r="138" spans="1:39" ht="12.75">
      <c r="A138" s="7"/>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132"/>
    </row>
    <row r="139" spans="1:39" ht="12.75">
      <c r="A139" s="7"/>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132"/>
    </row>
    <row r="140" spans="1:39" ht="12.75">
      <c r="A140" s="7"/>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132"/>
    </row>
    <row r="141" spans="1:39" ht="12.75">
      <c r="A141" s="7"/>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132"/>
    </row>
    <row r="142" spans="1:39" ht="12.75">
      <c r="A142" s="7"/>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132"/>
    </row>
    <row r="143" spans="1:39" ht="12.75">
      <c r="A143" s="7"/>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132"/>
    </row>
    <row r="144" spans="1:39" ht="12.75">
      <c r="A144" s="7"/>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132"/>
    </row>
    <row r="145" spans="1:39" ht="12.75">
      <c r="A145" s="7"/>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132"/>
    </row>
    <row r="146" spans="1:39" ht="12.75">
      <c r="A146" s="7"/>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132"/>
    </row>
    <row r="147" spans="1:39" ht="12.75">
      <c r="A147" s="7"/>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132"/>
    </row>
    <row r="148" spans="1:39" ht="12.75">
      <c r="A148" s="7"/>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132"/>
    </row>
    <row r="149" spans="1:39" ht="12.75">
      <c r="A149" s="7"/>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132"/>
    </row>
    <row r="150" spans="1:39" ht="12.75">
      <c r="A150" s="7"/>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132"/>
    </row>
    <row r="151" spans="1:39" ht="12.75">
      <c r="A151" s="7"/>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132"/>
    </row>
    <row r="152" spans="1:39" ht="12.75">
      <c r="A152" s="7"/>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132"/>
    </row>
    <row r="153" spans="1:39" ht="12.75">
      <c r="A153" s="7"/>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132"/>
    </row>
    <row r="154" spans="1:39" ht="12.75">
      <c r="A154" s="7"/>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132"/>
    </row>
    <row r="155" spans="1:39" ht="12.75">
      <c r="A155" s="7"/>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132"/>
    </row>
    <row r="156" spans="1:39" ht="12.75">
      <c r="A156" s="7"/>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132"/>
    </row>
    <row r="157" spans="1:39" ht="12.75">
      <c r="A157" s="7"/>
      <c r="B157" s="127"/>
      <c r="C157" s="127"/>
      <c r="D157" s="127"/>
      <c r="E157" s="127"/>
      <c r="F157" s="127"/>
      <c r="G157" s="127"/>
      <c r="H157" s="127"/>
      <c r="I157" s="127"/>
      <c r="J157" s="127"/>
      <c r="K157" s="127"/>
      <c r="L157" s="127"/>
      <c r="M157" s="127"/>
      <c r="N157" s="127"/>
      <c r="O157" s="127"/>
      <c r="P157" s="127"/>
      <c r="Q157" s="127"/>
      <c r="R157" s="127"/>
      <c r="S157" s="127"/>
      <c r="T157" s="127"/>
      <c r="U157" s="127"/>
      <c r="V157" s="127"/>
      <c r="W157" s="127"/>
      <c r="X157" s="4"/>
      <c r="Y157" s="4"/>
      <c r="Z157" s="4"/>
      <c r="AA157" s="4"/>
      <c r="AB157" s="4"/>
      <c r="AC157" s="4"/>
      <c r="AD157" s="4"/>
      <c r="AE157" s="4"/>
      <c r="AF157" s="4"/>
      <c r="AG157" s="4"/>
      <c r="AH157" s="4"/>
      <c r="AI157" s="4"/>
      <c r="AJ157" s="4"/>
      <c r="AK157" s="4"/>
      <c r="AL157" s="4"/>
      <c r="AM157" s="132"/>
    </row>
    <row r="158" spans="24:39" ht="12.75">
      <c r="X158" s="7"/>
      <c r="Y158" s="4"/>
      <c r="Z158" s="4"/>
      <c r="AA158" s="4"/>
      <c r="AB158" s="4"/>
      <c r="AC158" s="4"/>
      <c r="AD158" s="4"/>
      <c r="AE158" s="4"/>
      <c r="AF158" s="4"/>
      <c r="AG158" s="4"/>
      <c r="AH158" s="4"/>
      <c r="AI158" s="4"/>
      <c r="AJ158" s="4"/>
      <c r="AK158" s="4"/>
      <c r="AL158" s="4"/>
      <c r="AM158" s="132"/>
    </row>
    <row r="159" spans="24:39" ht="12.75">
      <c r="X159" s="7"/>
      <c r="Y159" s="4"/>
      <c r="Z159" s="4"/>
      <c r="AA159" s="4"/>
      <c r="AB159" s="4"/>
      <c r="AC159" s="4"/>
      <c r="AD159" s="4"/>
      <c r="AE159" s="4"/>
      <c r="AF159" s="4"/>
      <c r="AG159" s="4"/>
      <c r="AH159" s="4"/>
      <c r="AI159" s="4"/>
      <c r="AJ159" s="4"/>
      <c r="AK159" s="4"/>
      <c r="AL159" s="4"/>
      <c r="AM159" s="132"/>
    </row>
    <row r="160" spans="24:39" ht="12.75">
      <c r="X160" s="7"/>
      <c r="Y160" s="4"/>
      <c r="Z160" s="4"/>
      <c r="AA160" s="4"/>
      <c r="AB160" s="4"/>
      <c r="AC160" s="4"/>
      <c r="AD160" s="4"/>
      <c r="AE160" s="4"/>
      <c r="AF160" s="4"/>
      <c r="AG160" s="4"/>
      <c r="AH160" s="4"/>
      <c r="AI160" s="4"/>
      <c r="AJ160" s="4"/>
      <c r="AK160" s="4"/>
      <c r="AL160" s="4"/>
      <c r="AM160" s="132"/>
    </row>
    <row r="161" spans="24:39" ht="12.75">
      <c r="X161" s="7"/>
      <c r="Y161" s="4"/>
      <c r="Z161" s="4"/>
      <c r="AA161" s="4"/>
      <c r="AB161" s="4"/>
      <c r="AC161" s="4"/>
      <c r="AD161" s="4"/>
      <c r="AE161" s="4"/>
      <c r="AF161" s="4"/>
      <c r="AG161" s="4"/>
      <c r="AH161" s="4"/>
      <c r="AI161" s="4"/>
      <c r="AJ161" s="4"/>
      <c r="AK161" s="4"/>
      <c r="AL161" s="4"/>
      <c r="AM161" s="132"/>
    </row>
    <row r="162" spans="24:39" ht="12.75">
      <c r="X162" s="7"/>
      <c r="Y162" s="4"/>
      <c r="Z162" s="4"/>
      <c r="AA162" s="4"/>
      <c r="AB162" s="4"/>
      <c r="AC162" s="4"/>
      <c r="AD162" s="4"/>
      <c r="AE162" s="4"/>
      <c r="AF162" s="4"/>
      <c r="AG162" s="4"/>
      <c r="AH162" s="4"/>
      <c r="AI162" s="4"/>
      <c r="AJ162" s="4"/>
      <c r="AK162" s="4"/>
      <c r="AL162" s="4"/>
      <c r="AM162" s="132"/>
    </row>
    <row r="163" spans="24:39" ht="12.75">
      <c r="X163" s="7"/>
      <c r="Y163" s="4"/>
      <c r="Z163" s="4"/>
      <c r="AA163" s="4"/>
      <c r="AB163" s="4"/>
      <c r="AC163" s="4"/>
      <c r="AD163" s="4"/>
      <c r="AE163" s="4"/>
      <c r="AF163" s="4"/>
      <c r="AG163" s="4"/>
      <c r="AH163" s="4"/>
      <c r="AI163" s="4"/>
      <c r="AJ163" s="4"/>
      <c r="AK163" s="4"/>
      <c r="AL163" s="4"/>
      <c r="AM163" s="132"/>
    </row>
    <row r="164" spans="24:39" ht="12.75">
      <c r="X164" s="7"/>
      <c r="Y164" s="4"/>
      <c r="Z164" s="4"/>
      <c r="AA164" s="4"/>
      <c r="AB164" s="4"/>
      <c r="AC164" s="4"/>
      <c r="AD164" s="4"/>
      <c r="AE164" s="4"/>
      <c r="AF164" s="4"/>
      <c r="AG164" s="4"/>
      <c r="AH164" s="4"/>
      <c r="AI164" s="4"/>
      <c r="AJ164" s="4"/>
      <c r="AK164" s="4"/>
      <c r="AL164" s="4"/>
      <c r="AM164" s="132"/>
    </row>
    <row r="165" spans="24:39" ht="12.75">
      <c r="X165" s="7"/>
      <c r="Y165" s="4"/>
      <c r="Z165" s="4"/>
      <c r="AA165" s="4"/>
      <c r="AB165" s="4"/>
      <c r="AC165" s="4"/>
      <c r="AD165" s="4"/>
      <c r="AE165" s="4"/>
      <c r="AF165" s="4"/>
      <c r="AG165" s="4"/>
      <c r="AH165" s="4"/>
      <c r="AI165" s="4"/>
      <c r="AJ165" s="4"/>
      <c r="AK165" s="4"/>
      <c r="AL165" s="4"/>
      <c r="AM165" s="132"/>
    </row>
    <row r="166" spans="24:39" ht="12.75">
      <c r="X166" s="7"/>
      <c r="Y166" s="4"/>
      <c r="Z166" s="4"/>
      <c r="AA166" s="4"/>
      <c r="AB166" s="4"/>
      <c r="AC166" s="4"/>
      <c r="AD166" s="4"/>
      <c r="AE166" s="4"/>
      <c r="AF166" s="4"/>
      <c r="AG166" s="4"/>
      <c r="AH166" s="4"/>
      <c r="AI166" s="4"/>
      <c r="AJ166" s="4"/>
      <c r="AK166" s="4"/>
      <c r="AL166" s="4"/>
      <c r="AM166" s="132"/>
    </row>
    <row r="167" spans="24:39" ht="12.75">
      <c r="X167" s="7"/>
      <c r="Y167" s="4"/>
      <c r="Z167" s="4"/>
      <c r="AA167" s="4"/>
      <c r="AB167" s="4"/>
      <c r="AC167" s="4"/>
      <c r="AD167" s="4"/>
      <c r="AE167" s="4"/>
      <c r="AF167" s="4"/>
      <c r="AG167" s="4"/>
      <c r="AH167" s="4"/>
      <c r="AI167" s="4"/>
      <c r="AJ167" s="4"/>
      <c r="AK167" s="4"/>
      <c r="AL167" s="4"/>
      <c r="AM167" s="132"/>
    </row>
    <row r="168" spans="24:39" ht="12.75">
      <c r="X168" s="7"/>
      <c r="Y168" s="4"/>
      <c r="Z168" s="4"/>
      <c r="AA168" s="4"/>
      <c r="AB168" s="4"/>
      <c r="AC168" s="4"/>
      <c r="AD168" s="4"/>
      <c r="AE168" s="4"/>
      <c r="AF168" s="4"/>
      <c r="AG168" s="4"/>
      <c r="AH168" s="4"/>
      <c r="AI168" s="4"/>
      <c r="AJ168" s="4"/>
      <c r="AK168" s="4"/>
      <c r="AL168" s="4"/>
      <c r="AM168" s="132"/>
    </row>
    <row r="169" spans="24:39" ht="12.75">
      <c r="X169" s="7"/>
      <c r="Y169" s="4"/>
      <c r="Z169" s="4"/>
      <c r="AA169" s="4"/>
      <c r="AB169" s="4"/>
      <c r="AC169" s="4"/>
      <c r="AD169" s="4"/>
      <c r="AE169" s="4"/>
      <c r="AF169" s="4"/>
      <c r="AG169" s="4"/>
      <c r="AH169" s="4"/>
      <c r="AI169" s="4"/>
      <c r="AJ169" s="4"/>
      <c r="AK169" s="4"/>
      <c r="AL169" s="4"/>
      <c r="AM169" s="132"/>
    </row>
    <row r="170" spans="24:39" ht="12.75">
      <c r="X170" s="7"/>
      <c r="Y170" s="4"/>
      <c r="Z170" s="4"/>
      <c r="AA170" s="4"/>
      <c r="AB170" s="4"/>
      <c r="AC170" s="4"/>
      <c r="AD170" s="4"/>
      <c r="AE170" s="4"/>
      <c r="AF170" s="4"/>
      <c r="AG170" s="4"/>
      <c r="AH170" s="4"/>
      <c r="AI170" s="4"/>
      <c r="AJ170" s="4"/>
      <c r="AK170" s="4"/>
      <c r="AL170" s="4"/>
      <c r="AM170" s="132"/>
    </row>
    <row r="171" spans="24:39" ht="12.75">
      <c r="X171" s="7"/>
      <c r="Y171" s="4"/>
      <c r="Z171" s="4"/>
      <c r="AA171" s="4"/>
      <c r="AB171" s="4"/>
      <c r="AC171" s="4"/>
      <c r="AD171" s="4"/>
      <c r="AE171" s="4"/>
      <c r="AF171" s="4"/>
      <c r="AG171" s="4"/>
      <c r="AH171" s="4"/>
      <c r="AI171" s="4"/>
      <c r="AJ171" s="4"/>
      <c r="AK171" s="4"/>
      <c r="AL171" s="4"/>
      <c r="AM171" s="132"/>
    </row>
    <row r="172" spans="24:39" ht="12.75">
      <c r="X172" s="7"/>
      <c r="Y172" s="4"/>
      <c r="Z172" s="4"/>
      <c r="AA172" s="4"/>
      <c r="AB172" s="4"/>
      <c r="AC172" s="4"/>
      <c r="AD172" s="4"/>
      <c r="AE172" s="4"/>
      <c r="AF172" s="4"/>
      <c r="AG172" s="4"/>
      <c r="AH172" s="4"/>
      <c r="AI172" s="4"/>
      <c r="AJ172" s="4"/>
      <c r="AK172" s="4"/>
      <c r="AL172" s="4"/>
      <c r="AM172" s="132"/>
    </row>
    <row r="173" spans="24:39" ht="12.75">
      <c r="X173" s="7"/>
      <c r="Y173" s="4"/>
      <c r="Z173" s="4"/>
      <c r="AA173" s="4"/>
      <c r="AB173" s="4"/>
      <c r="AC173" s="4"/>
      <c r="AD173" s="4"/>
      <c r="AE173" s="4"/>
      <c r="AF173" s="4"/>
      <c r="AG173" s="4"/>
      <c r="AH173" s="4"/>
      <c r="AI173" s="4"/>
      <c r="AJ173" s="4"/>
      <c r="AK173" s="4"/>
      <c r="AL173" s="4"/>
      <c r="AM173" s="132"/>
    </row>
    <row r="174" spans="24:39" ht="12.75">
      <c r="X174" s="7"/>
      <c r="Y174" s="4"/>
      <c r="Z174" s="4"/>
      <c r="AA174" s="4"/>
      <c r="AB174" s="4"/>
      <c r="AC174" s="4"/>
      <c r="AD174" s="4"/>
      <c r="AE174" s="4"/>
      <c r="AF174" s="4"/>
      <c r="AG174" s="4"/>
      <c r="AH174" s="4"/>
      <c r="AI174" s="4"/>
      <c r="AJ174" s="4"/>
      <c r="AK174" s="4"/>
      <c r="AL174" s="4"/>
      <c r="AM174" s="132"/>
    </row>
    <row r="175" spans="24:39" ht="12.75">
      <c r="X175" s="7"/>
      <c r="Y175" s="4"/>
      <c r="Z175" s="4"/>
      <c r="AA175" s="4"/>
      <c r="AB175" s="4"/>
      <c r="AC175" s="4"/>
      <c r="AD175" s="4"/>
      <c r="AE175" s="4"/>
      <c r="AF175" s="4"/>
      <c r="AG175" s="4"/>
      <c r="AH175" s="4"/>
      <c r="AI175" s="4"/>
      <c r="AJ175" s="4"/>
      <c r="AK175" s="4"/>
      <c r="AL175" s="4"/>
      <c r="AM175" s="132"/>
    </row>
    <row r="176" spans="24:39" ht="12.75">
      <c r="X176" s="7"/>
      <c r="Y176" s="4"/>
      <c r="Z176" s="4"/>
      <c r="AA176" s="4"/>
      <c r="AB176" s="4"/>
      <c r="AC176" s="4"/>
      <c r="AD176" s="4"/>
      <c r="AE176" s="4"/>
      <c r="AF176" s="4"/>
      <c r="AG176" s="4"/>
      <c r="AH176" s="4"/>
      <c r="AI176" s="4"/>
      <c r="AJ176" s="4"/>
      <c r="AK176" s="4"/>
      <c r="AL176" s="4"/>
      <c r="AM176" s="132"/>
    </row>
    <row r="177" spans="24:39" ht="12.75">
      <c r="X177" s="7"/>
      <c r="Y177" s="4"/>
      <c r="Z177" s="4"/>
      <c r="AA177" s="4"/>
      <c r="AB177" s="4"/>
      <c r="AC177" s="4"/>
      <c r="AD177" s="4"/>
      <c r="AE177" s="4"/>
      <c r="AF177" s="4"/>
      <c r="AG177" s="4"/>
      <c r="AH177" s="4"/>
      <c r="AI177" s="4"/>
      <c r="AJ177" s="4"/>
      <c r="AK177" s="4"/>
      <c r="AL177" s="4"/>
      <c r="AM177" s="132"/>
    </row>
    <row r="178" spans="24:39" ht="12.75">
      <c r="X178" s="7"/>
      <c r="Y178" s="4"/>
      <c r="Z178" s="4"/>
      <c r="AA178" s="4"/>
      <c r="AB178" s="4"/>
      <c r="AC178" s="4"/>
      <c r="AD178" s="4"/>
      <c r="AE178" s="4"/>
      <c r="AF178" s="4"/>
      <c r="AG178" s="4"/>
      <c r="AH178" s="4"/>
      <c r="AI178" s="4"/>
      <c r="AJ178" s="4"/>
      <c r="AK178" s="4"/>
      <c r="AL178" s="4"/>
      <c r="AM178" s="132"/>
    </row>
    <row r="179" spans="24:39" ht="12.75">
      <c r="X179" s="7"/>
      <c r="Y179" s="4"/>
      <c r="Z179" s="4"/>
      <c r="AA179" s="4"/>
      <c r="AB179" s="4"/>
      <c r="AC179" s="4"/>
      <c r="AD179" s="4"/>
      <c r="AE179" s="4"/>
      <c r="AF179" s="4"/>
      <c r="AG179" s="4"/>
      <c r="AH179" s="4"/>
      <c r="AI179" s="4"/>
      <c r="AJ179" s="4"/>
      <c r="AK179" s="4"/>
      <c r="AL179" s="4"/>
      <c r="AM179" s="132"/>
    </row>
    <row r="180" spans="24:39" ht="12.75">
      <c r="X180" s="7"/>
      <c r="Y180" s="4"/>
      <c r="Z180" s="4"/>
      <c r="AA180" s="4"/>
      <c r="AB180" s="4"/>
      <c r="AC180" s="4"/>
      <c r="AD180" s="4"/>
      <c r="AE180" s="4"/>
      <c r="AF180" s="4"/>
      <c r="AG180" s="4"/>
      <c r="AH180" s="4"/>
      <c r="AI180" s="4"/>
      <c r="AJ180" s="4"/>
      <c r="AK180" s="4"/>
      <c r="AL180" s="4"/>
      <c r="AM180" s="132"/>
    </row>
    <row r="181" spans="24:39" ht="12.75">
      <c r="X181" s="7"/>
      <c r="Y181" s="4"/>
      <c r="Z181" s="4"/>
      <c r="AA181" s="4"/>
      <c r="AB181" s="4"/>
      <c r="AC181" s="4"/>
      <c r="AD181" s="4"/>
      <c r="AE181" s="4"/>
      <c r="AF181" s="4"/>
      <c r="AG181" s="4"/>
      <c r="AH181" s="4"/>
      <c r="AI181" s="4"/>
      <c r="AJ181" s="4"/>
      <c r="AK181" s="4"/>
      <c r="AL181" s="4"/>
      <c r="AM181" s="132"/>
    </row>
    <row r="182" spans="24:39" ht="12.75">
      <c r="X182" s="7"/>
      <c r="Y182" s="4"/>
      <c r="Z182" s="4"/>
      <c r="AA182" s="4"/>
      <c r="AB182" s="4"/>
      <c r="AC182" s="4"/>
      <c r="AD182" s="4"/>
      <c r="AE182" s="4"/>
      <c r="AF182" s="4"/>
      <c r="AG182" s="4"/>
      <c r="AH182" s="4"/>
      <c r="AI182" s="4"/>
      <c r="AJ182" s="4"/>
      <c r="AK182" s="4"/>
      <c r="AL182" s="4"/>
      <c r="AM182" s="132"/>
    </row>
    <row r="183" spans="24:39" ht="12.75">
      <c r="X183" s="7"/>
      <c r="Y183" s="4"/>
      <c r="Z183" s="4"/>
      <c r="AA183" s="4"/>
      <c r="AB183" s="4"/>
      <c r="AC183" s="4"/>
      <c r="AD183" s="4"/>
      <c r="AE183" s="4"/>
      <c r="AF183" s="4"/>
      <c r="AG183" s="4"/>
      <c r="AH183" s="4"/>
      <c r="AI183" s="4"/>
      <c r="AJ183" s="4"/>
      <c r="AK183" s="4"/>
      <c r="AL183" s="4"/>
      <c r="AM183" s="132"/>
    </row>
    <row r="184" spans="24:39" ht="12.75">
      <c r="X184" s="7"/>
      <c r="Y184" s="4"/>
      <c r="Z184" s="4"/>
      <c r="AA184" s="4"/>
      <c r="AB184" s="4"/>
      <c r="AC184" s="4"/>
      <c r="AD184" s="4"/>
      <c r="AE184" s="4"/>
      <c r="AF184" s="4"/>
      <c r="AG184" s="4"/>
      <c r="AH184" s="4"/>
      <c r="AI184" s="4"/>
      <c r="AJ184" s="4"/>
      <c r="AK184" s="4"/>
      <c r="AL184" s="4"/>
      <c r="AM184" s="132"/>
    </row>
    <row r="185" spans="24:39" ht="12.75">
      <c r="X185" s="7"/>
      <c r="Y185" s="4"/>
      <c r="Z185" s="4"/>
      <c r="AA185" s="4"/>
      <c r="AB185" s="4"/>
      <c r="AC185" s="4"/>
      <c r="AD185" s="4"/>
      <c r="AE185" s="4"/>
      <c r="AF185" s="4"/>
      <c r="AG185" s="4"/>
      <c r="AH185" s="4"/>
      <c r="AI185" s="4"/>
      <c r="AJ185" s="4"/>
      <c r="AK185" s="4"/>
      <c r="AL185" s="4"/>
      <c r="AM185" s="132"/>
    </row>
    <row r="186" spans="24:39" ht="12.75">
      <c r="X186" s="7"/>
      <c r="Y186" s="4"/>
      <c r="Z186" s="4"/>
      <c r="AA186" s="4"/>
      <c r="AB186" s="4"/>
      <c r="AC186" s="4"/>
      <c r="AD186" s="4"/>
      <c r="AE186" s="4"/>
      <c r="AF186" s="4"/>
      <c r="AG186" s="4"/>
      <c r="AH186" s="4"/>
      <c r="AI186" s="4"/>
      <c r="AJ186" s="4"/>
      <c r="AK186" s="4"/>
      <c r="AL186" s="4"/>
      <c r="AM186" s="132"/>
    </row>
    <row r="187" spans="24:39" ht="12.75">
      <c r="X187" s="7"/>
      <c r="Y187" s="4"/>
      <c r="Z187" s="4"/>
      <c r="AA187" s="4"/>
      <c r="AB187" s="4"/>
      <c r="AC187" s="4"/>
      <c r="AD187" s="4"/>
      <c r="AE187" s="4"/>
      <c r="AF187" s="4"/>
      <c r="AG187" s="4"/>
      <c r="AH187" s="4"/>
      <c r="AI187" s="4"/>
      <c r="AJ187" s="4"/>
      <c r="AK187" s="4"/>
      <c r="AL187" s="4"/>
      <c r="AM187" s="132"/>
    </row>
    <row r="188" spans="24:39" ht="12.75">
      <c r="X188" s="7"/>
      <c r="Y188" s="4"/>
      <c r="Z188" s="4"/>
      <c r="AA188" s="4"/>
      <c r="AB188" s="4"/>
      <c r="AC188" s="4"/>
      <c r="AD188" s="4"/>
      <c r="AE188" s="4"/>
      <c r="AF188" s="4"/>
      <c r="AG188" s="4"/>
      <c r="AH188" s="4"/>
      <c r="AI188" s="4"/>
      <c r="AJ188" s="4"/>
      <c r="AK188" s="4"/>
      <c r="AL188" s="4"/>
      <c r="AM188" s="132"/>
    </row>
    <row r="189" spans="24:39" ht="12.75">
      <c r="X189" s="7"/>
      <c r="Y189" s="4"/>
      <c r="Z189" s="4"/>
      <c r="AA189" s="4"/>
      <c r="AB189" s="4"/>
      <c r="AC189" s="4"/>
      <c r="AD189" s="4"/>
      <c r="AE189" s="4"/>
      <c r="AF189" s="4"/>
      <c r="AG189" s="4"/>
      <c r="AH189" s="4"/>
      <c r="AI189" s="4"/>
      <c r="AJ189" s="4"/>
      <c r="AK189" s="4"/>
      <c r="AL189" s="4"/>
      <c r="AM189" s="132"/>
    </row>
    <row r="190" spans="24:39" ht="12.75">
      <c r="X190" s="7"/>
      <c r="Y190" s="4"/>
      <c r="Z190" s="4"/>
      <c r="AA190" s="4"/>
      <c r="AB190" s="4"/>
      <c r="AC190" s="4"/>
      <c r="AD190" s="4"/>
      <c r="AE190" s="4"/>
      <c r="AF190" s="4"/>
      <c r="AG190" s="4"/>
      <c r="AH190" s="4"/>
      <c r="AI190" s="4"/>
      <c r="AJ190" s="4"/>
      <c r="AK190" s="4"/>
      <c r="AL190" s="4"/>
      <c r="AM190" s="132"/>
    </row>
    <row r="191" spans="24:39" ht="12.75">
      <c r="X191" s="7"/>
      <c r="Y191" s="4"/>
      <c r="Z191" s="4"/>
      <c r="AA191" s="4"/>
      <c r="AB191" s="4"/>
      <c r="AC191" s="4"/>
      <c r="AD191" s="4"/>
      <c r="AE191" s="4"/>
      <c r="AF191" s="4"/>
      <c r="AG191" s="4"/>
      <c r="AH191" s="4"/>
      <c r="AI191" s="4"/>
      <c r="AJ191" s="4"/>
      <c r="AK191" s="4"/>
      <c r="AL191" s="4"/>
      <c r="AM191" s="132"/>
    </row>
    <row r="192" spans="24:39" ht="12.75">
      <c r="X192" s="7"/>
      <c r="Y192" s="4"/>
      <c r="Z192" s="4"/>
      <c r="AA192" s="4"/>
      <c r="AB192" s="4"/>
      <c r="AC192" s="4"/>
      <c r="AD192" s="4"/>
      <c r="AE192" s="4"/>
      <c r="AF192" s="4"/>
      <c r="AG192" s="4"/>
      <c r="AH192" s="4"/>
      <c r="AI192" s="4"/>
      <c r="AJ192" s="4"/>
      <c r="AK192" s="4"/>
      <c r="AL192" s="4"/>
      <c r="AM192" s="132"/>
    </row>
    <row r="193" spans="24:39" ht="12.75">
      <c r="X193" s="7"/>
      <c r="Y193" s="4"/>
      <c r="Z193" s="4"/>
      <c r="AA193" s="4"/>
      <c r="AB193" s="4"/>
      <c r="AC193" s="4"/>
      <c r="AD193" s="4"/>
      <c r="AE193" s="4"/>
      <c r="AF193" s="4"/>
      <c r="AG193" s="4"/>
      <c r="AH193" s="4"/>
      <c r="AI193" s="4"/>
      <c r="AJ193" s="4"/>
      <c r="AK193" s="4"/>
      <c r="AL193" s="4"/>
      <c r="AM193" s="132"/>
    </row>
    <row r="194" spans="24:39" ht="12.75">
      <c r="X194" s="7"/>
      <c r="Y194" s="4"/>
      <c r="Z194" s="4"/>
      <c r="AA194" s="4"/>
      <c r="AB194" s="4"/>
      <c r="AC194" s="4"/>
      <c r="AD194" s="4"/>
      <c r="AE194" s="4"/>
      <c r="AF194" s="4"/>
      <c r="AG194" s="4"/>
      <c r="AH194" s="4"/>
      <c r="AI194" s="4"/>
      <c r="AJ194" s="4"/>
      <c r="AK194" s="4"/>
      <c r="AL194" s="4"/>
      <c r="AM194" s="132"/>
    </row>
    <row r="195" spans="24:39" ht="12.75">
      <c r="X195" s="7"/>
      <c r="Y195" s="4"/>
      <c r="Z195" s="4"/>
      <c r="AA195" s="4"/>
      <c r="AB195" s="4"/>
      <c r="AC195" s="4"/>
      <c r="AD195" s="4"/>
      <c r="AE195" s="4"/>
      <c r="AF195" s="4"/>
      <c r="AG195" s="4"/>
      <c r="AH195" s="4"/>
      <c r="AI195" s="4"/>
      <c r="AJ195" s="4"/>
      <c r="AK195" s="4"/>
      <c r="AL195" s="4"/>
      <c r="AM195" s="132"/>
    </row>
    <row r="196" spans="24:39" ht="12.75">
      <c r="X196" s="7"/>
      <c r="Y196" s="4"/>
      <c r="Z196" s="4"/>
      <c r="AA196" s="4"/>
      <c r="AB196" s="4"/>
      <c r="AC196" s="4"/>
      <c r="AD196" s="4"/>
      <c r="AE196" s="4"/>
      <c r="AF196" s="4"/>
      <c r="AG196" s="4"/>
      <c r="AH196" s="4"/>
      <c r="AI196" s="4"/>
      <c r="AJ196" s="4"/>
      <c r="AK196" s="4"/>
      <c r="AL196" s="4"/>
      <c r="AM196" s="132"/>
    </row>
    <row r="197" spans="24:39" ht="12.75">
      <c r="X197" s="7"/>
      <c r="Y197" s="4"/>
      <c r="Z197" s="4"/>
      <c r="AA197" s="4"/>
      <c r="AB197" s="4"/>
      <c r="AC197" s="4"/>
      <c r="AD197" s="4"/>
      <c r="AE197" s="4"/>
      <c r="AF197" s="4"/>
      <c r="AG197" s="4"/>
      <c r="AH197" s="4"/>
      <c r="AI197" s="4"/>
      <c r="AJ197" s="4"/>
      <c r="AK197" s="4"/>
      <c r="AL197" s="4"/>
      <c r="AM197" s="132"/>
    </row>
    <row r="198" spans="24:39" ht="12.75">
      <c r="X198" s="7"/>
      <c r="Y198" s="4"/>
      <c r="Z198" s="4"/>
      <c r="AA198" s="4"/>
      <c r="AB198" s="4"/>
      <c r="AC198" s="4"/>
      <c r="AD198" s="4"/>
      <c r="AE198" s="4"/>
      <c r="AF198" s="4"/>
      <c r="AG198" s="4"/>
      <c r="AH198" s="4"/>
      <c r="AI198" s="4"/>
      <c r="AJ198" s="4"/>
      <c r="AK198" s="4"/>
      <c r="AL198" s="4"/>
      <c r="AM198" s="132"/>
    </row>
    <row r="199" spans="24:39" ht="12.75">
      <c r="X199" s="7"/>
      <c r="Y199" s="4"/>
      <c r="Z199" s="4"/>
      <c r="AA199" s="4"/>
      <c r="AB199" s="4"/>
      <c r="AC199" s="4"/>
      <c r="AD199" s="4"/>
      <c r="AE199" s="4"/>
      <c r="AF199" s="4"/>
      <c r="AG199" s="4"/>
      <c r="AH199" s="4"/>
      <c r="AI199" s="4"/>
      <c r="AJ199" s="4"/>
      <c r="AK199" s="4"/>
      <c r="AL199" s="4"/>
      <c r="AM199" s="132"/>
    </row>
    <row r="200" spans="24:39" ht="12.75">
      <c r="X200" s="7"/>
      <c r="Y200" s="4"/>
      <c r="Z200" s="4"/>
      <c r="AA200" s="4"/>
      <c r="AB200" s="4"/>
      <c r="AC200" s="4"/>
      <c r="AD200" s="4"/>
      <c r="AE200" s="4"/>
      <c r="AF200" s="4"/>
      <c r="AG200" s="4"/>
      <c r="AH200" s="4"/>
      <c r="AI200" s="4"/>
      <c r="AJ200" s="4"/>
      <c r="AK200" s="4"/>
      <c r="AL200" s="4"/>
      <c r="AM200" s="132"/>
    </row>
    <row r="201" spans="24:39" ht="12.75">
      <c r="X201" s="7"/>
      <c r="Y201" s="4"/>
      <c r="Z201" s="4"/>
      <c r="AA201" s="4"/>
      <c r="AB201" s="4"/>
      <c r="AC201" s="4"/>
      <c r="AD201" s="4"/>
      <c r="AE201" s="4"/>
      <c r="AF201" s="4"/>
      <c r="AG201" s="4"/>
      <c r="AH201" s="4"/>
      <c r="AI201" s="4"/>
      <c r="AJ201" s="4"/>
      <c r="AK201" s="4"/>
      <c r="AL201" s="4"/>
      <c r="AM201" s="132"/>
    </row>
    <row r="202" spans="24:39" ht="12.75">
      <c r="X202" s="7"/>
      <c r="Y202" s="4"/>
      <c r="Z202" s="4"/>
      <c r="AA202" s="4"/>
      <c r="AB202" s="4"/>
      <c r="AC202" s="4"/>
      <c r="AD202" s="4"/>
      <c r="AE202" s="4"/>
      <c r="AF202" s="4"/>
      <c r="AG202" s="4"/>
      <c r="AH202" s="4"/>
      <c r="AI202" s="4"/>
      <c r="AJ202" s="4"/>
      <c r="AK202" s="4"/>
      <c r="AL202" s="4"/>
      <c r="AM202" s="132"/>
    </row>
    <row r="203" spans="24:39" ht="12.75">
      <c r="X203" s="7"/>
      <c r="Y203" s="4"/>
      <c r="Z203" s="4"/>
      <c r="AA203" s="4"/>
      <c r="AB203" s="4"/>
      <c r="AC203" s="4"/>
      <c r="AD203" s="4"/>
      <c r="AE203" s="4"/>
      <c r="AF203" s="4"/>
      <c r="AG203" s="4"/>
      <c r="AH203" s="4"/>
      <c r="AI203" s="4"/>
      <c r="AJ203" s="4"/>
      <c r="AK203" s="4"/>
      <c r="AL203" s="4"/>
      <c r="AM203" s="132"/>
    </row>
    <row r="204" spans="24:39" ht="12.75">
      <c r="X204" s="7"/>
      <c r="Y204" s="4"/>
      <c r="Z204" s="4"/>
      <c r="AA204" s="4"/>
      <c r="AB204" s="4"/>
      <c r="AC204" s="4"/>
      <c r="AD204" s="4"/>
      <c r="AE204" s="4"/>
      <c r="AF204" s="4"/>
      <c r="AG204" s="4"/>
      <c r="AH204" s="4"/>
      <c r="AI204" s="4"/>
      <c r="AJ204" s="4"/>
      <c r="AK204" s="4"/>
      <c r="AL204" s="4"/>
      <c r="AM204" s="132"/>
    </row>
    <row r="205" spans="24:39" ht="12.75">
      <c r="X205" s="7"/>
      <c r="Y205" s="4"/>
      <c r="Z205" s="4"/>
      <c r="AA205" s="4"/>
      <c r="AB205" s="4"/>
      <c r="AC205" s="4"/>
      <c r="AD205" s="4"/>
      <c r="AE205" s="4"/>
      <c r="AF205" s="4"/>
      <c r="AG205" s="4"/>
      <c r="AH205" s="4"/>
      <c r="AI205" s="4"/>
      <c r="AJ205" s="4"/>
      <c r="AK205" s="4"/>
      <c r="AL205" s="4"/>
      <c r="AM205" s="132"/>
    </row>
    <row r="206" spans="24:39" ht="12.75">
      <c r="X206" s="7"/>
      <c r="Y206" s="4"/>
      <c r="Z206" s="4"/>
      <c r="AA206" s="4"/>
      <c r="AB206" s="4"/>
      <c r="AC206" s="4"/>
      <c r="AD206" s="4"/>
      <c r="AE206" s="4"/>
      <c r="AF206" s="4"/>
      <c r="AG206" s="4"/>
      <c r="AH206" s="4"/>
      <c r="AI206" s="4"/>
      <c r="AJ206" s="4"/>
      <c r="AK206" s="4"/>
      <c r="AL206" s="4"/>
      <c r="AM206" s="132"/>
    </row>
    <row r="207" spans="24:39" ht="12.75">
      <c r="X207" s="7"/>
      <c r="Y207" s="4"/>
      <c r="Z207" s="4"/>
      <c r="AA207" s="4"/>
      <c r="AB207" s="4"/>
      <c r="AC207" s="4"/>
      <c r="AD207" s="4"/>
      <c r="AE207" s="4"/>
      <c r="AF207" s="4"/>
      <c r="AG207" s="4"/>
      <c r="AH207" s="4"/>
      <c r="AI207" s="4"/>
      <c r="AJ207" s="4"/>
      <c r="AK207" s="4"/>
      <c r="AL207" s="4"/>
      <c r="AM207" s="132"/>
    </row>
    <row r="208" spans="24:39" ht="12.75">
      <c r="X208" s="7"/>
      <c r="Y208" s="4"/>
      <c r="Z208" s="4"/>
      <c r="AA208" s="4"/>
      <c r="AB208" s="4"/>
      <c r="AC208" s="4"/>
      <c r="AD208" s="4"/>
      <c r="AE208" s="4"/>
      <c r="AF208" s="4"/>
      <c r="AG208" s="4"/>
      <c r="AH208" s="4"/>
      <c r="AI208" s="4"/>
      <c r="AJ208" s="4"/>
      <c r="AK208" s="4"/>
      <c r="AL208" s="4"/>
      <c r="AM208" s="132"/>
    </row>
    <row r="209" spans="24:39" ht="12.75">
      <c r="X209" s="7"/>
      <c r="Y209" s="4"/>
      <c r="Z209" s="4"/>
      <c r="AA209" s="4"/>
      <c r="AB209" s="4"/>
      <c r="AC209" s="4"/>
      <c r="AD209" s="4"/>
      <c r="AE209" s="4"/>
      <c r="AF209" s="4"/>
      <c r="AG209" s="4"/>
      <c r="AH209" s="4"/>
      <c r="AI209" s="4"/>
      <c r="AJ209" s="4"/>
      <c r="AK209" s="4"/>
      <c r="AL209" s="4"/>
      <c r="AM209" s="132"/>
    </row>
    <row r="210" spans="24:39" ht="12.75">
      <c r="X210" s="7"/>
      <c r="Y210" s="4"/>
      <c r="Z210" s="4"/>
      <c r="AA210" s="4"/>
      <c r="AB210" s="4"/>
      <c r="AC210" s="4"/>
      <c r="AD210" s="4"/>
      <c r="AE210" s="4"/>
      <c r="AF210" s="4"/>
      <c r="AG210" s="4"/>
      <c r="AH210" s="4"/>
      <c r="AI210" s="4"/>
      <c r="AJ210" s="4"/>
      <c r="AK210" s="4"/>
      <c r="AL210" s="4"/>
      <c r="AM210" s="132"/>
    </row>
    <row r="211" spans="24:39" ht="12.75">
      <c r="X211" s="7"/>
      <c r="Y211" s="4"/>
      <c r="Z211" s="4"/>
      <c r="AA211" s="4"/>
      <c r="AB211" s="4"/>
      <c r="AC211" s="4"/>
      <c r="AD211" s="4"/>
      <c r="AE211" s="4"/>
      <c r="AF211" s="4"/>
      <c r="AG211" s="4"/>
      <c r="AH211" s="4"/>
      <c r="AI211" s="4"/>
      <c r="AJ211" s="4"/>
      <c r="AK211" s="4"/>
      <c r="AL211" s="4"/>
      <c r="AM211" s="132"/>
    </row>
    <row r="212" spans="24:39" ht="12.75">
      <c r="X212" s="7"/>
      <c r="Y212" s="4"/>
      <c r="Z212" s="4"/>
      <c r="AA212" s="4"/>
      <c r="AB212" s="4"/>
      <c r="AC212" s="4"/>
      <c r="AD212" s="4"/>
      <c r="AE212" s="4"/>
      <c r="AF212" s="4"/>
      <c r="AG212" s="4"/>
      <c r="AH212" s="4"/>
      <c r="AI212" s="4"/>
      <c r="AJ212" s="4"/>
      <c r="AK212" s="4"/>
      <c r="AL212" s="4"/>
      <c r="AM212" s="132"/>
    </row>
    <row r="213" spans="24:39" ht="12.75">
      <c r="X213" s="7"/>
      <c r="Y213" s="4"/>
      <c r="Z213" s="4"/>
      <c r="AA213" s="4"/>
      <c r="AB213" s="4"/>
      <c r="AC213" s="4"/>
      <c r="AD213" s="4"/>
      <c r="AE213" s="4"/>
      <c r="AF213" s="4"/>
      <c r="AG213" s="4"/>
      <c r="AH213" s="4"/>
      <c r="AI213" s="4"/>
      <c r="AJ213" s="4"/>
      <c r="AK213" s="4"/>
      <c r="AL213" s="4"/>
      <c r="AM213" s="132"/>
    </row>
    <row r="214" spans="24:39" ht="12.75">
      <c r="X214" s="7"/>
      <c r="Y214" s="4"/>
      <c r="Z214" s="4"/>
      <c r="AA214" s="4"/>
      <c r="AB214" s="4"/>
      <c r="AC214" s="4"/>
      <c r="AD214" s="4"/>
      <c r="AE214" s="4"/>
      <c r="AF214" s="4"/>
      <c r="AG214" s="4"/>
      <c r="AH214" s="4"/>
      <c r="AI214" s="4"/>
      <c r="AJ214" s="4"/>
      <c r="AK214" s="4"/>
      <c r="AL214" s="4"/>
      <c r="AM214" s="132"/>
    </row>
    <row r="215" spans="24:39" ht="12.75">
      <c r="X215" s="7"/>
      <c r="Y215" s="4"/>
      <c r="Z215" s="4"/>
      <c r="AA215" s="4"/>
      <c r="AB215" s="4"/>
      <c r="AC215" s="4"/>
      <c r="AD215" s="4"/>
      <c r="AE215" s="4"/>
      <c r="AF215" s="4"/>
      <c r="AG215" s="4"/>
      <c r="AH215" s="4"/>
      <c r="AI215" s="4"/>
      <c r="AJ215" s="4"/>
      <c r="AK215" s="4"/>
      <c r="AL215" s="4"/>
      <c r="AM215" s="132"/>
    </row>
    <row r="216" spans="24:39" ht="12.75">
      <c r="X216" s="7"/>
      <c r="Y216" s="4"/>
      <c r="Z216" s="4"/>
      <c r="AA216" s="4"/>
      <c r="AB216" s="4"/>
      <c r="AC216" s="4"/>
      <c r="AD216" s="4"/>
      <c r="AE216" s="4"/>
      <c r="AF216" s="4"/>
      <c r="AG216" s="4"/>
      <c r="AH216" s="4"/>
      <c r="AI216" s="4"/>
      <c r="AJ216" s="4"/>
      <c r="AK216" s="4"/>
      <c r="AL216" s="4"/>
      <c r="AM216" s="132"/>
    </row>
    <row r="217" spans="24:39" ht="12.75">
      <c r="X217" s="7"/>
      <c r="Y217" s="4"/>
      <c r="Z217" s="4"/>
      <c r="AA217" s="4"/>
      <c r="AB217" s="4"/>
      <c r="AC217" s="4"/>
      <c r="AD217" s="4"/>
      <c r="AE217" s="4"/>
      <c r="AF217" s="4"/>
      <c r="AG217" s="4"/>
      <c r="AH217" s="4"/>
      <c r="AI217" s="4"/>
      <c r="AJ217" s="4"/>
      <c r="AK217" s="4"/>
      <c r="AL217" s="4"/>
      <c r="AM217" s="132"/>
    </row>
    <row r="218" spans="24:39" ht="12.75">
      <c r="X218" s="7"/>
      <c r="Y218" s="4"/>
      <c r="Z218" s="4"/>
      <c r="AA218" s="4"/>
      <c r="AB218" s="4"/>
      <c r="AC218" s="4"/>
      <c r="AD218" s="4"/>
      <c r="AE218" s="4"/>
      <c r="AF218" s="4"/>
      <c r="AG218" s="4"/>
      <c r="AH218" s="4"/>
      <c r="AI218" s="4"/>
      <c r="AJ218" s="4"/>
      <c r="AK218" s="4"/>
      <c r="AL218" s="4"/>
      <c r="AM218" s="132"/>
    </row>
    <row r="219" spans="24:39" ht="12.75">
      <c r="X219" s="7"/>
      <c r="Y219" s="4"/>
      <c r="Z219" s="4"/>
      <c r="AA219" s="4"/>
      <c r="AB219" s="4"/>
      <c r="AC219" s="4"/>
      <c r="AD219" s="4"/>
      <c r="AE219" s="4"/>
      <c r="AF219" s="4"/>
      <c r="AG219" s="4"/>
      <c r="AH219" s="4"/>
      <c r="AI219" s="4"/>
      <c r="AJ219" s="4"/>
      <c r="AK219" s="4"/>
      <c r="AL219" s="4"/>
      <c r="AM219" s="132"/>
    </row>
    <row r="220" spans="24:39" ht="12.75">
      <c r="X220" s="7"/>
      <c r="Y220" s="4"/>
      <c r="Z220" s="4"/>
      <c r="AA220" s="4"/>
      <c r="AB220" s="4"/>
      <c r="AC220" s="4"/>
      <c r="AD220" s="4"/>
      <c r="AE220" s="4"/>
      <c r="AF220" s="4"/>
      <c r="AG220" s="4"/>
      <c r="AH220" s="4"/>
      <c r="AI220" s="4"/>
      <c r="AJ220" s="4"/>
      <c r="AK220" s="4"/>
      <c r="AL220" s="4"/>
      <c r="AM220" s="132"/>
    </row>
    <row r="221" spans="24:39" ht="12.75">
      <c r="X221" s="7"/>
      <c r="Y221" s="4"/>
      <c r="Z221" s="4"/>
      <c r="AA221" s="4"/>
      <c r="AB221" s="4"/>
      <c r="AC221" s="4"/>
      <c r="AD221" s="4"/>
      <c r="AE221" s="4"/>
      <c r="AF221" s="4"/>
      <c r="AG221" s="4"/>
      <c r="AH221" s="4"/>
      <c r="AI221" s="4"/>
      <c r="AJ221" s="4"/>
      <c r="AK221" s="4"/>
      <c r="AL221" s="4"/>
      <c r="AM221" s="132"/>
    </row>
    <row r="222" spans="24:39" ht="12.75">
      <c r="X222" s="7"/>
      <c r="Y222" s="4"/>
      <c r="Z222" s="4"/>
      <c r="AA222" s="4"/>
      <c r="AB222" s="4"/>
      <c r="AC222" s="4"/>
      <c r="AD222" s="4"/>
      <c r="AE222" s="4"/>
      <c r="AF222" s="4"/>
      <c r="AG222" s="4"/>
      <c r="AH222" s="4"/>
      <c r="AI222" s="4"/>
      <c r="AJ222" s="4"/>
      <c r="AK222" s="4"/>
      <c r="AL222" s="4"/>
      <c r="AM222" s="132"/>
    </row>
    <row r="223" spans="24:39" ht="12.75">
      <c r="X223" s="7"/>
      <c r="Y223" s="4"/>
      <c r="Z223" s="4"/>
      <c r="AA223" s="4"/>
      <c r="AB223" s="4"/>
      <c r="AC223" s="4"/>
      <c r="AD223" s="4"/>
      <c r="AE223" s="4"/>
      <c r="AF223" s="4"/>
      <c r="AG223" s="4"/>
      <c r="AH223" s="4"/>
      <c r="AI223" s="4"/>
      <c r="AJ223" s="4"/>
      <c r="AK223" s="4"/>
      <c r="AL223" s="4"/>
      <c r="AM223" s="132"/>
    </row>
    <row r="224" spans="24:39" ht="12.75">
      <c r="X224" s="7"/>
      <c r="Y224" s="4"/>
      <c r="Z224" s="4"/>
      <c r="AA224" s="4"/>
      <c r="AB224" s="4"/>
      <c r="AC224" s="4"/>
      <c r="AD224" s="4"/>
      <c r="AE224" s="4"/>
      <c r="AF224" s="4"/>
      <c r="AG224" s="4"/>
      <c r="AH224" s="4"/>
      <c r="AI224" s="4"/>
      <c r="AJ224" s="4"/>
      <c r="AK224" s="4"/>
      <c r="AL224" s="4"/>
      <c r="AM224" s="132"/>
    </row>
    <row r="225" spans="24:39" ht="12.75">
      <c r="X225" s="7"/>
      <c r="Y225" s="4"/>
      <c r="Z225" s="4"/>
      <c r="AA225" s="4"/>
      <c r="AB225" s="4"/>
      <c r="AC225" s="4"/>
      <c r="AD225" s="4"/>
      <c r="AE225" s="4"/>
      <c r="AF225" s="4"/>
      <c r="AG225" s="4"/>
      <c r="AH225" s="4"/>
      <c r="AI225" s="4"/>
      <c r="AJ225" s="4"/>
      <c r="AK225" s="4"/>
      <c r="AL225" s="4"/>
      <c r="AM225" s="132"/>
    </row>
    <row r="226" spans="24:39" ht="12.75">
      <c r="X226" s="7"/>
      <c r="Y226" s="4"/>
      <c r="Z226" s="4"/>
      <c r="AA226" s="4"/>
      <c r="AB226" s="4"/>
      <c r="AC226" s="4"/>
      <c r="AD226" s="4"/>
      <c r="AE226" s="4"/>
      <c r="AF226" s="4"/>
      <c r="AG226" s="4"/>
      <c r="AH226" s="4"/>
      <c r="AI226" s="4"/>
      <c r="AJ226" s="4"/>
      <c r="AK226" s="4"/>
      <c r="AL226" s="4"/>
      <c r="AM226" s="132"/>
    </row>
    <row r="227" spans="24:39" ht="12.75">
      <c r="X227" s="7"/>
      <c r="Y227" s="4"/>
      <c r="Z227" s="4"/>
      <c r="AA227" s="4"/>
      <c r="AB227" s="4"/>
      <c r="AC227" s="4"/>
      <c r="AD227" s="4"/>
      <c r="AE227" s="4"/>
      <c r="AF227" s="4"/>
      <c r="AG227" s="4"/>
      <c r="AH227" s="4"/>
      <c r="AI227" s="4"/>
      <c r="AJ227" s="4"/>
      <c r="AK227" s="4"/>
      <c r="AL227" s="4"/>
      <c r="AM227" s="132"/>
    </row>
    <row r="228" spans="24:39" ht="12.75">
      <c r="X228" s="7"/>
      <c r="Y228" s="4"/>
      <c r="Z228" s="4"/>
      <c r="AA228" s="4"/>
      <c r="AB228" s="4"/>
      <c r="AC228" s="4"/>
      <c r="AD228" s="4"/>
      <c r="AE228" s="4"/>
      <c r="AF228" s="4"/>
      <c r="AG228" s="4"/>
      <c r="AH228" s="4"/>
      <c r="AI228" s="4"/>
      <c r="AJ228" s="4"/>
      <c r="AK228" s="4"/>
      <c r="AL228" s="4"/>
      <c r="AM228" s="132"/>
    </row>
    <row r="229" spans="24:39" ht="12.75">
      <c r="X229" s="7"/>
      <c r="Y229" s="4"/>
      <c r="Z229" s="4"/>
      <c r="AA229" s="4"/>
      <c r="AB229" s="4"/>
      <c r="AC229" s="4"/>
      <c r="AD229" s="4"/>
      <c r="AE229" s="4"/>
      <c r="AF229" s="4"/>
      <c r="AG229" s="4"/>
      <c r="AH229" s="4"/>
      <c r="AI229" s="4"/>
      <c r="AJ229" s="4"/>
      <c r="AK229" s="4"/>
      <c r="AL229" s="4"/>
      <c r="AM229" s="132"/>
    </row>
    <row r="230" spans="24:39" ht="12.75">
      <c r="X230" s="7"/>
      <c r="Y230" s="4"/>
      <c r="Z230" s="4"/>
      <c r="AA230" s="4"/>
      <c r="AB230" s="4"/>
      <c r="AC230" s="4"/>
      <c r="AD230" s="4"/>
      <c r="AE230" s="4"/>
      <c r="AF230" s="4"/>
      <c r="AG230" s="4"/>
      <c r="AH230" s="4"/>
      <c r="AI230" s="4"/>
      <c r="AJ230" s="4"/>
      <c r="AK230" s="4"/>
      <c r="AL230" s="4"/>
      <c r="AM230" s="132"/>
    </row>
    <row r="231" spans="24:39" ht="12.75">
      <c r="X231" s="7"/>
      <c r="Y231" s="4"/>
      <c r="Z231" s="4"/>
      <c r="AA231" s="4"/>
      <c r="AB231" s="4"/>
      <c r="AC231" s="4"/>
      <c r="AD231" s="4"/>
      <c r="AE231" s="4"/>
      <c r="AF231" s="4"/>
      <c r="AG231" s="4"/>
      <c r="AH231" s="4"/>
      <c r="AI231" s="4"/>
      <c r="AJ231" s="4"/>
      <c r="AK231" s="4"/>
      <c r="AL231" s="4"/>
      <c r="AM231" s="132"/>
    </row>
    <row r="232" spans="24:39" ht="12.75">
      <c r="X232" s="7"/>
      <c r="Y232" s="4"/>
      <c r="Z232" s="4"/>
      <c r="AA232" s="4"/>
      <c r="AB232" s="4"/>
      <c r="AC232" s="4"/>
      <c r="AD232" s="4"/>
      <c r="AE232" s="4"/>
      <c r="AF232" s="4"/>
      <c r="AG232" s="4"/>
      <c r="AH232" s="4"/>
      <c r="AI232" s="4"/>
      <c r="AJ232" s="4"/>
      <c r="AK232" s="4"/>
      <c r="AL232" s="4"/>
      <c r="AM232" s="132"/>
    </row>
    <row r="233" spans="24:39" ht="12.75">
      <c r="X233" s="7"/>
      <c r="Y233" s="4"/>
      <c r="Z233" s="4"/>
      <c r="AA233" s="4"/>
      <c r="AB233" s="4"/>
      <c r="AC233" s="4"/>
      <c r="AD233" s="4"/>
      <c r="AE233" s="4"/>
      <c r="AF233" s="4"/>
      <c r="AG233" s="4"/>
      <c r="AH233" s="4"/>
      <c r="AI233" s="4"/>
      <c r="AJ233" s="4"/>
      <c r="AK233" s="4"/>
      <c r="AL233" s="4"/>
      <c r="AM233" s="132"/>
    </row>
    <row r="234" spans="24:39" ht="12.75">
      <c r="X234" s="7"/>
      <c r="Y234" s="4"/>
      <c r="Z234" s="4"/>
      <c r="AA234" s="4"/>
      <c r="AB234" s="4"/>
      <c r="AC234" s="4"/>
      <c r="AD234" s="4"/>
      <c r="AE234" s="4"/>
      <c r="AF234" s="4"/>
      <c r="AG234" s="4"/>
      <c r="AH234" s="4"/>
      <c r="AI234" s="4"/>
      <c r="AJ234" s="4"/>
      <c r="AK234" s="4"/>
      <c r="AL234" s="4"/>
      <c r="AM234" s="132"/>
    </row>
    <row r="235" spans="24:39" ht="12.75">
      <c r="X235" s="7"/>
      <c r="Y235" s="4"/>
      <c r="Z235" s="4"/>
      <c r="AA235" s="4"/>
      <c r="AB235" s="4"/>
      <c r="AC235" s="4"/>
      <c r="AD235" s="4"/>
      <c r="AE235" s="4"/>
      <c r="AF235" s="4"/>
      <c r="AG235" s="4"/>
      <c r="AH235" s="4"/>
      <c r="AI235" s="4"/>
      <c r="AJ235" s="4"/>
      <c r="AK235" s="4"/>
      <c r="AL235" s="4"/>
      <c r="AM235" s="132"/>
    </row>
    <row r="236" spans="24:39" ht="12.75">
      <c r="X236" s="7"/>
      <c r="Y236" s="4"/>
      <c r="Z236" s="4"/>
      <c r="AA236" s="4"/>
      <c r="AB236" s="4"/>
      <c r="AC236" s="4"/>
      <c r="AD236" s="4"/>
      <c r="AE236" s="4"/>
      <c r="AF236" s="4"/>
      <c r="AG236" s="4"/>
      <c r="AH236" s="4"/>
      <c r="AI236" s="4"/>
      <c r="AJ236" s="4"/>
      <c r="AK236" s="4"/>
      <c r="AL236" s="4"/>
      <c r="AM236" s="132"/>
    </row>
    <row r="237" spans="24:39" ht="12.75">
      <c r="X237" s="7"/>
      <c r="Y237" s="4"/>
      <c r="Z237" s="4"/>
      <c r="AA237" s="4"/>
      <c r="AB237" s="4"/>
      <c r="AC237" s="4"/>
      <c r="AD237" s="4"/>
      <c r="AE237" s="4"/>
      <c r="AF237" s="4"/>
      <c r="AG237" s="4"/>
      <c r="AH237" s="4"/>
      <c r="AI237" s="4"/>
      <c r="AJ237" s="4"/>
      <c r="AK237" s="4"/>
      <c r="AL237" s="4"/>
      <c r="AM237" s="132"/>
    </row>
    <row r="238" spans="24:39" ht="12.75">
      <c r="X238" s="7"/>
      <c r="Y238" s="4"/>
      <c r="Z238" s="4"/>
      <c r="AA238" s="4"/>
      <c r="AB238" s="4"/>
      <c r="AC238" s="4"/>
      <c r="AD238" s="4"/>
      <c r="AE238" s="4"/>
      <c r="AF238" s="4"/>
      <c r="AG238" s="4"/>
      <c r="AH238" s="4"/>
      <c r="AI238" s="4"/>
      <c r="AJ238" s="4"/>
      <c r="AK238" s="4"/>
      <c r="AL238" s="4"/>
      <c r="AM238" s="132"/>
    </row>
    <row r="239" spans="24:39" ht="12.75">
      <c r="X239" s="7"/>
      <c r="Y239" s="4"/>
      <c r="Z239" s="4"/>
      <c r="AA239" s="4"/>
      <c r="AB239" s="4"/>
      <c r="AC239" s="4"/>
      <c r="AD239" s="4"/>
      <c r="AE239" s="4"/>
      <c r="AF239" s="4"/>
      <c r="AG239" s="4"/>
      <c r="AH239" s="4"/>
      <c r="AI239" s="4"/>
      <c r="AJ239" s="4"/>
      <c r="AK239" s="4"/>
      <c r="AL239" s="4"/>
      <c r="AM239" s="132"/>
    </row>
    <row r="240" spans="24:39" ht="12.75">
      <c r="X240" s="7"/>
      <c r="Y240" s="4"/>
      <c r="Z240" s="4"/>
      <c r="AA240" s="4"/>
      <c r="AB240" s="4"/>
      <c r="AC240" s="4"/>
      <c r="AD240" s="4"/>
      <c r="AE240" s="4"/>
      <c r="AF240" s="4"/>
      <c r="AG240" s="4"/>
      <c r="AH240" s="4"/>
      <c r="AI240" s="4"/>
      <c r="AJ240" s="4"/>
      <c r="AK240" s="4"/>
      <c r="AL240" s="4"/>
      <c r="AM240" s="132"/>
    </row>
    <row r="241" spans="24:39" ht="12.75">
      <c r="X241" s="7"/>
      <c r="Y241" s="4"/>
      <c r="Z241" s="4"/>
      <c r="AA241" s="4"/>
      <c r="AB241" s="4"/>
      <c r="AC241" s="4"/>
      <c r="AD241" s="4"/>
      <c r="AE241" s="4"/>
      <c r="AF241" s="4"/>
      <c r="AG241" s="4"/>
      <c r="AH241" s="4"/>
      <c r="AI241" s="4"/>
      <c r="AJ241" s="4"/>
      <c r="AK241" s="4"/>
      <c r="AL241" s="4"/>
      <c r="AM241" s="132"/>
    </row>
    <row r="242" spans="24:39" ht="12.75">
      <c r="X242" s="7"/>
      <c r="Y242" s="4"/>
      <c r="Z242" s="4"/>
      <c r="AA242" s="4"/>
      <c r="AB242" s="4"/>
      <c r="AC242" s="4"/>
      <c r="AD242" s="4"/>
      <c r="AE242" s="4"/>
      <c r="AF242" s="4"/>
      <c r="AG242" s="4"/>
      <c r="AH242" s="4"/>
      <c r="AI242" s="4"/>
      <c r="AJ242" s="4"/>
      <c r="AK242" s="4"/>
      <c r="AL242" s="4"/>
      <c r="AM242" s="132"/>
    </row>
    <row r="243" spans="24:39" ht="12.75">
      <c r="X243" s="7"/>
      <c r="Y243" s="4"/>
      <c r="Z243" s="4"/>
      <c r="AA243" s="4"/>
      <c r="AB243" s="4"/>
      <c r="AC243" s="4"/>
      <c r="AD243" s="4"/>
      <c r="AE243" s="4"/>
      <c r="AF243" s="4"/>
      <c r="AG243" s="4"/>
      <c r="AH243" s="4"/>
      <c r="AI243" s="4"/>
      <c r="AJ243" s="4"/>
      <c r="AK243" s="4"/>
      <c r="AL243" s="4"/>
      <c r="AM243" s="132"/>
    </row>
    <row r="244" spans="24:39" ht="12.75">
      <c r="X244" s="7"/>
      <c r="Y244" s="4"/>
      <c r="Z244" s="4"/>
      <c r="AA244" s="4"/>
      <c r="AB244" s="4"/>
      <c r="AC244" s="4"/>
      <c r="AD244" s="4"/>
      <c r="AE244" s="4"/>
      <c r="AF244" s="4"/>
      <c r="AG244" s="4"/>
      <c r="AH244" s="4"/>
      <c r="AI244" s="4"/>
      <c r="AJ244" s="4"/>
      <c r="AK244" s="4"/>
      <c r="AL244" s="4"/>
      <c r="AM244" s="132"/>
    </row>
    <row r="245" spans="24:39" ht="12.75">
      <c r="X245" s="7"/>
      <c r="Y245" s="4"/>
      <c r="Z245" s="4"/>
      <c r="AA245" s="4"/>
      <c r="AB245" s="4"/>
      <c r="AC245" s="4"/>
      <c r="AD245" s="4"/>
      <c r="AE245" s="4"/>
      <c r="AF245" s="4"/>
      <c r="AG245" s="4"/>
      <c r="AH245" s="4"/>
      <c r="AI245" s="4"/>
      <c r="AJ245" s="4"/>
      <c r="AK245" s="4"/>
      <c r="AL245" s="4"/>
      <c r="AM245" s="132"/>
    </row>
    <row r="246" spans="24:39" ht="12.75">
      <c r="X246" s="7"/>
      <c r="Y246" s="4"/>
      <c r="Z246" s="4"/>
      <c r="AA246" s="4"/>
      <c r="AB246" s="4"/>
      <c r="AC246" s="4"/>
      <c r="AD246" s="4"/>
      <c r="AE246" s="4"/>
      <c r="AF246" s="4"/>
      <c r="AG246" s="4"/>
      <c r="AH246" s="4"/>
      <c r="AI246" s="4"/>
      <c r="AJ246" s="4"/>
      <c r="AK246" s="4"/>
      <c r="AL246" s="4"/>
      <c r="AM246" s="132"/>
    </row>
    <row r="247" spans="24:39" ht="12.75">
      <c r="X247" s="7"/>
      <c r="Y247" s="4"/>
      <c r="Z247" s="4"/>
      <c r="AA247" s="4"/>
      <c r="AB247" s="4"/>
      <c r="AC247" s="4"/>
      <c r="AD247" s="4"/>
      <c r="AE247" s="4"/>
      <c r="AF247" s="4"/>
      <c r="AG247" s="4"/>
      <c r="AH247" s="4"/>
      <c r="AI247" s="4"/>
      <c r="AJ247" s="4"/>
      <c r="AK247" s="4"/>
      <c r="AL247" s="4"/>
      <c r="AM247" s="132"/>
    </row>
    <row r="248" spans="24:39" ht="12.75">
      <c r="X248" s="7"/>
      <c r="Y248" s="4"/>
      <c r="Z248" s="4"/>
      <c r="AA248" s="4"/>
      <c r="AB248" s="4"/>
      <c r="AC248" s="4"/>
      <c r="AD248" s="4"/>
      <c r="AE248" s="4"/>
      <c r="AF248" s="4"/>
      <c r="AG248" s="4"/>
      <c r="AH248" s="4"/>
      <c r="AI248" s="4"/>
      <c r="AJ248" s="4"/>
      <c r="AK248" s="4"/>
      <c r="AL248" s="4"/>
      <c r="AM248" s="132"/>
    </row>
    <row r="249" spans="24:39" ht="12.75">
      <c r="X249" s="7"/>
      <c r="Y249" s="4"/>
      <c r="Z249" s="4"/>
      <c r="AA249" s="4"/>
      <c r="AB249" s="4"/>
      <c r="AC249" s="4"/>
      <c r="AD249" s="4"/>
      <c r="AE249" s="4"/>
      <c r="AF249" s="4"/>
      <c r="AG249" s="4"/>
      <c r="AH249" s="4"/>
      <c r="AI249" s="4"/>
      <c r="AJ249" s="4"/>
      <c r="AK249" s="4"/>
      <c r="AL249" s="4"/>
      <c r="AM249" s="132"/>
    </row>
    <row r="250" spans="24:39" ht="12.75">
      <c r="X250" s="7"/>
      <c r="Y250" s="4"/>
      <c r="Z250" s="4"/>
      <c r="AA250" s="4"/>
      <c r="AB250" s="4"/>
      <c r="AC250" s="4"/>
      <c r="AD250" s="4"/>
      <c r="AE250" s="4"/>
      <c r="AF250" s="4"/>
      <c r="AG250" s="4"/>
      <c r="AH250" s="4"/>
      <c r="AI250" s="4"/>
      <c r="AJ250" s="4"/>
      <c r="AK250" s="4"/>
      <c r="AL250" s="4"/>
      <c r="AM250" s="132"/>
    </row>
    <row r="251" spans="24:39" ht="12.75">
      <c r="X251" s="7"/>
      <c r="Y251" s="4"/>
      <c r="Z251" s="4"/>
      <c r="AA251" s="4"/>
      <c r="AB251" s="4"/>
      <c r="AC251" s="4"/>
      <c r="AD251" s="4"/>
      <c r="AE251" s="4"/>
      <c r="AF251" s="4"/>
      <c r="AG251" s="4"/>
      <c r="AH251" s="4"/>
      <c r="AI251" s="4"/>
      <c r="AJ251" s="4"/>
      <c r="AK251" s="4"/>
      <c r="AL251" s="4"/>
      <c r="AM251" s="132"/>
    </row>
    <row r="252" spans="24:39" ht="12.75">
      <c r="X252" s="7"/>
      <c r="Y252" s="4"/>
      <c r="Z252" s="4"/>
      <c r="AA252" s="4"/>
      <c r="AB252" s="4"/>
      <c r="AC252" s="4"/>
      <c r="AD252" s="4"/>
      <c r="AE252" s="4"/>
      <c r="AF252" s="4"/>
      <c r="AG252" s="4"/>
      <c r="AH252" s="4"/>
      <c r="AI252" s="4"/>
      <c r="AJ252" s="4"/>
      <c r="AK252" s="4"/>
      <c r="AL252" s="4"/>
      <c r="AM252" s="132"/>
    </row>
    <row r="253" spans="24:39" ht="12.75">
      <c r="X253" s="7"/>
      <c r="Y253" s="4"/>
      <c r="Z253" s="4"/>
      <c r="AA253" s="4"/>
      <c r="AB253" s="4"/>
      <c r="AC253" s="4"/>
      <c r="AD253" s="4"/>
      <c r="AE253" s="4"/>
      <c r="AF253" s="4"/>
      <c r="AG253" s="4"/>
      <c r="AH253" s="4"/>
      <c r="AI253" s="4"/>
      <c r="AJ253" s="4"/>
      <c r="AK253" s="4"/>
      <c r="AL253" s="4"/>
      <c r="AM253" s="132"/>
    </row>
    <row r="254" spans="24:39" ht="12.75">
      <c r="X254" s="7"/>
      <c r="Y254" s="4"/>
      <c r="Z254" s="4"/>
      <c r="AA254" s="4"/>
      <c r="AB254" s="4"/>
      <c r="AC254" s="4"/>
      <c r="AD254" s="4"/>
      <c r="AE254" s="4"/>
      <c r="AF254" s="4"/>
      <c r="AG254" s="4"/>
      <c r="AH254" s="4"/>
      <c r="AI254" s="4"/>
      <c r="AJ254" s="4"/>
      <c r="AK254" s="4"/>
      <c r="AL254" s="4"/>
      <c r="AM254" s="132"/>
    </row>
    <row r="255" spans="24:39" ht="12.75">
      <c r="X255" s="7"/>
      <c r="Y255" s="4"/>
      <c r="Z255" s="4"/>
      <c r="AA255" s="4"/>
      <c r="AB255" s="4"/>
      <c r="AC255" s="4"/>
      <c r="AD255" s="4"/>
      <c r="AE255" s="4"/>
      <c r="AF255" s="4"/>
      <c r="AG255" s="4"/>
      <c r="AH255" s="4"/>
      <c r="AI255" s="4"/>
      <c r="AJ255" s="4"/>
      <c r="AK255" s="4"/>
      <c r="AL255" s="4"/>
      <c r="AM255" s="132"/>
    </row>
    <row r="256" spans="24:39" ht="12.75">
      <c r="X256" s="7"/>
      <c r="Y256" s="4"/>
      <c r="Z256" s="4"/>
      <c r="AA256" s="4"/>
      <c r="AB256" s="4"/>
      <c r="AC256" s="4"/>
      <c r="AD256" s="4"/>
      <c r="AE256" s="4"/>
      <c r="AF256" s="4"/>
      <c r="AG256" s="4"/>
      <c r="AH256" s="4"/>
      <c r="AI256" s="4"/>
      <c r="AJ256" s="4"/>
      <c r="AK256" s="4"/>
      <c r="AL256" s="4"/>
      <c r="AM256" s="132"/>
    </row>
    <row r="257" spans="24:39" ht="12.75">
      <c r="X257" s="7"/>
      <c r="Y257" s="4"/>
      <c r="Z257" s="4"/>
      <c r="AA257" s="4"/>
      <c r="AB257" s="4"/>
      <c r="AC257" s="4"/>
      <c r="AD257" s="4"/>
      <c r="AE257" s="4"/>
      <c r="AF257" s="4"/>
      <c r="AG257" s="4"/>
      <c r="AH257" s="4"/>
      <c r="AI257" s="4"/>
      <c r="AJ257" s="4"/>
      <c r="AK257" s="4"/>
      <c r="AL257" s="4"/>
      <c r="AM257" s="132"/>
    </row>
    <row r="258" spans="24:39" ht="12.75">
      <c r="X258" s="7"/>
      <c r="Y258" s="4"/>
      <c r="Z258" s="4"/>
      <c r="AA258" s="4"/>
      <c r="AB258" s="4"/>
      <c r="AC258" s="4"/>
      <c r="AD258" s="4"/>
      <c r="AE258" s="4"/>
      <c r="AF258" s="4"/>
      <c r="AG258" s="4"/>
      <c r="AH258" s="4"/>
      <c r="AI258" s="4"/>
      <c r="AJ258" s="4"/>
      <c r="AK258" s="4"/>
      <c r="AL258" s="4"/>
      <c r="AM258" s="132"/>
    </row>
    <row r="259" spans="24:39" ht="12.75">
      <c r="X259" s="7"/>
      <c r="Y259" s="4"/>
      <c r="Z259" s="4"/>
      <c r="AA259" s="4"/>
      <c r="AB259" s="4"/>
      <c r="AC259" s="4"/>
      <c r="AD259" s="4"/>
      <c r="AE259" s="4"/>
      <c r="AF259" s="4"/>
      <c r="AG259" s="4"/>
      <c r="AH259" s="4"/>
      <c r="AI259" s="4"/>
      <c r="AJ259" s="4"/>
      <c r="AK259" s="4"/>
      <c r="AL259" s="4"/>
      <c r="AM259" s="132"/>
    </row>
    <row r="260" spans="24:39" ht="12.75">
      <c r="X260" s="7"/>
      <c r="Y260" s="4"/>
      <c r="Z260" s="4"/>
      <c r="AA260" s="4"/>
      <c r="AB260" s="4"/>
      <c r="AC260" s="4"/>
      <c r="AD260" s="4"/>
      <c r="AE260" s="4"/>
      <c r="AF260" s="4"/>
      <c r="AG260" s="4"/>
      <c r="AH260" s="4"/>
      <c r="AI260" s="4"/>
      <c r="AJ260" s="4"/>
      <c r="AK260" s="4"/>
      <c r="AL260" s="4"/>
      <c r="AM260" s="132"/>
    </row>
    <row r="261" spans="24:39" ht="12.75">
      <c r="X261" s="7"/>
      <c r="Y261" s="4"/>
      <c r="Z261" s="4"/>
      <c r="AA261" s="4"/>
      <c r="AB261" s="4"/>
      <c r="AC261" s="4"/>
      <c r="AD261" s="4"/>
      <c r="AE261" s="4"/>
      <c r="AF261" s="4"/>
      <c r="AG261" s="4"/>
      <c r="AH261" s="4"/>
      <c r="AI261" s="4"/>
      <c r="AJ261" s="4"/>
      <c r="AK261" s="4"/>
      <c r="AL261" s="4"/>
      <c r="AM261" s="132"/>
    </row>
    <row r="262" spans="24:39" ht="12.75">
      <c r="X262" s="7"/>
      <c r="Y262" s="4"/>
      <c r="Z262" s="4"/>
      <c r="AA262" s="4"/>
      <c r="AB262" s="4"/>
      <c r="AC262" s="4"/>
      <c r="AD262" s="4"/>
      <c r="AE262" s="4"/>
      <c r="AF262" s="4"/>
      <c r="AG262" s="4"/>
      <c r="AH262" s="4"/>
      <c r="AI262" s="4"/>
      <c r="AJ262" s="4"/>
      <c r="AK262" s="4"/>
      <c r="AL262" s="4"/>
      <c r="AM262" s="132"/>
    </row>
    <row r="263" spans="24:39" ht="12.75">
      <c r="X263" s="7"/>
      <c r="Y263" s="4"/>
      <c r="Z263" s="4"/>
      <c r="AA263" s="4"/>
      <c r="AB263" s="4"/>
      <c r="AC263" s="4"/>
      <c r="AD263" s="4"/>
      <c r="AE263" s="4"/>
      <c r="AF263" s="4"/>
      <c r="AG263" s="4"/>
      <c r="AH263" s="4"/>
      <c r="AI263" s="4"/>
      <c r="AJ263" s="4"/>
      <c r="AK263" s="4"/>
      <c r="AL263" s="4"/>
      <c r="AM263" s="132"/>
    </row>
    <row r="264" spans="24:39" ht="12.75">
      <c r="X264" s="7"/>
      <c r="Y264" s="4"/>
      <c r="Z264" s="4"/>
      <c r="AA264" s="4"/>
      <c r="AB264" s="4"/>
      <c r="AC264" s="4"/>
      <c r="AD264" s="4"/>
      <c r="AE264" s="4"/>
      <c r="AF264" s="4"/>
      <c r="AG264" s="4"/>
      <c r="AH264" s="4"/>
      <c r="AI264" s="4"/>
      <c r="AJ264" s="4"/>
      <c r="AK264" s="4"/>
      <c r="AL264" s="4"/>
      <c r="AM264" s="132"/>
    </row>
    <row r="265" spans="24:39" ht="12.75">
      <c r="X265" s="7"/>
      <c r="Y265" s="4"/>
      <c r="Z265" s="4"/>
      <c r="AA265" s="4"/>
      <c r="AB265" s="4"/>
      <c r="AC265" s="4"/>
      <c r="AD265" s="4"/>
      <c r="AE265" s="4"/>
      <c r="AF265" s="4"/>
      <c r="AG265" s="4"/>
      <c r="AH265" s="4"/>
      <c r="AI265" s="4"/>
      <c r="AJ265" s="4"/>
      <c r="AK265" s="4"/>
      <c r="AL265" s="4"/>
      <c r="AM265" s="132"/>
    </row>
    <row r="266" spans="24:39" ht="12.75">
      <c r="X266" s="7"/>
      <c r="Y266" s="4"/>
      <c r="Z266" s="4"/>
      <c r="AA266" s="4"/>
      <c r="AB266" s="4"/>
      <c r="AC266" s="4"/>
      <c r="AD266" s="4"/>
      <c r="AE266" s="4"/>
      <c r="AF266" s="4"/>
      <c r="AG266" s="4"/>
      <c r="AH266" s="4"/>
      <c r="AI266" s="4"/>
      <c r="AJ266" s="4"/>
      <c r="AK266" s="4"/>
      <c r="AL266" s="4"/>
      <c r="AM266" s="132"/>
    </row>
    <row r="267" spans="24:39" ht="12.75">
      <c r="X267" s="7"/>
      <c r="Y267" s="4"/>
      <c r="Z267" s="4"/>
      <c r="AA267" s="4"/>
      <c r="AB267" s="4"/>
      <c r="AC267" s="4"/>
      <c r="AD267" s="4"/>
      <c r="AE267" s="4"/>
      <c r="AF267" s="4"/>
      <c r="AG267" s="4"/>
      <c r="AH267" s="4"/>
      <c r="AI267" s="4"/>
      <c r="AJ267" s="4"/>
      <c r="AK267" s="4"/>
      <c r="AL267" s="4"/>
      <c r="AM267" s="132"/>
    </row>
    <row r="268" spans="24:39" ht="12.75">
      <c r="X268" s="7"/>
      <c r="Y268" s="4"/>
      <c r="Z268" s="4"/>
      <c r="AA268" s="4"/>
      <c r="AB268" s="4"/>
      <c r="AC268" s="4"/>
      <c r="AD268" s="4"/>
      <c r="AE268" s="4"/>
      <c r="AF268" s="4"/>
      <c r="AG268" s="4"/>
      <c r="AH268" s="4"/>
      <c r="AI268" s="4"/>
      <c r="AJ268" s="4"/>
      <c r="AK268" s="4"/>
      <c r="AL268" s="4"/>
      <c r="AM268" s="132"/>
    </row>
    <row r="269" spans="24:39" ht="12.75">
      <c r="X269" s="7"/>
      <c r="Y269" s="4"/>
      <c r="Z269" s="4"/>
      <c r="AA269" s="4"/>
      <c r="AB269" s="4"/>
      <c r="AC269" s="4"/>
      <c r="AD269" s="4"/>
      <c r="AE269" s="4"/>
      <c r="AF269" s="4"/>
      <c r="AG269" s="4"/>
      <c r="AH269" s="4"/>
      <c r="AI269" s="4"/>
      <c r="AJ269" s="4"/>
      <c r="AK269" s="4"/>
      <c r="AL269" s="4"/>
      <c r="AM269" s="132"/>
    </row>
    <row r="270" spans="24:39" ht="12.75">
      <c r="X270" s="7"/>
      <c r="Y270" s="4"/>
      <c r="Z270" s="4"/>
      <c r="AA270" s="4"/>
      <c r="AB270" s="4"/>
      <c r="AC270" s="4"/>
      <c r="AD270" s="4"/>
      <c r="AE270" s="4"/>
      <c r="AF270" s="4"/>
      <c r="AG270" s="4"/>
      <c r="AH270" s="4"/>
      <c r="AI270" s="4"/>
      <c r="AJ270" s="4"/>
      <c r="AK270" s="4"/>
      <c r="AL270" s="4"/>
      <c r="AM270" s="132"/>
    </row>
    <row r="271" spans="24:39" ht="12.75">
      <c r="X271" s="7"/>
      <c r="Y271" s="4"/>
      <c r="Z271" s="4"/>
      <c r="AA271" s="4"/>
      <c r="AB271" s="4"/>
      <c r="AC271" s="4"/>
      <c r="AD271" s="4"/>
      <c r="AE271" s="4"/>
      <c r="AF271" s="4"/>
      <c r="AG271" s="4"/>
      <c r="AH271" s="4"/>
      <c r="AI271" s="4"/>
      <c r="AJ271" s="4"/>
      <c r="AK271" s="4"/>
      <c r="AL271" s="4"/>
      <c r="AM271" s="132"/>
    </row>
    <row r="272" spans="24:39" ht="12.75">
      <c r="X272" s="7"/>
      <c r="Y272" s="4"/>
      <c r="Z272" s="4"/>
      <c r="AA272" s="4"/>
      <c r="AB272" s="4"/>
      <c r="AC272" s="4"/>
      <c r="AD272" s="4"/>
      <c r="AE272" s="4"/>
      <c r="AF272" s="4"/>
      <c r="AG272" s="4"/>
      <c r="AH272" s="4"/>
      <c r="AI272" s="4"/>
      <c r="AJ272" s="4"/>
      <c r="AK272" s="4"/>
      <c r="AL272" s="4"/>
      <c r="AM272" s="132"/>
    </row>
    <row r="273" spans="24:39" ht="12.75">
      <c r="X273" s="7"/>
      <c r="Y273" s="4"/>
      <c r="Z273" s="4"/>
      <c r="AA273" s="4"/>
      <c r="AB273" s="4"/>
      <c r="AC273" s="4"/>
      <c r="AD273" s="4"/>
      <c r="AE273" s="4"/>
      <c r="AF273" s="4"/>
      <c r="AG273" s="4"/>
      <c r="AH273" s="4"/>
      <c r="AI273" s="4"/>
      <c r="AJ273" s="4"/>
      <c r="AK273" s="4"/>
      <c r="AL273" s="4"/>
      <c r="AM273" s="132"/>
    </row>
    <row r="274" spans="24:39" ht="12.75">
      <c r="X274" s="7"/>
      <c r="Y274" s="4"/>
      <c r="Z274" s="4"/>
      <c r="AA274" s="4"/>
      <c r="AB274" s="4"/>
      <c r="AC274" s="4"/>
      <c r="AD274" s="4"/>
      <c r="AE274" s="4"/>
      <c r="AF274" s="4"/>
      <c r="AG274" s="4"/>
      <c r="AH274" s="4"/>
      <c r="AI274" s="4"/>
      <c r="AJ274" s="4"/>
      <c r="AK274" s="4"/>
      <c r="AL274" s="4"/>
      <c r="AM274" s="132"/>
    </row>
    <row r="275" spans="24:39" ht="12.75">
      <c r="X275" s="7"/>
      <c r="Y275" s="4"/>
      <c r="Z275" s="4"/>
      <c r="AA275" s="4"/>
      <c r="AB275" s="4"/>
      <c r="AC275" s="4"/>
      <c r="AD275" s="4"/>
      <c r="AE275" s="4"/>
      <c r="AF275" s="4"/>
      <c r="AG275" s="4"/>
      <c r="AH275" s="4"/>
      <c r="AI275" s="4"/>
      <c r="AJ275" s="4"/>
      <c r="AK275" s="4"/>
      <c r="AL275" s="4"/>
      <c r="AM275" s="132"/>
    </row>
    <row r="276" spans="24:39" ht="12.75">
      <c r="X276" s="7"/>
      <c r="Y276" s="4"/>
      <c r="Z276" s="4"/>
      <c r="AA276" s="4"/>
      <c r="AB276" s="4"/>
      <c r="AC276" s="4"/>
      <c r="AD276" s="4"/>
      <c r="AE276" s="4"/>
      <c r="AF276" s="4"/>
      <c r="AG276" s="4"/>
      <c r="AH276" s="4"/>
      <c r="AI276" s="4"/>
      <c r="AJ276" s="4"/>
      <c r="AK276" s="4"/>
      <c r="AL276" s="4"/>
      <c r="AM276" s="132"/>
    </row>
    <row r="277" spans="24:39" ht="12.75">
      <c r="X277" s="7"/>
      <c r="Y277" s="4"/>
      <c r="Z277" s="4"/>
      <c r="AA277" s="4"/>
      <c r="AB277" s="4"/>
      <c r="AC277" s="4"/>
      <c r="AD277" s="4"/>
      <c r="AE277" s="4"/>
      <c r="AF277" s="4"/>
      <c r="AG277" s="4"/>
      <c r="AH277" s="4"/>
      <c r="AI277" s="4"/>
      <c r="AJ277" s="4"/>
      <c r="AK277" s="4"/>
      <c r="AL277" s="4"/>
      <c r="AM277" s="132"/>
    </row>
    <row r="278" spans="24:39" ht="12.75">
      <c r="X278" s="7"/>
      <c r="Y278" s="4"/>
      <c r="Z278" s="4"/>
      <c r="AA278" s="4"/>
      <c r="AB278" s="4"/>
      <c r="AC278" s="4"/>
      <c r="AD278" s="4"/>
      <c r="AE278" s="4"/>
      <c r="AF278" s="4"/>
      <c r="AG278" s="4"/>
      <c r="AH278" s="4"/>
      <c r="AI278" s="4"/>
      <c r="AJ278" s="4"/>
      <c r="AK278" s="4"/>
      <c r="AL278" s="4"/>
      <c r="AM278" s="132"/>
    </row>
    <row r="279" spans="24:39" ht="12.75">
      <c r="X279" s="7"/>
      <c r="Y279" s="4"/>
      <c r="Z279" s="4"/>
      <c r="AA279" s="4"/>
      <c r="AB279" s="4"/>
      <c r="AC279" s="4"/>
      <c r="AD279" s="4"/>
      <c r="AE279" s="4"/>
      <c r="AF279" s="4"/>
      <c r="AG279" s="4"/>
      <c r="AH279" s="4"/>
      <c r="AI279" s="4"/>
      <c r="AJ279" s="4"/>
      <c r="AK279" s="4"/>
      <c r="AL279" s="4"/>
      <c r="AM279" s="132"/>
    </row>
    <row r="280" spans="24:39" ht="12.75">
      <c r="X280" s="7"/>
      <c r="Y280" s="4"/>
      <c r="Z280" s="4"/>
      <c r="AA280" s="4"/>
      <c r="AB280" s="4"/>
      <c r="AC280" s="4"/>
      <c r="AD280" s="4"/>
      <c r="AE280" s="4"/>
      <c r="AF280" s="4"/>
      <c r="AG280" s="4"/>
      <c r="AH280" s="4"/>
      <c r="AI280" s="4"/>
      <c r="AJ280" s="4"/>
      <c r="AK280" s="4"/>
      <c r="AL280" s="4"/>
      <c r="AM280" s="132"/>
    </row>
    <row r="281" spans="24:39" ht="12.75">
      <c r="X281" s="7"/>
      <c r="Y281" s="4"/>
      <c r="Z281" s="4"/>
      <c r="AA281" s="4"/>
      <c r="AB281" s="4"/>
      <c r="AC281" s="4"/>
      <c r="AD281" s="4"/>
      <c r="AE281" s="4"/>
      <c r="AF281" s="4"/>
      <c r="AG281" s="4"/>
      <c r="AH281" s="4"/>
      <c r="AI281" s="4"/>
      <c r="AJ281" s="4"/>
      <c r="AK281" s="4"/>
      <c r="AL281" s="4"/>
      <c r="AM281" s="132"/>
    </row>
    <row r="282" spans="24:39" ht="12.75">
      <c r="X282" s="7"/>
      <c r="Y282" s="4"/>
      <c r="Z282" s="4"/>
      <c r="AA282" s="4"/>
      <c r="AB282" s="4"/>
      <c r="AC282" s="4"/>
      <c r="AD282" s="4"/>
      <c r="AE282" s="4"/>
      <c r="AF282" s="4"/>
      <c r="AG282" s="4"/>
      <c r="AH282" s="4"/>
      <c r="AI282" s="4"/>
      <c r="AJ282" s="4"/>
      <c r="AK282" s="4"/>
      <c r="AL282" s="4"/>
      <c r="AM282" s="132"/>
    </row>
    <row r="283" spans="24:39" ht="12.75">
      <c r="X283" s="7"/>
      <c r="Y283" s="4"/>
      <c r="Z283" s="4"/>
      <c r="AA283" s="4"/>
      <c r="AB283" s="4"/>
      <c r="AC283" s="4"/>
      <c r="AD283" s="4"/>
      <c r="AE283" s="4"/>
      <c r="AF283" s="4"/>
      <c r="AG283" s="4"/>
      <c r="AH283" s="4"/>
      <c r="AI283" s="4"/>
      <c r="AJ283" s="4"/>
      <c r="AK283" s="4"/>
      <c r="AL283" s="4"/>
      <c r="AM283" s="132"/>
    </row>
    <row r="284" spans="24:39" ht="12.75">
      <c r="X284" s="7"/>
      <c r="Y284" s="4"/>
      <c r="Z284" s="4"/>
      <c r="AA284" s="4"/>
      <c r="AB284" s="4"/>
      <c r="AC284" s="4"/>
      <c r="AD284" s="4"/>
      <c r="AE284" s="4"/>
      <c r="AF284" s="4"/>
      <c r="AG284" s="4"/>
      <c r="AH284" s="4"/>
      <c r="AI284" s="4"/>
      <c r="AJ284" s="4"/>
      <c r="AK284" s="4"/>
      <c r="AL284" s="4"/>
      <c r="AM284" s="132"/>
    </row>
    <row r="285" spans="24:39" ht="12.75">
      <c r="X285" s="7"/>
      <c r="Y285" s="4"/>
      <c r="Z285" s="4"/>
      <c r="AA285" s="4"/>
      <c r="AB285" s="4"/>
      <c r="AC285" s="4"/>
      <c r="AD285" s="4"/>
      <c r="AE285" s="4"/>
      <c r="AF285" s="4"/>
      <c r="AG285" s="4"/>
      <c r="AH285" s="4"/>
      <c r="AI285" s="4"/>
      <c r="AJ285" s="4"/>
      <c r="AK285" s="4"/>
      <c r="AL285" s="4"/>
      <c r="AM285" s="132"/>
    </row>
    <row r="286" spans="24:39" ht="12.75">
      <c r="X286" s="7"/>
      <c r="Y286" s="4"/>
      <c r="Z286" s="4"/>
      <c r="AA286" s="4"/>
      <c r="AB286" s="4"/>
      <c r="AC286" s="4"/>
      <c r="AD286" s="4"/>
      <c r="AE286" s="4"/>
      <c r="AF286" s="4"/>
      <c r="AG286" s="4"/>
      <c r="AH286" s="4"/>
      <c r="AI286" s="4"/>
      <c r="AJ286" s="4"/>
      <c r="AK286" s="4"/>
      <c r="AL286" s="4"/>
      <c r="AM286" s="132"/>
    </row>
    <row r="287" spans="24:39" ht="12.75">
      <c r="X287" s="7"/>
      <c r="Y287" s="4"/>
      <c r="Z287" s="4"/>
      <c r="AA287" s="4"/>
      <c r="AB287" s="4"/>
      <c r="AC287" s="4"/>
      <c r="AD287" s="4"/>
      <c r="AE287" s="4"/>
      <c r="AF287" s="4"/>
      <c r="AG287" s="4"/>
      <c r="AH287" s="4"/>
      <c r="AI287" s="4"/>
      <c r="AJ287" s="4"/>
      <c r="AK287" s="4"/>
      <c r="AL287" s="4"/>
      <c r="AM287" s="132"/>
    </row>
    <row r="288" spans="24:39" ht="12.75">
      <c r="X288" s="7"/>
      <c r="Y288" s="4"/>
      <c r="Z288" s="4"/>
      <c r="AA288" s="4"/>
      <c r="AB288" s="4"/>
      <c r="AC288" s="4"/>
      <c r="AD288" s="4"/>
      <c r="AE288" s="4"/>
      <c r="AF288" s="4"/>
      <c r="AG288" s="4"/>
      <c r="AH288" s="4"/>
      <c r="AI288" s="4"/>
      <c r="AJ288" s="4"/>
      <c r="AK288" s="4"/>
      <c r="AL288" s="4"/>
      <c r="AM288" s="132"/>
    </row>
    <row r="289" spans="24:39" ht="12.75">
      <c r="X289" s="7"/>
      <c r="Y289" s="4"/>
      <c r="Z289" s="4"/>
      <c r="AA289" s="4"/>
      <c r="AB289" s="4"/>
      <c r="AC289" s="4"/>
      <c r="AD289" s="4"/>
      <c r="AE289" s="4"/>
      <c r="AF289" s="4"/>
      <c r="AG289" s="4"/>
      <c r="AH289" s="4"/>
      <c r="AI289" s="4"/>
      <c r="AJ289" s="4"/>
      <c r="AK289" s="4"/>
      <c r="AL289" s="4"/>
      <c r="AM289" s="132"/>
    </row>
    <row r="290" spans="24:39" ht="12.75">
      <c r="X290" s="7"/>
      <c r="Y290" s="4"/>
      <c r="Z290" s="4"/>
      <c r="AA290" s="4"/>
      <c r="AB290" s="4"/>
      <c r="AC290" s="4"/>
      <c r="AD290" s="4"/>
      <c r="AE290" s="4"/>
      <c r="AF290" s="4"/>
      <c r="AG290" s="4"/>
      <c r="AH290" s="4"/>
      <c r="AI290" s="4"/>
      <c r="AJ290" s="4"/>
      <c r="AK290" s="4"/>
      <c r="AL290" s="4"/>
      <c r="AM290" s="132"/>
    </row>
    <row r="291" spans="24:39" ht="12.75">
      <c r="X291" s="7"/>
      <c r="Y291" s="4"/>
      <c r="Z291" s="4"/>
      <c r="AA291" s="4"/>
      <c r="AB291" s="4"/>
      <c r="AC291" s="4"/>
      <c r="AD291" s="4"/>
      <c r="AE291" s="4"/>
      <c r="AF291" s="4"/>
      <c r="AG291" s="4"/>
      <c r="AH291" s="4"/>
      <c r="AI291" s="4"/>
      <c r="AJ291" s="4"/>
      <c r="AK291" s="4"/>
      <c r="AL291" s="4"/>
      <c r="AM291" s="132"/>
    </row>
    <row r="292" spans="24:39" ht="12.75">
      <c r="X292" s="7"/>
      <c r="Y292" s="4"/>
      <c r="Z292" s="4"/>
      <c r="AA292" s="4"/>
      <c r="AB292" s="4"/>
      <c r="AC292" s="4"/>
      <c r="AD292" s="4"/>
      <c r="AE292" s="4"/>
      <c r="AF292" s="4"/>
      <c r="AG292" s="4"/>
      <c r="AH292" s="4"/>
      <c r="AI292" s="4"/>
      <c r="AJ292" s="4"/>
      <c r="AK292" s="4"/>
      <c r="AL292" s="4"/>
      <c r="AM292" s="132"/>
    </row>
    <row r="293" spans="24:39" ht="12.75">
      <c r="X293" s="7"/>
      <c r="Y293" s="4"/>
      <c r="Z293" s="4"/>
      <c r="AA293" s="4"/>
      <c r="AB293" s="4"/>
      <c r="AC293" s="4"/>
      <c r="AD293" s="4"/>
      <c r="AE293" s="4"/>
      <c r="AF293" s="4"/>
      <c r="AG293" s="4"/>
      <c r="AH293" s="4"/>
      <c r="AI293" s="4"/>
      <c r="AJ293" s="4"/>
      <c r="AK293" s="4"/>
      <c r="AL293" s="4"/>
      <c r="AM293" s="132"/>
    </row>
    <row r="294" spans="24:39" ht="12.75">
      <c r="X294" s="7"/>
      <c r="Y294" s="4"/>
      <c r="Z294" s="4"/>
      <c r="AA294" s="4"/>
      <c r="AB294" s="4"/>
      <c r="AC294" s="4"/>
      <c r="AD294" s="4"/>
      <c r="AE294" s="4"/>
      <c r="AF294" s="4"/>
      <c r="AG294" s="4"/>
      <c r="AH294" s="4"/>
      <c r="AI294" s="4"/>
      <c r="AJ294" s="4"/>
      <c r="AK294" s="4"/>
      <c r="AL294" s="4"/>
      <c r="AM294" s="132"/>
    </row>
    <row r="295" spans="24:39" ht="12.75">
      <c r="X295" s="184"/>
      <c r="Y295" s="127"/>
      <c r="Z295" s="127"/>
      <c r="AA295" s="127"/>
      <c r="AB295" s="127"/>
      <c r="AC295" s="127"/>
      <c r="AD295" s="127"/>
      <c r="AE295" s="127"/>
      <c r="AF295" s="127"/>
      <c r="AG295" s="127"/>
      <c r="AH295" s="127"/>
      <c r="AI295" s="127"/>
      <c r="AJ295" s="127"/>
      <c r="AK295" s="127"/>
      <c r="AL295" s="127"/>
      <c r="AM295" s="128"/>
    </row>
  </sheetData>
  <mergeCells count="3">
    <mergeCell ref="B43:C43"/>
    <mergeCell ref="A3:G3"/>
    <mergeCell ref="A1:D1"/>
  </mergeCells>
  <conditionalFormatting sqref="A3">
    <cfRule type="cellIs" priority="1" dxfId="0" operator="equal" stopIfTrue="1">
      <formula>0</formula>
    </cfRule>
    <cfRule type="cellIs" priority="2" dxfId="1" operator="notEqual" stopIfTrue="1">
      <formula>0</formula>
    </cfRule>
  </conditionalFormatting>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A1:V57"/>
  <sheetViews>
    <sheetView zoomScale="85" zoomScaleNormal="85" workbookViewId="0" topLeftCell="A1">
      <selection activeCell="C56" sqref="C56"/>
    </sheetView>
  </sheetViews>
  <sheetFormatPr defaultColWidth="9.140625" defaultRowHeight="12.75"/>
  <cols>
    <col min="1" max="1" width="3.7109375" style="23" customWidth="1"/>
    <col min="2" max="2" width="40.140625" style="23" bestFit="1" customWidth="1"/>
    <col min="3" max="16384" width="9.140625" style="23" customWidth="1"/>
  </cols>
  <sheetData>
    <row r="1" spans="1:7" s="325" customFormat="1" ht="40.5" customHeight="1">
      <c r="A1" s="589" t="s">
        <v>170</v>
      </c>
      <c r="B1" s="589"/>
      <c r="C1" s="589"/>
      <c r="D1" s="589"/>
      <c r="G1" s="557"/>
    </row>
    <row r="2" spans="1:22" s="454" customFormat="1" ht="15.75">
      <c r="A2" s="568" t="s">
        <v>130</v>
      </c>
      <c r="B2" s="569"/>
      <c r="C2" s="569"/>
      <c r="D2" s="569"/>
      <c r="E2" s="569"/>
      <c r="F2" s="569"/>
      <c r="G2" s="569"/>
      <c r="H2" s="21"/>
      <c r="I2" s="21"/>
      <c r="J2" s="21"/>
      <c r="K2" s="21"/>
      <c r="L2" s="21"/>
      <c r="M2" s="21"/>
      <c r="N2" s="21"/>
      <c r="O2" s="21"/>
      <c r="P2" s="21"/>
      <c r="Q2" s="21"/>
      <c r="R2" s="21"/>
      <c r="S2" s="21"/>
      <c r="T2" s="21"/>
      <c r="U2" s="21"/>
      <c r="V2" s="456"/>
    </row>
    <row r="3" spans="1:8" ht="12.75">
      <c r="A3" s="23" t="s">
        <v>32</v>
      </c>
      <c r="H3" s="25" t="s">
        <v>175</v>
      </c>
    </row>
    <row r="4" ht="12.75">
      <c r="A4" s="23" t="s">
        <v>33</v>
      </c>
    </row>
    <row r="5" spans="2:8" ht="12.75">
      <c r="B5" s="581">
        <f>IF('ERR &amp; Sensitivity Analysis'!$I$10="N","Note: Current calculations are based on user input and are not the original MCC estimates.",IF('ERR &amp; Sensitivity Analysis'!$I$11="N","Note: Current calculations are based on user input and are not the original MCC estimates.",0))</f>
        <v>0</v>
      </c>
      <c r="C5" s="581"/>
      <c r="D5" s="581"/>
      <c r="E5" s="581"/>
      <c r="F5" s="581"/>
      <c r="G5" s="581"/>
      <c r="H5" s="581"/>
    </row>
    <row r="6" ht="12.75">
      <c r="A6" s="1" t="s">
        <v>34</v>
      </c>
    </row>
    <row r="7" spans="2:3" ht="12.75">
      <c r="B7" s="27" t="s">
        <v>35</v>
      </c>
      <c r="C7" s="28">
        <v>1</v>
      </c>
    </row>
    <row r="8" spans="2:3" ht="12.75">
      <c r="B8" s="29" t="s">
        <v>36</v>
      </c>
      <c r="C8" s="30" t="s">
        <v>37</v>
      </c>
    </row>
    <row r="9" spans="2:3" ht="12.75">
      <c r="B9" s="29" t="s">
        <v>38</v>
      </c>
      <c r="C9" s="31">
        <f>52800*'ERR &amp; Sensitivity Analysis'!G11</f>
        <v>52800</v>
      </c>
    </row>
    <row r="10" spans="2:3" ht="12.75">
      <c r="B10" s="29" t="s">
        <v>39</v>
      </c>
      <c r="C10" s="31">
        <f>13200*'ERR &amp; Sensitivity Analysis'!G11</f>
        <v>13200</v>
      </c>
    </row>
    <row r="11" spans="2:3" ht="12.75">
      <c r="B11" s="29" t="s">
        <v>40</v>
      </c>
      <c r="C11" s="32">
        <f>'ERR &amp; Sensitivity Analysis'!G14*'ERR &amp; Sensitivity Analysis'!G11</f>
        <v>0.06</v>
      </c>
    </row>
    <row r="12" spans="2:3" ht="12.75">
      <c r="B12" s="29" t="s">
        <v>41</v>
      </c>
      <c r="C12" s="32">
        <f>'ERR &amp; Sensitivity Analysis'!G15*'ERR &amp; Sensitivity Analysis'!G11</f>
        <v>0.048</v>
      </c>
    </row>
    <row r="13" spans="2:3" ht="12.75">
      <c r="B13" s="29" t="s">
        <v>42</v>
      </c>
      <c r="C13" s="33">
        <v>0</v>
      </c>
    </row>
    <row r="14" spans="2:3" ht="12.75">
      <c r="B14" s="29" t="s">
        <v>43</v>
      </c>
      <c r="C14" s="34">
        <v>2413.95</v>
      </c>
    </row>
    <row r="15" spans="2:3" ht="12.75">
      <c r="B15" s="35" t="s">
        <v>44</v>
      </c>
      <c r="C15" s="36">
        <v>7</v>
      </c>
    </row>
    <row r="16" ht="12.75">
      <c r="D16" s="37"/>
    </row>
    <row r="17" spans="1:12" ht="12.75">
      <c r="A17" s="1" t="s">
        <v>45</v>
      </c>
      <c r="C17" s="38" t="s">
        <v>9</v>
      </c>
      <c r="D17" s="39" t="s">
        <v>10</v>
      </c>
      <c r="E17" s="39" t="s">
        <v>11</v>
      </c>
      <c r="F17" s="39" t="s">
        <v>12</v>
      </c>
      <c r="G17" s="39" t="s">
        <v>46</v>
      </c>
      <c r="H17" s="39" t="s">
        <v>47</v>
      </c>
      <c r="I17" s="39" t="s">
        <v>48</v>
      </c>
      <c r="J17" s="39" t="s">
        <v>49</v>
      </c>
      <c r="K17" s="39" t="s">
        <v>50</v>
      </c>
      <c r="L17" s="39" t="s">
        <v>51</v>
      </c>
    </row>
    <row r="18" spans="2:12" ht="12.75">
      <c r="B18" s="40" t="s">
        <v>52</v>
      </c>
      <c r="C18" s="41">
        <v>264.05</v>
      </c>
      <c r="D18" s="41">
        <v>211.76</v>
      </c>
      <c r="E18" s="41">
        <v>211.76</v>
      </c>
      <c r="F18" s="41">
        <v>211.76</v>
      </c>
      <c r="G18" s="41">
        <v>211.76</v>
      </c>
      <c r="H18" s="41">
        <v>211.76</v>
      </c>
      <c r="I18" s="41">
        <v>211.76</v>
      </c>
      <c r="J18" s="41">
        <v>211.76</v>
      </c>
      <c r="K18" s="41">
        <v>211.76</v>
      </c>
      <c r="L18" s="42">
        <v>211.76</v>
      </c>
    </row>
    <row r="19" spans="2:12" ht="12.75">
      <c r="B19" s="43" t="s">
        <v>53</v>
      </c>
      <c r="C19" s="44">
        <v>100</v>
      </c>
      <c r="D19" s="44">
        <v>100</v>
      </c>
      <c r="E19" s="44">
        <v>100</v>
      </c>
      <c r="F19" s="44">
        <v>100</v>
      </c>
      <c r="G19" s="44">
        <v>100</v>
      </c>
      <c r="H19" s="44">
        <v>100</v>
      </c>
      <c r="I19" s="44">
        <v>100</v>
      </c>
      <c r="J19" s="44">
        <v>100</v>
      </c>
      <c r="K19" s="44">
        <v>100</v>
      </c>
      <c r="L19" s="45">
        <v>100</v>
      </c>
    </row>
    <row r="20" spans="2:12" ht="12.75">
      <c r="B20" s="43" t="s">
        <v>54</v>
      </c>
      <c r="C20" s="44">
        <f aca="true" t="shared" si="0" ref="C20:I20">$C$14/$C$15</f>
        <v>344.84999999999997</v>
      </c>
      <c r="D20" s="44">
        <f t="shared" si="0"/>
        <v>344.84999999999997</v>
      </c>
      <c r="E20" s="44">
        <f t="shared" si="0"/>
        <v>344.84999999999997</v>
      </c>
      <c r="F20" s="44">
        <f t="shared" si="0"/>
        <v>344.84999999999997</v>
      </c>
      <c r="G20" s="44">
        <f t="shared" si="0"/>
        <v>344.84999999999997</v>
      </c>
      <c r="H20" s="44">
        <f t="shared" si="0"/>
        <v>344.84999999999997</v>
      </c>
      <c r="I20" s="44">
        <f t="shared" si="0"/>
        <v>344.84999999999997</v>
      </c>
      <c r="J20" s="44">
        <v>0</v>
      </c>
      <c r="K20" s="44">
        <v>0</v>
      </c>
      <c r="L20" s="45">
        <v>0</v>
      </c>
    </row>
    <row r="21" spans="2:12" ht="12.75">
      <c r="B21" s="43" t="s">
        <v>55</v>
      </c>
      <c r="C21" s="44">
        <v>25</v>
      </c>
      <c r="D21" s="44">
        <v>25</v>
      </c>
      <c r="E21" s="44">
        <v>25</v>
      </c>
      <c r="F21" s="44">
        <v>25</v>
      </c>
      <c r="G21" s="44">
        <v>25</v>
      </c>
      <c r="H21" s="44">
        <v>25</v>
      </c>
      <c r="I21" s="44">
        <v>25</v>
      </c>
      <c r="J21" s="44">
        <v>25</v>
      </c>
      <c r="K21" s="44">
        <v>25</v>
      </c>
      <c r="L21" s="45">
        <v>25</v>
      </c>
    </row>
    <row r="22" spans="2:12" ht="12.75">
      <c r="B22" s="43" t="s">
        <v>56</v>
      </c>
      <c r="C22" s="44">
        <v>975.82</v>
      </c>
      <c r="D22" s="44">
        <v>354.9</v>
      </c>
      <c r="E22" s="44">
        <v>354.9</v>
      </c>
      <c r="F22" s="44">
        <v>354.9</v>
      </c>
      <c r="G22" s="44">
        <v>354.9</v>
      </c>
      <c r="H22" s="44">
        <v>354.9</v>
      </c>
      <c r="I22" s="44">
        <v>354.9</v>
      </c>
      <c r="J22" s="44">
        <v>354.9</v>
      </c>
      <c r="K22" s="44">
        <v>354.9</v>
      </c>
      <c r="L22" s="45">
        <v>354.9</v>
      </c>
    </row>
    <row r="23" spans="2:12" ht="12.75">
      <c r="B23" s="43" t="s">
        <v>57</v>
      </c>
      <c r="C23" s="44">
        <v>18.3</v>
      </c>
      <c r="D23" s="44">
        <v>0</v>
      </c>
      <c r="E23" s="44">
        <v>0</v>
      </c>
      <c r="F23" s="44">
        <v>0</v>
      </c>
      <c r="G23" s="44">
        <v>0</v>
      </c>
      <c r="H23" s="44">
        <v>0</v>
      </c>
      <c r="I23" s="44">
        <v>0</v>
      </c>
      <c r="J23" s="44">
        <v>0</v>
      </c>
      <c r="K23" s="44">
        <v>0</v>
      </c>
      <c r="L23" s="45">
        <v>0</v>
      </c>
    </row>
    <row r="24" spans="2:12" ht="12.75">
      <c r="B24" s="43" t="s">
        <v>58</v>
      </c>
      <c r="C24" s="44">
        <v>228.1</v>
      </c>
      <c r="D24" s="44">
        <v>92.37</v>
      </c>
      <c r="E24" s="44">
        <v>92.37</v>
      </c>
      <c r="F24" s="44">
        <v>92.37</v>
      </c>
      <c r="G24" s="44">
        <v>92.37</v>
      </c>
      <c r="H24" s="44">
        <v>92.37</v>
      </c>
      <c r="I24" s="44">
        <v>92.37</v>
      </c>
      <c r="J24" s="44">
        <v>92.37</v>
      </c>
      <c r="K24" s="44">
        <v>92.37</v>
      </c>
      <c r="L24" s="45">
        <v>92.37</v>
      </c>
    </row>
    <row r="25" spans="2:12" ht="12.75">
      <c r="B25" s="46" t="s">
        <v>59</v>
      </c>
      <c r="C25" s="47">
        <f aca="true" t="shared" si="1" ref="C25:L25">SUM(C18:C24)</f>
        <v>1956.12</v>
      </c>
      <c r="D25" s="47">
        <f t="shared" si="1"/>
        <v>1128.8799999999997</v>
      </c>
      <c r="E25" s="47">
        <f t="shared" si="1"/>
        <v>1128.8799999999997</v>
      </c>
      <c r="F25" s="47">
        <f t="shared" si="1"/>
        <v>1128.8799999999997</v>
      </c>
      <c r="G25" s="47">
        <f t="shared" si="1"/>
        <v>1128.8799999999997</v>
      </c>
      <c r="H25" s="47">
        <f t="shared" si="1"/>
        <v>1128.8799999999997</v>
      </c>
      <c r="I25" s="47">
        <f t="shared" si="1"/>
        <v>1128.8799999999997</v>
      </c>
      <c r="J25" s="47">
        <f t="shared" si="1"/>
        <v>784.03</v>
      </c>
      <c r="K25" s="47">
        <f t="shared" si="1"/>
        <v>784.03</v>
      </c>
      <c r="L25" s="48">
        <f t="shared" si="1"/>
        <v>784.03</v>
      </c>
    </row>
    <row r="26" spans="3:4" ht="12.75">
      <c r="C26" s="37"/>
      <c r="D26" s="49"/>
    </row>
    <row r="27" spans="1:4" ht="12.75">
      <c r="A27" s="1" t="s">
        <v>60</v>
      </c>
      <c r="C27" s="37"/>
      <c r="D27" s="49"/>
    </row>
    <row r="28" spans="1:12" ht="12.75">
      <c r="A28" s="1"/>
      <c r="B28" s="40" t="s">
        <v>61</v>
      </c>
      <c r="C28" s="41">
        <f aca="true" t="shared" si="2" ref="C28:L28">$C$9</f>
        <v>52800</v>
      </c>
      <c r="D28" s="41">
        <f t="shared" si="2"/>
        <v>52800</v>
      </c>
      <c r="E28" s="41">
        <f t="shared" si="2"/>
        <v>52800</v>
      </c>
      <c r="F28" s="41">
        <f t="shared" si="2"/>
        <v>52800</v>
      </c>
      <c r="G28" s="41">
        <f t="shared" si="2"/>
        <v>52800</v>
      </c>
      <c r="H28" s="41">
        <f t="shared" si="2"/>
        <v>52800</v>
      </c>
      <c r="I28" s="41">
        <f t="shared" si="2"/>
        <v>52800</v>
      </c>
      <c r="J28" s="41">
        <f t="shared" si="2"/>
        <v>52800</v>
      </c>
      <c r="K28" s="41">
        <f t="shared" si="2"/>
        <v>52800</v>
      </c>
      <c r="L28" s="42">
        <f t="shared" si="2"/>
        <v>52800</v>
      </c>
    </row>
    <row r="29" spans="1:12" ht="12.75">
      <c r="A29" s="1"/>
      <c r="B29" s="43" t="s">
        <v>62</v>
      </c>
      <c r="C29" s="44">
        <f aca="true" t="shared" si="3" ref="C29:L29">$C$10</f>
        <v>13200</v>
      </c>
      <c r="D29" s="44">
        <f t="shared" si="3"/>
        <v>13200</v>
      </c>
      <c r="E29" s="44">
        <f t="shared" si="3"/>
        <v>13200</v>
      </c>
      <c r="F29" s="44">
        <f t="shared" si="3"/>
        <v>13200</v>
      </c>
      <c r="G29" s="44">
        <f t="shared" si="3"/>
        <v>13200</v>
      </c>
      <c r="H29" s="44">
        <f t="shared" si="3"/>
        <v>13200</v>
      </c>
      <c r="I29" s="44">
        <f t="shared" si="3"/>
        <v>13200</v>
      </c>
      <c r="J29" s="44">
        <f t="shared" si="3"/>
        <v>13200</v>
      </c>
      <c r="K29" s="44">
        <f t="shared" si="3"/>
        <v>13200</v>
      </c>
      <c r="L29" s="45">
        <f t="shared" si="3"/>
        <v>13200</v>
      </c>
    </row>
    <row r="30" spans="2:12" ht="12.75">
      <c r="B30" s="43" t="s">
        <v>63</v>
      </c>
      <c r="C30" s="44">
        <f aca="true" t="shared" si="4" ref="C30:L30">(C28*$C$11)+(C29*$C$12)</f>
        <v>3801.6</v>
      </c>
      <c r="D30" s="44">
        <f t="shared" si="4"/>
        <v>3801.6</v>
      </c>
      <c r="E30" s="44">
        <f t="shared" si="4"/>
        <v>3801.6</v>
      </c>
      <c r="F30" s="44">
        <f t="shared" si="4"/>
        <v>3801.6</v>
      </c>
      <c r="G30" s="44">
        <f t="shared" si="4"/>
        <v>3801.6</v>
      </c>
      <c r="H30" s="44">
        <f t="shared" si="4"/>
        <v>3801.6</v>
      </c>
      <c r="I30" s="44">
        <f t="shared" si="4"/>
        <v>3801.6</v>
      </c>
      <c r="J30" s="44">
        <f t="shared" si="4"/>
        <v>3801.6</v>
      </c>
      <c r="K30" s="44">
        <f t="shared" si="4"/>
        <v>3801.6</v>
      </c>
      <c r="L30" s="45">
        <f t="shared" si="4"/>
        <v>3801.6</v>
      </c>
    </row>
    <row r="31" spans="2:13" ht="12.75">
      <c r="B31" s="43" t="s">
        <v>64</v>
      </c>
      <c r="C31" s="44">
        <f aca="true" t="shared" si="5" ref="C31:L31">C30-C25</f>
        <v>1845.48</v>
      </c>
      <c r="D31" s="44">
        <f t="shared" si="5"/>
        <v>2672.7200000000003</v>
      </c>
      <c r="E31" s="44">
        <f t="shared" si="5"/>
        <v>2672.7200000000003</v>
      </c>
      <c r="F31" s="44">
        <f t="shared" si="5"/>
        <v>2672.7200000000003</v>
      </c>
      <c r="G31" s="44">
        <f t="shared" si="5"/>
        <v>2672.7200000000003</v>
      </c>
      <c r="H31" s="44">
        <f t="shared" si="5"/>
        <v>2672.7200000000003</v>
      </c>
      <c r="I31" s="44">
        <f t="shared" si="5"/>
        <v>2672.7200000000003</v>
      </c>
      <c r="J31" s="44">
        <f t="shared" si="5"/>
        <v>3017.5699999999997</v>
      </c>
      <c r="K31" s="44">
        <f t="shared" si="5"/>
        <v>3017.5699999999997</v>
      </c>
      <c r="L31" s="45">
        <f t="shared" si="5"/>
        <v>3017.5699999999997</v>
      </c>
      <c r="M31" s="50"/>
    </row>
    <row r="32" spans="2:12" ht="12.75">
      <c r="B32" s="43"/>
      <c r="C32" s="44"/>
      <c r="D32" s="44"/>
      <c r="E32" s="44"/>
      <c r="F32" s="44"/>
      <c r="G32" s="44"/>
      <c r="H32" s="44"/>
      <c r="I32" s="44"/>
      <c r="J32" s="44"/>
      <c r="K32" s="44"/>
      <c r="L32" s="45"/>
    </row>
    <row r="33" spans="2:13" ht="12.75">
      <c r="B33" s="46" t="s">
        <v>65</v>
      </c>
      <c r="C33" s="47">
        <f>C31+C18</f>
        <v>2109.53</v>
      </c>
      <c r="D33" s="47">
        <f>D31+D18</f>
        <v>2884.4800000000005</v>
      </c>
      <c r="E33" s="47">
        <f>E31+E18</f>
        <v>2884.4800000000005</v>
      </c>
      <c r="F33" s="47">
        <f>F31+F18</f>
        <v>2884.4800000000005</v>
      </c>
      <c r="G33" s="47">
        <f aca="true" t="shared" si="6" ref="G33:L33">G31+G18</f>
        <v>2884.4800000000005</v>
      </c>
      <c r="H33" s="47">
        <f t="shared" si="6"/>
        <v>2884.4800000000005</v>
      </c>
      <c r="I33" s="47">
        <f t="shared" si="6"/>
        <v>2884.4800000000005</v>
      </c>
      <c r="J33" s="47">
        <f t="shared" si="6"/>
        <v>3229.33</v>
      </c>
      <c r="K33" s="47">
        <f t="shared" si="6"/>
        <v>3229.33</v>
      </c>
      <c r="L33" s="48">
        <f t="shared" si="6"/>
        <v>3229.33</v>
      </c>
      <c r="M33" s="50"/>
    </row>
    <row r="34" ht="12.75">
      <c r="D34" s="49"/>
    </row>
    <row r="35" spans="2:4" ht="12.75">
      <c r="B35" s="23" t="s">
        <v>66</v>
      </c>
      <c r="C35" s="51">
        <f>C18/C33</f>
        <v>0.1251700615776974</v>
      </c>
      <c r="D35" s="49"/>
    </row>
    <row r="36" spans="3:4" ht="12.75">
      <c r="C36" s="51"/>
      <c r="D36" s="49"/>
    </row>
    <row r="37" ht="12.75">
      <c r="A37" s="1" t="s">
        <v>67</v>
      </c>
    </row>
    <row r="38" spans="1:13" ht="12.75">
      <c r="A38" s="23" t="s">
        <v>68</v>
      </c>
      <c r="C38" s="52" t="s">
        <v>69</v>
      </c>
      <c r="D38" s="38" t="s">
        <v>9</v>
      </c>
      <c r="E38" s="39" t="s">
        <v>10</v>
      </c>
      <c r="F38" s="39" t="s">
        <v>11</v>
      </c>
      <c r="G38" s="39" t="s">
        <v>12</v>
      </c>
      <c r="H38" s="39" t="s">
        <v>46</v>
      </c>
      <c r="I38" s="39" t="s">
        <v>47</v>
      </c>
      <c r="J38" s="39" t="s">
        <v>48</v>
      </c>
      <c r="K38" s="39" t="s">
        <v>49</v>
      </c>
      <c r="L38" s="39" t="s">
        <v>50</v>
      </c>
      <c r="M38" s="39" t="s">
        <v>51</v>
      </c>
    </row>
    <row r="39" spans="2:13" ht="12.75">
      <c r="B39" s="40" t="s">
        <v>52</v>
      </c>
      <c r="C39" s="41">
        <f>264.05*'ERR &amp; Sensitivity Analysis'!D10</f>
        <v>264.05</v>
      </c>
      <c r="D39" s="41">
        <f>E39*'ERR &amp; Sensitivity Analysis'!D10</f>
        <v>211.76</v>
      </c>
      <c r="E39" s="41">
        <f>211.76*'ERR &amp; Sensitivity Analysis'!D10</f>
        <v>211.76</v>
      </c>
      <c r="F39" s="41">
        <f>211.76*'ERR &amp; Sensitivity Analysis'!D10</f>
        <v>211.76</v>
      </c>
      <c r="G39" s="41">
        <f>211.76*'ERR &amp; Sensitivity Analysis'!D10</f>
        <v>211.76</v>
      </c>
      <c r="H39" s="41">
        <f>211.76*'ERR &amp; Sensitivity Analysis'!D10</f>
        <v>211.76</v>
      </c>
      <c r="I39" s="41">
        <f>211.76*'ERR &amp; Sensitivity Analysis'!D10</f>
        <v>211.76</v>
      </c>
      <c r="J39" s="41">
        <f>211.76*'ERR &amp; Sensitivity Analysis'!D10</f>
        <v>211.76</v>
      </c>
      <c r="K39" s="41">
        <f>211.76*'ERR &amp; Sensitivity Analysis'!D10</f>
        <v>211.76</v>
      </c>
      <c r="L39" s="41">
        <f>211.76*'ERR &amp; Sensitivity Analysis'!D10</f>
        <v>211.76</v>
      </c>
      <c r="M39" s="42">
        <v>0</v>
      </c>
    </row>
    <row r="40" spans="2:13" ht="12.75">
      <c r="B40" s="43" t="s">
        <v>53</v>
      </c>
      <c r="C40" s="44">
        <f>100*'ERR &amp; Sensitivity Analysis'!D10</f>
        <v>100</v>
      </c>
      <c r="D40" s="44">
        <f>100*'ERR &amp; Sensitivity Analysis'!D10</f>
        <v>100</v>
      </c>
      <c r="E40" s="44">
        <f>100*'ERR &amp; Sensitivity Analysis'!D10</f>
        <v>100</v>
      </c>
      <c r="F40" s="44">
        <f>100*'ERR &amp; Sensitivity Analysis'!D10</f>
        <v>100</v>
      </c>
      <c r="G40" s="44">
        <f>100*'ERR &amp; Sensitivity Analysis'!D10</f>
        <v>100</v>
      </c>
      <c r="H40" s="44">
        <f>100*'ERR &amp; Sensitivity Analysis'!D10</f>
        <v>100</v>
      </c>
      <c r="I40" s="44">
        <f>100*'ERR &amp; Sensitivity Analysis'!D10</f>
        <v>100</v>
      </c>
      <c r="J40" s="44">
        <f>100*'ERR &amp; Sensitivity Analysis'!D10</f>
        <v>100</v>
      </c>
      <c r="K40" s="44">
        <f>100*'ERR &amp; Sensitivity Analysis'!D10</f>
        <v>100</v>
      </c>
      <c r="L40" s="44">
        <f>100*'ERR &amp; Sensitivity Analysis'!D10</f>
        <v>100</v>
      </c>
      <c r="M40" s="45">
        <v>0</v>
      </c>
    </row>
    <row r="41" spans="2:13" ht="12.75">
      <c r="B41" s="43" t="s">
        <v>70</v>
      </c>
      <c r="C41" s="44">
        <f>$C$14*'ERR &amp; Sensitivity Analysis'!D10</f>
        <v>2413.95</v>
      </c>
      <c r="D41" s="44">
        <v>0</v>
      </c>
      <c r="E41" s="44">
        <v>0</v>
      </c>
      <c r="F41" s="44">
        <v>0</v>
      </c>
      <c r="G41" s="44">
        <v>0</v>
      </c>
      <c r="H41" s="44">
        <v>0</v>
      </c>
      <c r="I41" s="44">
        <v>0</v>
      </c>
      <c r="J41" s="44">
        <v>0</v>
      </c>
      <c r="K41" s="44">
        <v>0</v>
      </c>
      <c r="L41" s="44">
        <v>0</v>
      </c>
      <c r="M41" s="45">
        <v>0</v>
      </c>
    </row>
    <row r="42" spans="2:13" ht="12.75">
      <c r="B42" s="43" t="s">
        <v>55</v>
      </c>
      <c r="C42" s="44">
        <f>25*'ERR &amp; Sensitivity Analysis'!D10</f>
        <v>25</v>
      </c>
      <c r="D42" s="44">
        <f>25*'ERR &amp; Sensitivity Analysis'!D10</f>
        <v>25</v>
      </c>
      <c r="E42" s="44">
        <f>25*'ERR &amp; Sensitivity Analysis'!D10</f>
        <v>25</v>
      </c>
      <c r="F42" s="44">
        <f>25*'ERR &amp; Sensitivity Analysis'!D10</f>
        <v>25</v>
      </c>
      <c r="G42" s="44">
        <f>25*'ERR &amp; Sensitivity Analysis'!D10</f>
        <v>25</v>
      </c>
      <c r="H42" s="44">
        <f>25*'ERR &amp; Sensitivity Analysis'!D10</f>
        <v>25</v>
      </c>
      <c r="I42" s="44">
        <f>25*'ERR &amp; Sensitivity Analysis'!D10</f>
        <v>25</v>
      </c>
      <c r="J42" s="44">
        <f>25*'ERR &amp; Sensitivity Analysis'!D10</f>
        <v>25</v>
      </c>
      <c r="K42" s="44">
        <f>25*'ERR &amp; Sensitivity Analysis'!D10</f>
        <v>25</v>
      </c>
      <c r="L42" s="44">
        <f>25*'ERR &amp; Sensitivity Analysis'!D10</f>
        <v>25</v>
      </c>
      <c r="M42" s="45">
        <v>0</v>
      </c>
    </row>
    <row r="43" spans="2:13" ht="12.75">
      <c r="B43" s="43" t="s">
        <v>56</v>
      </c>
      <c r="C43" s="44">
        <f>975.82*'ERR &amp; Sensitivity Analysis'!D10</f>
        <v>975.82</v>
      </c>
      <c r="D43" s="44">
        <f>E43*'ERR &amp; Sensitivity Analysis'!D10</f>
        <v>354.9</v>
      </c>
      <c r="E43" s="44">
        <f>354.9*'ERR &amp; Sensitivity Analysis'!D10</f>
        <v>354.9</v>
      </c>
      <c r="F43" s="44">
        <f>354.9*'ERR &amp; Sensitivity Analysis'!D10</f>
        <v>354.9</v>
      </c>
      <c r="G43" s="44">
        <f>354.9*'ERR &amp; Sensitivity Analysis'!D10</f>
        <v>354.9</v>
      </c>
      <c r="H43" s="44">
        <f>354.9*'ERR &amp; Sensitivity Analysis'!D10</f>
        <v>354.9</v>
      </c>
      <c r="I43" s="44">
        <f>354.9*'ERR &amp; Sensitivity Analysis'!D10</f>
        <v>354.9</v>
      </c>
      <c r="J43" s="44">
        <f>354.9*'ERR &amp; Sensitivity Analysis'!D10</f>
        <v>354.9</v>
      </c>
      <c r="K43" s="44">
        <f>354.9*'ERR &amp; Sensitivity Analysis'!D10</f>
        <v>354.9</v>
      </c>
      <c r="L43" s="44">
        <f>354.9*'ERR &amp; Sensitivity Analysis'!D10</f>
        <v>354.9</v>
      </c>
      <c r="M43" s="45">
        <v>0</v>
      </c>
    </row>
    <row r="44" spans="2:13" ht="12.75">
      <c r="B44" s="43" t="s">
        <v>57</v>
      </c>
      <c r="C44" s="44">
        <f>100*'ERR &amp; Sensitivity Analysis'!D10</f>
        <v>100</v>
      </c>
      <c r="D44" s="44">
        <v>0</v>
      </c>
      <c r="E44" s="44">
        <v>0</v>
      </c>
      <c r="F44" s="44">
        <v>0</v>
      </c>
      <c r="G44" s="44">
        <v>0</v>
      </c>
      <c r="H44" s="44">
        <v>0</v>
      </c>
      <c r="I44" s="44">
        <v>0</v>
      </c>
      <c r="J44" s="44">
        <v>0</v>
      </c>
      <c r="K44" s="44">
        <v>0</v>
      </c>
      <c r="L44" s="44">
        <v>0</v>
      </c>
      <c r="M44" s="45">
        <v>0</v>
      </c>
    </row>
    <row r="45" spans="2:13" ht="12.75">
      <c r="B45" s="43" t="s">
        <v>58</v>
      </c>
      <c r="C45" s="44">
        <f>228.1*'ERR &amp; Sensitivity Analysis'!D10</f>
        <v>228.1</v>
      </c>
      <c r="D45" s="44">
        <f>92.37*'ERR &amp; Sensitivity Analysis'!D10</f>
        <v>92.37</v>
      </c>
      <c r="E45" s="44">
        <f>92.37*'ERR &amp; Sensitivity Analysis'!D10</f>
        <v>92.37</v>
      </c>
      <c r="F45" s="44">
        <f>92.37*'ERR &amp; Sensitivity Analysis'!D10</f>
        <v>92.37</v>
      </c>
      <c r="G45" s="44">
        <f>92.37*'ERR &amp; Sensitivity Analysis'!D10</f>
        <v>92.37</v>
      </c>
      <c r="H45" s="44">
        <f>92.37*'ERR &amp; Sensitivity Analysis'!D10</f>
        <v>92.37</v>
      </c>
      <c r="I45" s="44">
        <f>92.37*'ERR &amp; Sensitivity Analysis'!D10</f>
        <v>92.37</v>
      </c>
      <c r="J45" s="44">
        <f>92.37*'ERR &amp; Sensitivity Analysis'!D10</f>
        <v>92.37</v>
      </c>
      <c r="K45" s="44">
        <f>92.37*'ERR &amp; Sensitivity Analysis'!D10</f>
        <v>92.37</v>
      </c>
      <c r="L45" s="44">
        <f>92.37*'ERR &amp; Sensitivity Analysis'!D10</f>
        <v>92.37</v>
      </c>
      <c r="M45" s="45">
        <v>0</v>
      </c>
    </row>
    <row r="46" spans="2:13" ht="12.75">
      <c r="B46" s="46" t="s">
        <v>71</v>
      </c>
      <c r="C46" s="53">
        <f>SUM(C39:C45)</f>
        <v>4106.92</v>
      </c>
      <c r="D46" s="47">
        <f aca="true" t="shared" si="7" ref="D46:M46">SUM(D39:D45)</f>
        <v>784.03</v>
      </c>
      <c r="E46" s="47">
        <f t="shared" si="7"/>
        <v>784.03</v>
      </c>
      <c r="F46" s="47">
        <f t="shared" si="7"/>
        <v>784.03</v>
      </c>
      <c r="G46" s="47">
        <f t="shared" si="7"/>
        <v>784.03</v>
      </c>
      <c r="H46" s="47">
        <f t="shared" si="7"/>
        <v>784.03</v>
      </c>
      <c r="I46" s="47">
        <f t="shared" si="7"/>
        <v>784.03</v>
      </c>
      <c r="J46" s="47">
        <f t="shared" si="7"/>
        <v>784.03</v>
      </c>
      <c r="K46" s="47">
        <f t="shared" si="7"/>
        <v>784.03</v>
      </c>
      <c r="L46" s="47">
        <f t="shared" si="7"/>
        <v>784.03</v>
      </c>
      <c r="M46" s="48">
        <f t="shared" si="7"/>
        <v>0</v>
      </c>
    </row>
    <row r="47" spans="4:5" ht="12.75">
      <c r="D47" s="37"/>
      <c r="E47" s="49"/>
    </row>
    <row r="48" spans="1:5" ht="12.75">
      <c r="A48" s="23" t="s">
        <v>72</v>
      </c>
      <c r="D48" s="37"/>
      <c r="E48" s="49"/>
    </row>
    <row r="49" spans="1:13" ht="12.75">
      <c r="A49" s="1"/>
      <c r="B49" s="40" t="s">
        <v>61</v>
      </c>
      <c r="C49" s="54">
        <v>0</v>
      </c>
      <c r="D49" s="41">
        <f aca="true" t="shared" si="8" ref="D49:M49">$C$9</f>
        <v>52800</v>
      </c>
      <c r="E49" s="41">
        <f t="shared" si="8"/>
        <v>52800</v>
      </c>
      <c r="F49" s="41">
        <f t="shared" si="8"/>
        <v>52800</v>
      </c>
      <c r="G49" s="41">
        <f t="shared" si="8"/>
        <v>52800</v>
      </c>
      <c r="H49" s="41">
        <f t="shared" si="8"/>
        <v>52800</v>
      </c>
      <c r="I49" s="41">
        <f t="shared" si="8"/>
        <v>52800</v>
      </c>
      <c r="J49" s="41">
        <f t="shared" si="8"/>
        <v>52800</v>
      </c>
      <c r="K49" s="41">
        <f t="shared" si="8"/>
        <v>52800</v>
      </c>
      <c r="L49" s="41">
        <f t="shared" si="8"/>
        <v>52800</v>
      </c>
      <c r="M49" s="42">
        <f t="shared" si="8"/>
        <v>52800</v>
      </c>
    </row>
    <row r="50" spans="1:13" ht="12.75">
      <c r="A50" s="1"/>
      <c r="B50" s="43" t="s">
        <v>62</v>
      </c>
      <c r="C50" s="52">
        <v>0</v>
      </c>
      <c r="D50" s="44">
        <f aca="true" t="shared" si="9" ref="D50:M50">$C$10</f>
        <v>13200</v>
      </c>
      <c r="E50" s="44">
        <f t="shared" si="9"/>
        <v>13200</v>
      </c>
      <c r="F50" s="44">
        <f t="shared" si="9"/>
        <v>13200</v>
      </c>
      <c r="G50" s="44">
        <f t="shared" si="9"/>
        <v>13200</v>
      </c>
      <c r="H50" s="44">
        <f t="shared" si="9"/>
        <v>13200</v>
      </c>
      <c r="I50" s="44">
        <f t="shared" si="9"/>
        <v>13200</v>
      </c>
      <c r="J50" s="44">
        <f t="shared" si="9"/>
        <v>13200</v>
      </c>
      <c r="K50" s="44">
        <f t="shared" si="9"/>
        <v>13200</v>
      </c>
      <c r="L50" s="44">
        <f t="shared" si="9"/>
        <v>13200</v>
      </c>
      <c r="M50" s="45">
        <f t="shared" si="9"/>
        <v>13200</v>
      </c>
    </row>
    <row r="51" spans="2:13" ht="12.75">
      <c r="B51" s="43" t="s">
        <v>63</v>
      </c>
      <c r="C51" s="52">
        <v>0</v>
      </c>
      <c r="D51" s="44">
        <f aca="true" t="shared" si="10" ref="D51:M51">((D49*$C$11)+(D50*$C$12))</f>
        <v>3801.6</v>
      </c>
      <c r="E51" s="44">
        <f t="shared" si="10"/>
        <v>3801.6</v>
      </c>
      <c r="F51" s="44">
        <f t="shared" si="10"/>
        <v>3801.6</v>
      </c>
      <c r="G51" s="44">
        <f t="shared" si="10"/>
        <v>3801.6</v>
      </c>
      <c r="H51" s="44">
        <f t="shared" si="10"/>
        <v>3801.6</v>
      </c>
      <c r="I51" s="44">
        <f t="shared" si="10"/>
        <v>3801.6</v>
      </c>
      <c r="J51" s="44">
        <f t="shared" si="10"/>
        <v>3801.6</v>
      </c>
      <c r="K51" s="44">
        <f t="shared" si="10"/>
        <v>3801.6</v>
      </c>
      <c r="L51" s="44">
        <f t="shared" si="10"/>
        <v>3801.6</v>
      </c>
      <c r="M51" s="45">
        <f t="shared" si="10"/>
        <v>3801.6</v>
      </c>
    </row>
    <row r="52" spans="2:13" ht="12.75">
      <c r="B52" s="46" t="s">
        <v>73</v>
      </c>
      <c r="C52" s="55">
        <f>C51</f>
        <v>0</v>
      </c>
      <c r="D52" s="47">
        <f>D51</f>
        <v>3801.6</v>
      </c>
      <c r="E52" s="47">
        <f aca="true" t="shared" si="11" ref="E52:M52">E51</f>
        <v>3801.6</v>
      </c>
      <c r="F52" s="47">
        <f t="shared" si="11"/>
        <v>3801.6</v>
      </c>
      <c r="G52" s="47">
        <f t="shared" si="11"/>
        <v>3801.6</v>
      </c>
      <c r="H52" s="47">
        <f t="shared" si="11"/>
        <v>3801.6</v>
      </c>
      <c r="I52" s="47">
        <f t="shared" si="11"/>
        <v>3801.6</v>
      </c>
      <c r="J52" s="47">
        <f t="shared" si="11"/>
        <v>3801.6</v>
      </c>
      <c r="K52" s="47">
        <f t="shared" si="11"/>
        <v>3801.6</v>
      </c>
      <c r="L52" s="47">
        <f t="shared" si="11"/>
        <v>3801.6</v>
      </c>
      <c r="M52" s="48">
        <f t="shared" si="11"/>
        <v>3801.6</v>
      </c>
    </row>
    <row r="54" spans="2:13" ht="12.75">
      <c r="B54" s="40" t="s">
        <v>74</v>
      </c>
      <c r="C54" s="56">
        <f>C52-C46</f>
        <v>-4106.92</v>
      </c>
      <c r="D54" s="56">
        <f aca="true" t="shared" si="12" ref="D54:M54">D52-D46</f>
        <v>3017.5699999999997</v>
      </c>
      <c r="E54" s="56">
        <f t="shared" si="12"/>
        <v>3017.5699999999997</v>
      </c>
      <c r="F54" s="56">
        <f t="shared" si="12"/>
        <v>3017.5699999999997</v>
      </c>
      <c r="G54" s="56">
        <f t="shared" si="12"/>
        <v>3017.5699999999997</v>
      </c>
      <c r="H54" s="56">
        <f t="shared" si="12"/>
        <v>3017.5699999999997</v>
      </c>
      <c r="I54" s="56">
        <f t="shared" si="12"/>
        <v>3017.5699999999997</v>
      </c>
      <c r="J54" s="56">
        <f t="shared" si="12"/>
        <v>3017.5699999999997</v>
      </c>
      <c r="K54" s="56">
        <f t="shared" si="12"/>
        <v>3017.5699999999997</v>
      </c>
      <c r="L54" s="56">
        <f t="shared" si="12"/>
        <v>3017.5699999999997</v>
      </c>
      <c r="M54" s="57">
        <f t="shared" si="12"/>
        <v>3801.6</v>
      </c>
    </row>
    <row r="55" spans="2:13" ht="12.75">
      <c r="B55" s="58" t="s">
        <v>75</v>
      </c>
      <c r="C55" s="59">
        <f>C54</f>
        <v>-4106.92</v>
      </c>
      <c r="D55" s="59">
        <f>D54+C55</f>
        <v>-1089.3500000000004</v>
      </c>
      <c r="E55" s="59">
        <f aca="true" t="shared" si="13" ref="E55:M55">E54+D55</f>
        <v>1928.2199999999993</v>
      </c>
      <c r="F55" s="59">
        <f t="shared" si="13"/>
        <v>4945.789999999999</v>
      </c>
      <c r="G55" s="59">
        <f t="shared" si="13"/>
        <v>7963.359999999999</v>
      </c>
      <c r="H55" s="59">
        <f t="shared" si="13"/>
        <v>10980.929999999998</v>
      </c>
      <c r="I55" s="59">
        <f t="shared" si="13"/>
        <v>13998.499999999998</v>
      </c>
      <c r="J55" s="59">
        <f t="shared" si="13"/>
        <v>17016.07</v>
      </c>
      <c r="K55" s="59">
        <f t="shared" si="13"/>
        <v>20033.64</v>
      </c>
      <c r="L55" s="59">
        <f t="shared" si="13"/>
        <v>23051.21</v>
      </c>
      <c r="M55" s="60">
        <f t="shared" si="13"/>
        <v>26852.809999999998</v>
      </c>
    </row>
    <row r="56" spans="2:3" ht="13.5" thickBot="1">
      <c r="B56" s="61" t="s">
        <v>143</v>
      </c>
      <c r="C56" s="62">
        <f>IRR(C54:M54)</f>
        <v>0.7323078336658747</v>
      </c>
    </row>
    <row r="57" ht="12.75">
      <c r="C57" s="63"/>
    </row>
  </sheetData>
  <mergeCells count="2">
    <mergeCell ref="B5:H5"/>
    <mergeCell ref="A1:D1"/>
  </mergeCells>
  <conditionalFormatting sqref="B5">
    <cfRule type="cellIs" priority="1" dxfId="0" operator="equal" stopIfTrue="1">
      <formula>0</formula>
    </cfRule>
    <cfRule type="cellIs" priority="2" dxfId="1" operator="notEqual" stopIfTrue="1">
      <formula>0</formula>
    </cfRule>
  </conditionalFormatting>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8"/>
  <dimension ref="A1:V59"/>
  <sheetViews>
    <sheetView zoomScale="85" zoomScaleNormal="85" workbookViewId="0" topLeftCell="A1">
      <selection activeCell="C58" sqref="C58"/>
    </sheetView>
  </sheetViews>
  <sheetFormatPr defaultColWidth="9.140625" defaultRowHeight="12.75"/>
  <cols>
    <col min="1" max="1" width="3.57421875" style="23" customWidth="1"/>
    <col min="2" max="2" width="34.421875" style="23" bestFit="1" customWidth="1"/>
    <col min="3" max="16384" width="9.140625" style="23" customWidth="1"/>
  </cols>
  <sheetData>
    <row r="1" spans="1:7" s="325" customFormat="1" ht="40.5" customHeight="1">
      <c r="A1" s="589" t="s">
        <v>170</v>
      </c>
      <c r="B1" s="589"/>
      <c r="C1" s="589"/>
      <c r="D1" s="589"/>
      <c r="G1" s="557"/>
    </row>
    <row r="2" spans="1:22" s="454" customFormat="1" ht="15.75">
      <c r="A2" s="568" t="s">
        <v>131</v>
      </c>
      <c r="B2" s="569"/>
      <c r="C2" s="569"/>
      <c r="D2" s="569"/>
      <c r="E2" s="569"/>
      <c r="F2" s="569"/>
      <c r="G2" s="569"/>
      <c r="H2" s="21"/>
      <c r="I2" s="21"/>
      <c r="J2" s="21"/>
      <c r="K2" s="21"/>
      <c r="L2" s="21"/>
      <c r="M2" s="21"/>
      <c r="N2" s="21"/>
      <c r="O2" s="21"/>
      <c r="P2" s="21"/>
      <c r="Q2" s="21"/>
      <c r="R2" s="21"/>
      <c r="S2" s="21"/>
      <c r="T2" s="21"/>
      <c r="U2" s="21"/>
      <c r="V2" s="456"/>
    </row>
    <row r="3" spans="1:10" ht="12.75">
      <c r="A3" s="23" t="s">
        <v>76</v>
      </c>
      <c r="J3" s="25" t="s">
        <v>175</v>
      </c>
    </row>
    <row r="4" ht="12.75">
      <c r="A4" s="23" t="s">
        <v>145</v>
      </c>
    </row>
    <row r="5" spans="2:8" ht="12.75">
      <c r="B5" s="581">
        <f>IF('ERR &amp; Sensitivity Analysis'!$I$10="N","Note: Current calculations are based on user input and are not the original MCC estimates.",IF('ERR &amp; Sensitivity Analysis'!$I$11="N","Note: Current calculations are based on user input and are not the original MCC estimates.",0))</f>
        <v>0</v>
      </c>
      <c r="C5" s="581"/>
      <c r="D5" s="581"/>
      <c r="E5" s="581"/>
      <c r="F5" s="581"/>
      <c r="G5" s="581"/>
      <c r="H5" s="581"/>
    </row>
    <row r="6" ht="12.75">
      <c r="A6" s="1" t="s">
        <v>34</v>
      </c>
    </row>
    <row r="7" spans="2:4" ht="12.75">
      <c r="B7" s="27" t="s">
        <v>35</v>
      </c>
      <c r="C7" s="64"/>
      <c r="D7" s="65">
        <v>1</v>
      </c>
    </row>
    <row r="8" spans="2:4" ht="12.75">
      <c r="B8" s="29" t="s">
        <v>36</v>
      </c>
      <c r="C8" s="39"/>
      <c r="D8" s="30" t="s">
        <v>37</v>
      </c>
    </row>
    <row r="9" spans="2:4" ht="12.75">
      <c r="B9" s="29" t="s">
        <v>77</v>
      </c>
      <c r="C9" s="39"/>
      <c r="D9" s="66">
        <f>5390*'ERR &amp; Sensitivity Analysis'!G11</f>
        <v>5390</v>
      </c>
    </row>
    <row r="10" spans="2:4" ht="12.75">
      <c r="B10" s="29" t="s">
        <v>78</v>
      </c>
      <c r="C10" s="39"/>
      <c r="D10" s="66">
        <f>'ERR &amp; Sensitivity Analysis'!G16*'ERR &amp; Sensitivity Analysis'!G11</f>
        <v>0.45</v>
      </c>
    </row>
    <row r="11" spans="2:4" ht="12.75">
      <c r="B11" s="29" t="s">
        <v>42</v>
      </c>
      <c r="C11" s="39"/>
      <c r="D11" s="67">
        <v>0</v>
      </c>
    </row>
    <row r="12" spans="2:4" ht="12.75">
      <c r="B12" s="29" t="s">
        <v>43</v>
      </c>
      <c r="C12" s="39"/>
      <c r="D12" s="67">
        <v>1200</v>
      </c>
    </row>
    <row r="13" spans="2:4" ht="12.75">
      <c r="B13" s="35" t="s">
        <v>44</v>
      </c>
      <c r="C13" s="68"/>
      <c r="D13" s="69">
        <v>7</v>
      </c>
    </row>
    <row r="14" ht="12.75">
      <c r="C14" s="26">
        <f>IF('ERR &amp; Sensitivity Analysis'!I13="N","Note: Current calculations are based on user input and are not the original MCC estimates.",IF('ERR &amp; Sensitivity Analysis'!I14="N","Note: Current calculations are based on user input and are not the original MCC estimates.",""))</f>
      </c>
    </row>
    <row r="15" spans="1:13" ht="12.75">
      <c r="A15" s="1" t="s">
        <v>45</v>
      </c>
      <c r="D15" s="39" t="s">
        <v>9</v>
      </c>
      <c r="E15" s="39" t="s">
        <v>10</v>
      </c>
      <c r="F15" s="39" t="s">
        <v>11</v>
      </c>
      <c r="G15" s="39" t="s">
        <v>12</v>
      </c>
      <c r="H15" s="39" t="s">
        <v>46</v>
      </c>
      <c r="I15" s="39" t="s">
        <v>47</v>
      </c>
      <c r="J15" s="39" t="s">
        <v>48</v>
      </c>
      <c r="K15" s="39" t="s">
        <v>49</v>
      </c>
      <c r="L15" s="39" t="s">
        <v>50</v>
      </c>
      <c r="M15" s="39" t="s">
        <v>51</v>
      </c>
    </row>
    <row r="16" spans="2:13" ht="12.75">
      <c r="B16" s="40" t="s">
        <v>52</v>
      </c>
      <c r="C16" s="54"/>
      <c r="D16" s="70">
        <v>100</v>
      </c>
      <c r="E16" s="70">
        <v>58.8</v>
      </c>
      <c r="F16" s="70">
        <v>58.8</v>
      </c>
      <c r="G16" s="70">
        <v>58.8</v>
      </c>
      <c r="H16" s="70">
        <v>58.8</v>
      </c>
      <c r="I16" s="70">
        <v>58.8</v>
      </c>
      <c r="J16" s="70">
        <v>58.8</v>
      </c>
      <c r="K16" s="70">
        <v>58.8</v>
      </c>
      <c r="L16" s="71">
        <v>58.8</v>
      </c>
      <c r="M16" s="72">
        <v>58.8</v>
      </c>
    </row>
    <row r="17" spans="2:13" ht="12.75">
      <c r="B17" s="43" t="s">
        <v>53</v>
      </c>
      <c r="C17" s="52"/>
      <c r="D17" s="73">
        <v>21</v>
      </c>
      <c r="E17" s="73">
        <v>21</v>
      </c>
      <c r="F17" s="73">
        <v>21</v>
      </c>
      <c r="G17" s="73">
        <v>21</v>
      </c>
      <c r="H17" s="73">
        <v>21</v>
      </c>
      <c r="I17" s="73">
        <v>21</v>
      </c>
      <c r="J17" s="73">
        <v>21</v>
      </c>
      <c r="K17" s="73">
        <v>21</v>
      </c>
      <c r="L17" s="74">
        <v>21</v>
      </c>
      <c r="M17" s="75">
        <v>21</v>
      </c>
    </row>
    <row r="18" spans="2:13" ht="12.75">
      <c r="B18" s="43" t="s">
        <v>54</v>
      </c>
      <c r="C18" s="52"/>
      <c r="D18" s="73">
        <f>$D$12/$D$13</f>
        <v>171.42857142857142</v>
      </c>
      <c r="E18" s="73">
        <f aca="true" t="shared" si="0" ref="E18:J18">$D$12/$D$13</f>
        <v>171.42857142857142</v>
      </c>
      <c r="F18" s="73">
        <f t="shared" si="0"/>
        <v>171.42857142857142</v>
      </c>
      <c r="G18" s="73">
        <f t="shared" si="0"/>
        <v>171.42857142857142</v>
      </c>
      <c r="H18" s="73">
        <f t="shared" si="0"/>
        <v>171.42857142857142</v>
      </c>
      <c r="I18" s="73">
        <f t="shared" si="0"/>
        <v>171.42857142857142</v>
      </c>
      <c r="J18" s="73">
        <f t="shared" si="0"/>
        <v>171.42857142857142</v>
      </c>
      <c r="K18" s="73">
        <v>0</v>
      </c>
      <c r="L18" s="74">
        <v>0</v>
      </c>
      <c r="M18" s="75">
        <v>0</v>
      </c>
    </row>
    <row r="19" spans="2:13" ht="12.75">
      <c r="B19" s="43" t="s">
        <v>55</v>
      </c>
      <c r="C19" s="52"/>
      <c r="D19" s="73"/>
      <c r="E19" s="73"/>
      <c r="F19" s="73"/>
      <c r="G19" s="73"/>
      <c r="H19" s="73"/>
      <c r="I19" s="73"/>
      <c r="J19" s="73"/>
      <c r="K19" s="73"/>
      <c r="L19" s="74"/>
      <c r="M19" s="75"/>
    </row>
    <row r="20" spans="2:13" ht="12.75">
      <c r="B20" s="43" t="s">
        <v>56</v>
      </c>
      <c r="C20" s="52"/>
      <c r="D20" s="73">
        <v>200</v>
      </c>
      <c r="E20" s="73">
        <f>G20</f>
        <v>129.15</v>
      </c>
      <c r="F20" s="73">
        <f>G20</f>
        <v>129.15</v>
      </c>
      <c r="G20" s="73">
        <f aca="true" t="shared" si="1" ref="G20:L20">G27*$M$20</f>
        <v>129.15</v>
      </c>
      <c r="H20" s="73">
        <f t="shared" si="1"/>
        <v>202.95000000000002</v>
      </c>
      <c r="I20" s="73">
        <f t="shared" si="1"/>
        <v>258.3</v>
      </c>
      <c r="J20" s="73">
        <f t="shared" si="1"/>
        <v>295.2</v>
      </c>
      <c r="K20" s="73">
        <f t="shared" si="1"/>
        <v>332.1</v>
      </c>
      <c r="L20" s="74">
        <f t="shared" si="1"/>
        <v>350.55</v>
      </c>
      <c r="M20" s="75">
        <v>369</v>
      </c>
    </row>
    <row r="21" spans="2:13" ht="12.75">
      <c r="B21" s="43" t="s">
        <v>57</v>
      </c>
      <c r="C21" s="52"/>
      <c r="D21" s="73">
        <v>30</v>
      </c>
      <c r="E21" s="73">
        <v>0</v>
      </c>
      <c r="F21" s="73">
        <v>0</v>
      </c>
      <c r="G21" s="73">
        <v>0</v>
      </c>
      <c r="H21" s="73">
        <v>0</v>
      </c>
      <c r="I21" s="73">
        <v>0</v>
      </c>
      <c r="J21" s="73">
        <v>0</v>
      </c>
      <c r="K21" s="73">
        <v>0</v>
      </c>
      <c r="L21" s="74">
        <v>0</v>
      </c>
      <c r="M21" s="75">
        <v>0</v>
      </c>
    </row>
    <row r="22" spans="2:13" ht="12.75">
      <c r="B22" s="43" t="s">
        <v>79</v>
      </c>
      <c r="C22" s="52"/>
      <c r="D22" s="73">
        <f aca="true" t="shared" si="2" ref="D22:L22">0.02*D29</f>
        <v>0</v>
      </c>
      <c r="E22" s="73">
        <f t="shared" si="2"/>
        <v>2.4255</v>
      </c>
      <c r="F22" s="73">
        <f t="shared" si="2"/>
        <v>9.702</v>
      </c>
      <c r="G22" s="73">
        <f t="shared" si="2"/>
        <v>16.9785</v>
      </c>
      <c r="H22" s="73">
        <f t="shared" si="2"/>
        <v>26.680500000000006</v>
      </c>
      <c r="I22" s="73">
        <f t="shared" si="2"/>
        <v>33.957</v>
      </c>
      <c r="J22" s="73">
        <f t="shared" si="2"/>
        <v>38.808</v>
      </c>
      <c r="K22" s="73">
        <f t="shared" si="2"/>
        <v>43.659000000000006</v>
      </c>
      <c r="L22" s="74">
        <f t="shared" si="2"/>
        <v>46.0845</v>
      </c>
      <c r="M22" s="75">
        <f>0.02*M29</f>
        <v>48.51</v>
      </c>
    </row>
    <row r="23" spans="2:13" ht="12.75">
      <c r="B23" s="43" t="s">
        <v>58</v>
      </c>
      <c r="C23" s="52"/>
      <c r="D23" s="73">
        <v>0</v>
      </c>
      <c r="E23" s="73">
        <v>7</v>
      </c>
      <c r="F23" s="73">
        <v>7</v>
      </c>
      <c r="G23" s="73">
        <v>7</v>
      </c>
      <c r="H23" s="73">
        <v>7</v>
      </c>
      <c r="I23" s="73">
        <v>7</v>
      </c>
      <c r="J23" s="73">
        <v>7</v>
      </c>
      <c r="K23" s="73">
        <v>7</v>
      </c>
      <c r="L23" s="74">
        <v>7</v>
      </c>
      <c r="M23" s="75">
        <v>7</v>
      </c>
    </row>
    <row r="24" spans="2:13" ht="12.75">
      <c r="B24" s="46" t="s">
        <v>59</v>
      </c>
      <c r="C24" s="55"/>
      <c r="D24" s="76">
        <f>SUM(D16:D23)</f>
        <v>522.4285714285714</v>
      </c>
      <c r="E24" s="76">
        <f aca="true" t="shared" si="3" ref="E24:L24">SUM(E16:E23)</f>
        <v>389.8040714285714</v>
      </c>
      <c r="F24" s="76">
        <f t="shared" si="3"/>
        <v>397.0805714285714</v>
      </c>
      <c r="G24" s="76">
        <f t="shared" si="3"/>
        <v>404.3570714285714</v>
      </c>
      <c r="H24" s="76">
        <f t="shared" si="3"/>
        <v>487.85907142857144</v>
      </c>
      <c r="I24" s="76">
        <f t="shared" si="3"/>
        <v>550.4855714285715</v>
      </c>
      <c r="J24" s="76">
        <f t="shared" si="3"/>
        <v>592.2365714285713</v>
      </c>
      <c r="K24" s="76">
        <f t="shared" si="3"/>
        <v>462.559</v>
      </c>
      <c r="L24" s="77">
        <f t="shared" si="3"/>
        <v>483.4345</v>
      </c>
      <c r="M24" s="78">
        <f>SUM(M16:M23)</f>
        <v>504.31</v>
      </c>
    </row>
    <row r="25" spans="4:13" ht="12.75">
      <c r="D25" s="49"/>
      <c r="E25" s="49"/>
      <c r="F25" s="49"/>
      <c r="G25" s="49"/>
      <c r="H25" s="49"/>
      <c r="I25" s="49"/>
      <c r="J25" s="49"/>
      <c r="K25" s="49"/>
      <c r="L25" s="79"/>
      <c r="M25" s="79"/>
    </row>
    <row r="26" spans="1:13" ht="12.75">
      <c r="A26" s="1" t="s">
        <v>60</v>
      </c>
      <c r="L26" s="37"/>
      <c r="M26" s="37"/>
    </row>
    <row r="27" spans="2:13" ht="12.75">
      <c r="B27" s="40" t="s">
        <v>80</v>
      </c>
      <c r="C27" s="54"/>
      <c r="D27" s="80">
        <v>0</v>
      </c>
      <c r="E27" s="80">
        <v>0.05</v>
      </c>
      <c r="F27" s="80">
        <v>0.2</v>
      </c>
      <c r="G27" s="80">
        <v>0.35</v>
      </c>
      <c r="H27" s="80">
        <v>0.55</v>
      </c>
      <c r="I27" s="80">
        <v>0.7</v>
      </c>
      <c r="J27" s="80">
        <v>0.8</v>
      </c>
      <c r="K27" s="80">
        <v>0.9</v>
      </c>
      <c r="L27" s="80">
        <v>0.95</v>
      </c>
      <c r="M27" s="81">
        <v>1</v>
      </c>
    </row>
    <row r="28" spans="2:13" ht="12.75">
      <c r="B28" s="43" t="s">
        <v>81</v>
      </c>
      <c r="C28" s="52"/>
      <c r="D28" s="44">
        <f aca="true" t="shared" si="4" ref="D28:L28">D27*$D$9</f>
        <v>0</v>
      </c>
      <c r="E28" s="44">
        <f t="shared" si="4"/>
        <v>269.5</v>
      </c>
      <c r="F28" s="44">
        <f t="shared" si="4"/>
        <v>1078</v>
      </c>
      <c r="G28" s="44">
        <f t="shared" si="4"/>
        <v>1886.4999999999998</v>
      </c>
      <c r="H28" s="73">
        <f t="shared" si="4"/>
        <v>2964.5000000000005</v>
      </c>
      <c r="I28" s="73">
        <f t="shared" si="4"/>
        <v>3772.9999999999995</v>
      </c>
      <c r="J28" s="73">
        <f t="shared" si="4"/>
        <v>4312</v>
      </c>
      <c r="K28" s="73">
        <f t="shared" si="4"/>
        <v>4851</v>
      </c>
      <c r="L28" s="74">
        <f t="shared" si="4"/>
        <v>5120.5</v>
      </c>
      <c r="M28" s="75">
        <f>M27*$D$9</f>
        <v>5390</v>
      </c>
    </row>
    <row r="29" spans="2:13" ht="12.75">
      <c r="B29" s="43" t="s">
        <v>63</v>
      </c>
      <c r="C29" s="52"/>
      <c r="D29" s="44">
        <f aca="true" t="shared" si="5" ref="D29:L29">$D$10*D28</f>
        <v>0</v>
      </c>
      <c r="E29" s="44">
        <f t="shared" si="5"/>
        <v>121.275</v>
      </c>
      <c r="F29" s="44">
        <f t="shared" si="5"/>
        <v>485.1</v>
      </c>
      <c r="G29" s="44">
        <f t="shared" si="5"/>
        <v>848.925</v>
      </c>
      <c r="H29" s="73">
        <f t="shared" si="5"/>
        <v>1334.0250000000003</v>
      </c>
      <c r="I29" s="73">
        <f t="shared" si="5"/>
        <v>1697.85</v>
      </c>
      <c r="J29" s="73">
        <f t="shared" si="5"/>
        <v>1940.4</v>
      </c>
      <c r="K29" s="73">
        <f t="shared" si="5"/>
        <v>2182.9500000000003</v>
      </c>
      <c r="L29" s="74">
        <f t="shared" si="5"/>
        <v>2304.225</v>
      </c>
      <c r="M29" s="75">
        <f>$D$10*M28</f>
        <v>2425.5</v>
      </c>
    </row>
    <row r="30" spans="2:13" ht="12.75">
      <c r="B30" s="43" t="s">
        <v>64</v>
      </c>
      <c r="C30" s="52"/>
      <c r="D30" s="44">
        <f>D29-D24</f>
        <v>-522.4285714285714</v>
      </c>
      <c r="E30" s="44">
        <f aca="true" t="shared" si="6" ref="E30:L30">E29-E24</f>
        <v>-268.52907142857134</v>
      </c>
      <c r="F30" s="44">
        <f t="shared" si="6"/>
        <v>88.01942857142865</v>
      </c>
      <c r="G30" s="44">
        <f t="shared" si="6"/>
        <v>444.5679285714286</v>
      </c>
      <c r="H30" s="73">
        <f t="shared" si="6"/>
        <v>846.1659285714288</v>
      </c>
      <c r="I30" s="73">
        <f t="shared" si="6"/>
        <v>1147.3644285714286</v>
      </c>
      <c r="J30" s="73">
        <f t="shared" si="6"/>
        <v>1348.1634285714288</v>
      </c>
      <c r="K30" s="73">
        <f t="shared" si="6"/>
        <v>1720.3910000000003</v>
      </c>
      <c r="L30" s="74">
        <f t="shared" si="6"/>
        <v>1820.7904999999998</v>
      </c>
      <c r="M30" s="75">
        <f>M29-M24</f>
        <v>1921.19</v>
      </c>
    </row>
    <row r="31" spans="2:13" ht="12.75">
      <c r="B31" s="43"/>
      <c r="C31" s="52"/>
      <c r="D31" s="44"/>
      <c r="E31" s="44"/>
      <c r="F31" s="44"/>
      <c r="G31" s="44"/>
      <c r="H31" s="44"/>
      <c r="I31" s="44"/>
      <c r="J31" s="44"/>
      <c r="K31" s="44"/>
      <c r="L31" s="44"/>
      <c r="M31" s="45"/>
    </row>
    <row r="32" spans="2:14" ht="12.75">
      <c r="B32" s="46" t="s">
        <v>65</v>
      </c>
      <c r="C32" s="55"/>
      <c r="D32" s="47">
        <f>D30+D16</f>
        <v>-422.42857142857144</v>
      </c>
      <c r="E32" s="47">
        <f aca="true" t="shared" si="7" ref="E32:M32">E30+E16</f>
        <v>-209.72907142857133</v>
      </c>
      <c r="F32" s="47">
        <f t="shared" si="7"/>
        <v>146.81942857142866</v>
      </c>
      <c r="G32" s="47">
        <f t="shared" si="7"/>
        <v>503.3679285714286</v>
      </c>
      <c r="H32" s="47">
        <f t="shared" si="7"/>
        <v>904.9659285714288</v>
      </c>
      <c r="I32" s="47">
        <f t="shared" si="7"/>
        <v>1206.1644285714285</v>
      </c>
      <c r="J32" s="47">
        <f t="shared" si="7"/>
        <v>1406.9634285714287</v>
      </c>
      <c r="K32" s="47">
        <f t="shared" si="7"/>
        <v>1779.1910000000003</v>
      </c>
      <c r="L32" s="47">
        <f t="shared" si="7"/>
        <v>1879.5904999999998</v>
      </c>
      <c r="M32" s="48">
        <f t="shared" si="7"/>
        <v>1979.99</v>
      </c>
      <c r="N32" s="50"/>
    </row>
    <row r="33" ht="12.75">
      <c r="E33" s="49"/>
    </row>
    <row r="34" spans="2:13" ht="12.75">
      <c r="B34" s="23" t="s">
        <v>66</v>
      </c>
      <c r="D34" s="51">
        <f>D16/D32</f>
        <v>-0.2367264119039567</v>
      </c>
      <c r="E34" s="51">
        <f aca="true" t="shared" si="8" ref="E34:M34">E16/E32</f>
        <v>-0.280361704743569</v>
      </c>
      <c r="F34" s="51">
        <f t="shared" si="8"/>
        <v>0.40049195513244623</v>
      </c>
      <c r="G34" s="51">
        <f t="shared" si="8"/>
        <v>0.11681316322014385</v>
      </c>
      <c r="H34" s="51">
        <f t="shared" si="8"/>
        <v>0.06497482186188065</v>
      </c>
      <c r="I34" s="51">
        <f t="shared" si="8"/>
        <v>0.04874957228646035</v>
      </c>
      <c r="J34" s="51">
        <f t="shared" si="8"/>
        <v>0.041792131057523677</v>
      </c>
      <c r="K34" s="51">
        <f t="shared" si="8"/>
        <v>0.033048728326525924</v>
      </c>
      <c r="L34" s="51">
        <f t="shared" si="8"/>
        <v>0.03128340987039464</v>
      </c>
      <c r="M34" s="51">
        <f t="shared" si="8"/>
        <v>0.029697119682422637</v>
      </c>
    </row>
    <row r="35" spans="2:4" ht="12.75">
      <c r="B35" s="23" t="s">
        <v>82</v>
      </c>
      <c r="D35" s="49">
        <f>D16</f>
        <v>100</v>
      </c>
    </row>
    <row r="37" spans="1:13" ht="12.75">
      <c r="A37" s="82" t="s">
        <v>67</v>
      </c>
      <c r="B37" s="49"/>
      <c r="C37" s="49"/>
      <c r="D37" s="49"/>
      <c r="E37" s="49"/>
      <c r="F37" s="49"/>
      <c r="G37" s="49"/>
      <c r="H37" s="49"/>
      <c r="I37" s="49"/>
      <c r="J37" s="49"/>
      <c r="K37" s="49"/>
      <c r="L37" s="49"/>
      <c r="M37" s="49"/>
    </row>
    <row r="38" spans="2:13" ht="12.75">
      <c r="B38" s="83" t="s">
        <v>83</v>
      </c>
      <c r="C38" s="83" t="s">
        <v>69</v>
      </c>
      <c r="D38" s="83" t="s">
        <v>9</v>
      </c>
      <c r="E38" s="83" t="s">
        <v>10</v>
      </c>
      <c r="F38" s="83" t="s">
        <v>11</v>
      </c>
      <c r="G38" s="83" t="s">
        <v>12</v>
      </c>
      <c r="H38" s="83" t="s">
        <v>46</v>
      </c>
      <c r="I38" s="83" t="s">
        <v>47</v>
      </c>
      <c r="J38" s="83" t="s">
        <v>48</v>
      </c>
      <c r="K38" s="83" t="s">
        <v>49</v>
      </c>
      <c r="L38" s="83" t="s">
        <v>50</v>
      </c>
      <c r="M38" s="83" t="s">
        <v>51</v>
      </c>
    </row>
    <row r="39" spans="2:13" ht="12.75">
      <c r="B39" s="84" t="s">
        <v>52</v>
      </c>
      <c r="C39" s="70">
        <f>100*'ERR &amp; Sensitivity Analysis'!D10</f>
        <v>100</v>
      </c>
      <c r="D39" s="70">
        <f>58.8*'ERR &amp; Sensitivity Analysis'!D10</f>
        <v>58.8</v>
      </c>
      <c r="E39" s="70">
        <f>1.05*D39*'ERR &amp; Sensitivity Analysis'!D10</f>
        <v>61.74</v>
      </c>
      <c r="F39" s="70">
        <f>1.05*E39*'ERR &amp; Sensitivity Analysis'!D10</f>
        <v>64.827</v>
      </c>
      <c r="G39" s="70">
        <f>1.05*F39*'ERR &amp; Sensitivity Analysis'!D10</f>
        <v>68.06835</v>
      </c>
      <c r="H39" s="70">
        <f>1.05*G39*'ERR &amp; Sensitivity Analysis'!D10</f>
        <v>71.4717675</v>
      </c>
      <c r="I39" s="70">
        <f>1.05*H39*'ERR &amp; Sensitivity Analysis'!D10</f>
        <v>75.045355875</v>
      </c>
      <c r="J39" s="70">
        <f>1.05*I39*'ERR &amp; Sensitivity Analysis'!D10</f>
        <v>78.79762366875</v>
      </c>
      <c r="K39" s="70">
        <f>1.05*J39*'ERR &amp; Sensitivity Analysis'!D10</f>
        <v>82.73750485218751</v>
      </c>
      <c r="L39" s="70">
        <f>1.05*K39*'ERR &amp; Sensitivity Analysis'!D10</f>
        <v>86.87438009479689</v>
      </c>
      <c r="M39" s="70"/>
    </row>
    <row r="40" spans="2:13" ht="12.75">
      <c r="B40" s="85" t="s">
        <v>53</v>
      </c>
      <c r="C40" s="73">
        <f>50*'ERR &amp; Sensitivity Analysis'!D10</f>
        <v>50</v>
      </c>
      <c r="D40" s="73">
        <f>50*'ERR &amp; Sensitivity Analysis'!D10</f>
        <v>50</v>
      </c>
      <c r="E40" s="73">
        <f>1.05*D40*'ERR &amp; Sensitivity Analysis'!D10</f>
        <v>52.5</v>
      </c>
      <c r="F40" s="73">
        <f>1.05*E40*'ERR &amp; Sensitivity Analysis'!D10</f>
        <v>55.125</v>
      </c>
      <c r="G40" s="73">
        <f>1.05*F40*'ERR &amp; Sensitivity Analysis'!D10</f>
        <v>57.88125</v>
      </c>
      <c r="H40" s="73">
        <f>1.05*G40*'ERR &amp; Sensitivity Analysis'!D10</f>
        <v>60.775312500000005</v>
      </c>
      <c r="I40" s="73">
        <f>1.05*H40*'ERR &amp; Sensitivity Analysis'!D10</f>
        <v>63.81407812500001</v>
      </c>
      <c r="J40" s="73">
        <f>1.05*I40*'ERR &amp; Sensitivity Analysis'!D10</f>
        <v>67.00478203125002</v>
      </c>
      <c r="K40" s="73">
        <f>1.05*J40*'ERR &amp; Sensitivity Analysis'!D10</f>
        <v>70.35502113281252</v>
      </c>
      <c r="L40" s="73">
        <f>1.05*K40*'ERR &amp; Sensitivity Analysis'!D10</f>
        <v>73.87277218945316</v>
      </c>
      <c r="M40" s="73"/>
    </row>
    <row r="41" spans="2:13" ht="12.75">
      <c r="B41" s="85" t="s">
        <v>70</v>
      </c>
      <c r="C41" s="73">
        <f>$D$12*'ERR &amp; Sensitivity Analysis'!D10</f>
        <v>1200</v>
      </c>
      <c r="D41" s="73">
        <v>0</v>
      </c>
      <c r="E41" s="73">
        <v>0</v>
      </c>
      <c r="F41" s="73">
        <v>0</v>
      </c>
      <c r="G41" s="73">
        <v>0</v>
      </c>
      <c r="H41" s="73">
        <v>0</v>
      </c>
      <c r="I41" s="73">
        <v>0</v>
      </c>
      <c r="J41" s="73">
        <v>0</v>
      </c>
      <c r="K41" s="73">
        <v>0</v>
      </c>
      <c r="L41" s="73">
        <v>0</v>
      </c>
      <c r="M41" s="73"/>
    </row>
    <row r="42" spans="2:13" ht="12.75">
      <c r="B42" s="85" t="s">
        <v>55</v>
      </c>
      <c r="C42" s="73">
        <f>50*'ERR &amp; Sensitivity Analysis'!D10</f>
        <v>50</v>
      </c>
      <c r="D42" s="73">
        <f>25*'ERR &amp; Sensitivity Analysis'!D10</f>
        <v>25</v>
      </c>
      <c r="E42" s="73">
        <f>25*'ERR &amp; Sensitivity Analysis'!D10</f>
        <v>25</v>
      </c>
      <c r="F42" s="73">
        <f>25*'ERR &amp; Sensitivity Analysis'!D10</f>
        <v>25</v>
      </c>
      <c r="G42" s="73">
        <f>25*'ERR &amp; Sensitivity Analysis'!D10</f>
        <v>25</v>
      </c>
      <c r="H42" s="73">
        <f>25*'ERR &amp; Sensitivity Analysis'!D10</f>
        <v>25</v>
      </c>
      <c r="I42" s="73">
        <f>25*'ERR &amp; Sensitivity Analysis'!D10</f>
        <v>25</v>
      </c>
      <c r="J42" s="73">
        <f>25*'ERR &amp; Sensitivity Analysis'!D10</f>
        <v>25</v>
      </c>
      <c r="K42" s="73">
        <f>25*'ERR &amp; Sensitivity Analysis'!D10</f>
        <v>25</v>
      </c>
      <c r="L42" s="73">
        <f>25*'ERR &amp; Sensitivity Analysis'!D10</f>
        <v>25</v>
      </c>
      <c r="M42" s="73"/>
    </row>
    <row r="43" spans="2:13" ht="12.75">
      <c r="B43" s="85" t="s">
        <v>56</v>
      </c>
      <c r="C43" s="73">
        <f>450*'ERR &amp; Sensitivity Analysis'!D10</f>
        <v>450</v>
      </c>
      <c r="D43" s="73">
        <f>F43*'ERR &amp; Sensitivity Analysis'!D10</f>
        <v>129.15</v>
      </c>
      <c r="E43" s="73">
        <f>F43*'ERR &amp; Sensitivity Analysis'!D10</f>
        <v>129.15</v>
      </c>
      <c r="F43" s="73">
        <f>G50*$M$20*'ERR &amp; Sensitivity Analysis'!D10</f>
        <v>129.15</v>
      </c>
      <c r="G43" s="73">
        <f>H50*$M$20*'ERR &amp; Sensitivity Analysis'!D10</f>
        <v>202.95000000000002</v>
      </c>
      <c r="H43" s="73">
        <f>I50*$M$20*'ERR &amp; Sensitivity Analysis'!D10</f>
        <v>258.3</v>
      </c>
      <c r="I43" s="73">
        <f>J50*$M$20*'ERR &amp; Sensitivity Analysis'!D10</f>
        <v>295.2</v>
      </c>
      <c r="J43" s="73">
        <f>K50*$M$20*'ERR &amp; Sensitivity Analysis'!D10</f>
        <v>332.1</v>
      </c>
      <c r="K43" s="73">
        <f>L50*$M$20*'ERR &amp; Sensitivity Analysis'!D10</f>
        <v>350.55</v>
      </c>
      <c r="L43" s="73">
        <f>$M$20*'ERR &amp; Sensitivity Analysis'!D10</f>
        <v>369</v>
      </c>
      <c r="M43" s="73"/>
    </row>
    <row r="44" spans="2:13" ht="12.75">
      <c r="B44" s="85" t="s">
        <v>57</v>
      </c>
      <c r="C44" s="73">
        <f>30*'ERR &amp; Sensitivity Analysis'!D10</f>
        <v>30</v>
      </c>
      <c r="D44" s="73">
        <v>0</v>
      </c>
      <c r="E44" s="73">
        <v>0</v>
      </c>
      <c r="F44" s="73">
        <v>0</v>
      </c>
      <c r="G44" s="73">
        <v>0</v>
      </c>
      <c r="H44" s="73">
        <v>0</v>
      </c>
      <c r="I44" s="73">
        <v>0</v>
      </c>
      <c r="J44" s="73">
        <v>0</v>
      </c>
      <c r="K44" s="73">
        <v>0</v>
      </c>
      <c r="L44" s="73">
        <v>0</v>
      </c>
      <c r="M44" s="73"/>
    </row>
    <row r="45" spans="2:13" ht="12.75">
      <c r="B45" s="85" t="s">
        <v>79</v>
      </c>
      <c r="C45" s="73">
        <f>0.02*C52*'ERR &amp; Sensitivity Analysis'!D10</f>
        <v>0</v>
      </c>
      <c r="D45" s="73">
        <f>0.02*D52*'ERR &amp; Sensitivity Analysis'!D10</f>
        <v>0</v>
      </c>
      <c r="E45" s="73">
        <f>0.02*E52*'ERR &amp; Sensitivity Analysis'!D10</f>
        <v>2.4255</v>
      </c>
      <c r="F45" s="73">
        <f>0.02*F52*'ERR &amp; Sensitivity Analysis'!D10</f>
        <v>9.702</v>
      </c>
      <c r="G45" s="73">
        <f>0.02*G52*'ERR &amp; Sensitivity Analysis'!D10</f>
        <v>16.9785</v>
      </c>
      <c r="H45" s="73">
        <f>0.02*H52*'ERR &amp; Sensitivity Analysis'!D10</f>
        <v>26.680500000000006</v>
      </c>
      <c r="I45" s="73">
        <f>0.02*I52*'ERR &amp; Sensitivity Analysis'!D10</f>
        <v>33.957</v>
      </c>
      <c r="J45" s="73">
        <f>0.02*J52*'ERR &amp; Sensitivity Analysis'!D10</f>
        <v>38.808</v>
      </c>
      <c r="K45" s="73">
        <f>0.02*K52*'ERR &amp; Sensitivity Analysis'!D10</f>
        <v>43.659000000000006</v>
      </c>
      <c r="L45" s="73">
        <f>0.02*L52*'ERR &amp; Sensitivity Analysis'!D10</f>
        <v>46.0845</v>
      </c>
      <c r="M45" s="73"/>
    </row>
    <row r="46" spans="2:13" ht="12.75">
      <c r="B46" s="85" t="s">
        <v>84</v>
      </c>
      <c r="C46" s="73">
        <f>0.1*SUM(C39:C45)*'ERR &amp; Sensitivity Analysis'!D10</f>
        <v>188</v>
      </c>
      <c r="D46" s="73">
        <f>0.1*SUM(D39:D45)*'ERR &amp; Sensitivity Analysis'!D10</f>
        <v>26.295000000000005</v>
      </c>
      <c r="E46" s="73">
        <f>0.1*SUM(E39:E45)*'ERR &amp; Sensitivity Analysis'!D10</f>
        <v>27.08155</v>
      </c>
      <c r="F46" s="73">
        <f>0.1*SUM(F39:F45)*'ERR &amp; Sensitivity Analysis'!D10</f>
        <v>28.380399999999998</v>
      </c>
      <c r="G46" s="73">
        <f>0.1*SUM(G39:G45)*'ERR &amp; Sensitivity Analysis'!D10</f>
        <v>37.087810000000005</v>
      </c>
      <c r="H46" s="73">
        <f>0.1*SUM(H39:H45)*'ERR &amp; Sensitivity Analysis'!D10</f>
        <v>44.222758000000006</v>
      </c>
      <c r="I46" s="73">
        <f>0.1*SUM(I39:I45)*'ERR &amp; Sensitivity Analysis'!D10</f>
        <v>49.3016434</v>
      </c>
      <c r="J46" s="73">
        <f>0.1*SUM(J39:J45)*'ERR &amp; Sensitivity Analysis'!D10</f>
        <v>54.17104057</v>
      </c>
      <c r="K46" s="73">
        <f>0.1*SUM(K39:K45)*'ERR &amp; Sensitivity Analysis'!D10</f>
        <v>57.230152598500005</v>
      </c>
      <c r="L46" s="73">
        <f>0.1*SUM(L39:L45)*'ERR &amp; Sensitivity Analysis'!D10</f>
        <v>60.083165228425</v>
      </c>
      <c r="M46" s="73"/>
    </row>
    <row r="47" spans="2:13" ht="12.75">
      <c r="B47" s="86" t="s">
        <v>71</v>
      </c>
      <c r="C47" s="76">
        <f aca="true" t="shared" si="9" ref="C47:M47">SUM(C39:C46)</f>
        <v>2068</v>
      </c>
      <c r="D47" s="76">
        <f t="shared" si="9"/>
        <v>289.24500000000006</v>
      </c>
      <c r="E47" s="76">
        <f t="shared" si="9"/>
        <v>297.89705</v>
      </c>
      <c r="F47" s="76">
        <f t="shared" si="9"/>
        <v>312.1844</v>
      </c>
      <c r="G47" s="76">
        <f t="shared" si="9"/>
        <v>407.96591</v>
      </c>
      <c r="H47" s="76">
        <f t="shared" si="9"/>
        <v>486.45033800000004</v>
      </c>
      <c r="I47" s="76">
        <f t="shared" si="9"/>
        <v>542.3180774</v>
      </c>
      <c r="J47" s="76">
        <f t="shared" si="9"/>
        <v>595.88144627</v>
      </c>
      <c r="K47" s="76">
        <f t="shared" si="9"/>
        <v>629.5316785835</v>
      </c>
      <c r="L47" s="76">
        <f t="shared" si="9"/>
        <v>660.914817512675</v>
      </c>
      <c r="M47" s="87">
        <f t="shared" si="9"/>
        <v>0</v>
      </c>
    </row>
    <row r="48" spans="2:13" ht="12.75">
      <c r="B48" s="49"/>
      <c r="C48" s="49"/>
      <c r="D48" s="49"/>
      <c r="E48" s="49"/>
      <c r="F48" s="49"/>
      <c r="G48" s="49"/>
      <c r="H48" s="49"/>
      <c r="I48" s="49"/>
      <c r="J48" s="49"/>
      <c r="K48" s="49"/>
      <c r="L48" s="49"/>
      <c r="M48" s="49"/>
    </row>
    <row r="49" spans="2:13" ht="12.75">
      <c r="B49" s="49" t="s">
        <v>85</v>
      </c>
      <c r="C49" s="49"/>
      <c r="D49" s="49"/>
      <c r="E49" s="49"/>
      <c r="F49" s="49"/>
      <c r="G49" s="49"/>
      <c r="H49" s="49"/>
      <c r="I49" s="49"/>
      <c r="J49" s="49"/>
      <c r="K49" s="49"/>
      <c r="L49" s="49"/>
      <c r="M49" s="49"/>
    </row>
    <row r="50" spans="2:13" ht="12.75">
      <c r="B50" s="84" t="s">
        <v>80</v>
      </c>
      <c r="C50" s="80">
        <v>0</v>
      </c>
      <c r="D50" s="80">
        <v>0</v>
      </c>
      <c r="E50" s="80">
        <v>0.05</v>
      </c>
      <c r="F50" s="80">
        <v>0.2</v>
      </c>
      <c r="G50" s="80">
        <v>0.35</v>
      </c>
      <c r="H50" s="80">
        <v>0.55</v>
      </c>
      <c r="I50" s="80">
        <v>0.7</v>
      </c>
      <c r="J50" s="80">
        <v>0.8</v>
      </c>
      <c r="K50" s="80">
        <v>0.9</v>
      </c>
      <c r="L50" s="80">
        <v>0.95</v>
      </c>
      <c r="M50" s="81">
        <v>1</v>
      </c>
    </row>
    <row r="51" spans="2:13" ht="12.75">
      <c r="B51" s="85" t="s">
        <v>81</v>
      </c>
      <c r="C51" s="73">
        <f aca="true" t="shared" si="10" ref="C51:M51">C50*$D$9</f>
        <v>0</v>
      </c>
      <c r="D51" s="73">
        <f t="shared" si="10"/>
        <v>0</v>
      </c>
      <c r="E51" s="73">
        <f t="shared" si="10"/>
        <v>269.5</v>
      </c>
      <c r="F51" s="73">
        <f t="shared" si="10"/>
        <v>1078</v>
      </c>
      <c r="G51" s="73">
        <f t="shared" si="10"/>
        <v>1886.4999999999998</v>
      </c>
      <c r="H51" s="73">
        <f t="shared" si="10"/>
        <v>2964.5000000000005</v>
      </c>
      <c r="I51" s="73">
        <f t="shared" si="10"/>
        <v>3772.9999999999995</v>
      </c>
      <c r="J51" s="73">
        <f t="shared" si="10"/>
        <v>4312</v>
      </c>
      <c r="K51" s="73">
        <f t="shared" si="10"/>
        <v>4851</v>
      </c>
      <c r="L51" s="73">
        <f t="shared" si="10"/>
        <v>5120.5</v>
      </c>
      <c r="M51" s="88">
        <f t="shared" si="10"/>
        <v>5390</v>
      </c>
    </row>
    <row r="52" spans="2:13" ht="12.75">
      <c r="B52" s="85" t="s">
        <v>63</v>
      </c>
      <c r="C52" s="73">
        <f aca="true" t="shared" si="11" ref="C52:M52">$D$10*C51</f>
        <v>0</v>
      </c>
      <c r="D52" s="73">
        <f t="shared" si="11"/>
        <v>0</v>
      </c>
      <c r="E52" s="73">
        <f t="shared" si="11"/>
        <v>121.275</v>
      </c>
      <c r="F52" s="73">
        <f t="shared" si="11"/>
        <v>485.1</v>
      </c>
      <c r="G52" s="73">
        <f t="shared" si="11"/>
        <v>848.925</v>
      </c>
      <c r="H52" s="73">
        <f t="shared" si="11"/>
        <v>1334.0250000000003</v>
      </c>
      <c r="I52" s="73">
        <f t="shared" si="11"/>
        <v>1697.85</v>
      </c>
      <c r="J52" s="73">
        <f t="shared" si="11"/>
        <v>1940.4</v>
      </c>
      <c r="K52" s="73">
        <f t="shared" si="11"/>
        <v>2182.9500000000003</v>
      </c>
      <c r="L52" s="73">
        <f t="shared" si="11"/>
        <v>2304.225</v>
      </c>
      <c r="M52" s="88">
        <f t="shared" si="11"/>
        <v>2425.5</v>
      </c>
    </row>
    <row r="53" spans="2:13" ht="12.75">
      <c r="B53" s="86" t="s">
        <v>73</v>
      </c>
      <c r="C53" s="76">
        <f>C52</f>
        <v>0</v>
      </c>
      <c r="D53" s="76">
        <f>D52</f>
        <v>0</v>
      </c>
      <c r="E53" s="76">
        <f aca="true" t="shared" si="12" ref="E53:M53">E52</f>
        <v>121.275</v>
      </c>
      <c r="F53" s="76">
        <f t="shared" si="12"/>
        <v>485.1</v>
      </c>
      <c r="G53" s="76">
        <f t="shared" si="12"/>
        <v>848.925</v>
      </c>
      <c r="H53" s="76">
        <f t="shared" si="12"/>
        <v>1334.0250000000003</v>
      </c>
      <c r="I53" s="76">
        <f t="shared" si="12"/>
        <v>1697.85</v>
      </c>
      <c r="J53" s="76">
        <f t="shared" si="12"/>
        <v>1940.4</v>
      </c>
      <c r="K53" s="76">
        <f t="shared" si="12"/>
        <v>2182.9500000000003</v>
      </c>
      <c r="L53" s="76">
        <f t="shared" si="12"/>
        <v>2304.225</v>
      </c>
      <c r="M53" s="87">
        <f t="shared" si="12"/>
        <v>2425.5</v>
      </c>
    </row>
    <row r="54" spans="2:13" ht="12.75">
      <c r="B54" s="49"/>
      <c r="C54" s="49"/>
      <c r="D54" s="49"/>
      <c r="E54" s="49"/>
      <c r="F54" s="49"/>
      <c r="G54" s="49"/>
      <c r="H54" s="49"/>
      <c r="I54" s="49"/>
      <c r="J54" s="49"/>
      <c r="K54" s="49"/>
      <c r="L54" s="49"/>
      <c r="M54" s="49"/>
    </row>
    <row r="55" spans="2:13" ht="12.75">
      <c r="B55" s="89" t="s">
        <v>86</v>
      </c>
      <c r="C55" s="90">
        <f>C53-C47</f>
        <v>-2068</v>
      </c>
      <c r="D55" s="90">
        <f>D53-D47</f>
        <v>-289.24500000000006</v>
      </c>
      <c r="E55" s="90">
        <f aca="true" t="shared" si="13" ref="E55:M55">E53-E47</f>
        <v>-176.62204999999997</v>
      </c>
      <c r="F55" s="90">
        <f t="shared" si="13"/>
        <v>172.91560000000004</v>
      </c>
      <c r="G55" s="90">
        <f t="shared" si="13"/>
        <v>440.95908999999995</v>
      </c>
      <c r="H55" s="90">
        <f t="shared" si="13"/>
        <v>847.5746620000002</v>
      </c>
      <c r="I55" s="90">
        <f t="shared" si="13"/>
        <v>1155.5319226</v>
      </c>
      <c r="J55" s="90">
        <f t="shared" si="13"/>
        <v>1344.5185537300001</v>
      </c>
      <c r="K55" s="90">
        <f t="shared" si="13"/>
        <v>1553.4183214165002</v>
      </c>
      <c r="L55" s="90">
        <f t="shared" si="13"/>
        <v>1643.310182487325</v>
      </c>
      <c r="M55" s="91">
        <f t="shared" si="13"/>
        <v>2425.5</v>
      </c>
    </row>
    <row r="56" spans="2:13" ht="12.75">
      <c r="B56" s="89" t="s">
        <v>75</v>
      </c>
      <c r="C56" s="90">
        <f>C55</f>
        <v>-2068</v>
      </c>
      <c r="D56" s="90">
        <f>C56+D55</f>
        <v>-2357.245</v>
      </c>
      <c r="E56" s="90">
        <f aca="true" t="shared" si="14" ref="E56:M56">D56+E55</f>
        <v>-2533.86705</v>
      </c>
      <c r="F56" s="90">
        <f t="shared" si="14"/>
        <v>-2360.9514499999996</v>
      </c>
      <c r="G56" s="90">
        <f t="shared" si="14"/>
        <v>-1919.9923599999997</v>
      </c>
      <c r="H56" s="90">
        <f t="shared" si="14"/>
        <v>-1072.4176979999995</v>
      </c>
      <c r="I56" s="90">
        <f t="shared" si="14"/>
        <v>83.1142246000004</v>
      </c>
      <c r="J56" s="90">
        <f t="shared" si="14"/>
        <v>1427.6327783300005</v>
      </c>
      <c r="K56" s="90">
        <f t="shared" si="14"/>
        <v>2981.0510997465008</v>
      </c>
      <c r="L56" s="90">
        <f t="shared" si="14"/>
        <v>4624.3612822338255</v>
      </c>
      <c r="M56" s="91">
        <f t="shared" si="14"/>
        <v>7049.8612822338255</v>
      </c>
    </row>
    <row r="57" spans="2:13" ht="13.5" thickBot="1">
      <c r="B57" s="49"/>
      <c r="C57" s="49"/>
      <c r="D57" s="49"/>
      <c r="E57" s="49"/>
      <c r="F57" s="49"/>
      <c r="G57" s="49"/>
      <c r="H57" s="49"/>
      <c r="I57" s="49"/>
      <c r="J57" s="49"/>
      <c r="K57" s="49"/>
      <c r="L57" s="49"/>
      <c r="M57" s="49"/>
    </row>
    <row r="58" spans="2:13" ht="13.5" thickBot="1">
      <c r="B58" s="92" t="s">
        <v>144</v>
      </c>
      <c r="C58" s="93">
        <f>IRR(C55:M55)</f>
        <v>0.20396697241206818</v>
      </c>
      <c r="D58" s="49"/>
      <c r="E58" s="49"/>
      <c r="F58" s="49"/>
      <c r="G58" s="49"/>
      <c r="H58" s="49"/>
      <c r="I58" s="49"/>
      <c r="J58" s="49"/>
      <c r="K58" s="49"/>
      <c r="L58" s="49"/>
      <c r="M58" s="49"/>
    </row>
    <row r="59" spans="2:13" ht="12.75">
      <c r="B59" s="49"/>
      <c r="C59" s="49"/>
      <c r="D59" s="49"/>
      <c r="E59" s="49"/>
      <c r="F59" s="49"/>
      <c r="G59" s="49"/>
      <c r="H59" s="49"/>
      <c r="I59" s="49"/>
      <c r="J59" s="49"/>
      <c r="K59" s="49"/>
      <c r="L59" s="49"/>
      <c r="M59" s="49"/>
    </row>
  </sheetData>
  <mergeCells count="2">
    <mergeCell ref="B5:H5"/>
    <mergeCell ref="A1:D1"/>
  </mergeCells>
  <conditionalFormatting sqref="B5">
    <cfRule type="cellIs" priority="1" dxfId="0" operator="equal" stopIfTrue="1">
      <formula>0</formula>
    </cfRule>
    <cfRule type="cellIs" priority="2" dxfId="1" operator="notEqual" stopIfTrue="1">
      <formula>0</formula>
    </cfRule>
  </conditionalFormatting>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9"/>
  <dimension ref="A1:V54"/>
  <sheetViews>
    <sheetView zoomScale="85" zoomScaleNormal="85" workbookViewId="0" topLeftCell="A1">
      <selection activeCell="C51" sqref="C51"/>
    </sheetView>
  </sheetViews>
  <sheetFormatPr defaultColWidth="9.140625" defaultRowHeight="12.75"/>
  <cols>
    <col min="1" max="1" width="4.7109375" style="23" customWidth="1"/>
    <col min="2" max="2" width="34.421875" style="23" bestFit="1" customWidth="1"/>
    <col min="3" max="16384" width="9.140625" style="23" customWidth="1"/>
  </cols>
  <sheetData>
    <row r="1" spans="1:7" s="325" customFormat="1" ht="40.5" customHeight="1">
      <c r="A1" s="589" t="s">
        <v>170</v>
      </c>
      <c r="B1" s="589"/>
      <c r="C1" s="589"/>
      <c r="D1" s="589"/>
      <c r="G1" s="557"/>
    </row>
    <row r="2" spans="1:22" s="454" customFormat="1" ht="15.75">
      <c r="A2" s="568" t="s">
        <v>219</v>
      </c>
      <c r="B2" s="569"/>
      <c r="C2" s="569"/>
      <c r="D2" s="569"/>
      <c r="E2" s="569"/>
      <c r="F2" s="569"/>
      <c r="G2" s="569"/>
      <c r="H2" s="21"/>
      <c r="I2" s="21"/>
      <c r="J2" s="21"/>
      <c r="K2" s="21"/>
      <c r="L2" s="21"/>
      <c r="M2" s="21"/>
      <c r="N2" s="21"/>
      <c r="O2" s="21"/>
      <c r="P2" s="21"/>
      <c r="Q2" s="21"/>
      <c r="R2" s="21"/>
      <c r="S2" s="21"/>
      <c r="T2" s="21"/>
      <c r="U2" s="21"/>
      <c r="V2" s="456"/>
    </row>
    <row r="3" spans="1:10" ht="12.75">
      <c r="A3" s="23" t="s">
        <v>87</v>
      </c>
      <c r="J3" s="25" t="s">
        <v>175</v>
      </c>
    </row>
    <row r="4" spans="1:8" ht="12.75">
      <c r="A4" s="23" t="s">
        <v>88</v>
      </c>
      <c r="H4" s="94"/>
    </row>
    <row r="5" spans="2:8" ht="12.75">
      <c r="B5" s="581">
        <f>IF('ERR &amp; Sensitivity Analysis'!$I$10="N","Note: Current calculations are based on user input and are not the original MCC estimates.",IF('ERR &amp; Sensitivity Analysis'!$I$11="N","Note: Current calculations are based on user input and are not the original MCC estimates.",0))</f>
        <v>0</v>
      </c>
      <c r="C5" s="581"/>
      <c r="D5" s="581"/>
      <c r="E5" s="581"/>
      <c r="F5" s="581"/>
      <c r="G5" s="581"/>
      <c r="H5" s="581"/>
    </row>
    <row r="6" ht="12.75">
      <c r="A6" s="1" t="s">
        <v>34</v>
      </c>
    </row>
    <row r="7" spans="2:4" ht="12.75">
      <c r="B7" s="27" t="s">
        <v>35</v>
      </c>
      <c r="C7" s="64"/>
      <c r="D7" s="65">
        <v>1</v>
      </c>
    </row>
    <row r="8" spans="2:4" ht="12.75">
      <c r="B8" s="29" t="s">
        <v>36</v>
      </c>
      <c r="C8" s="39"/>
      <c r="D8" s="30" t="s">
        <v>89</v>
      </c>
    </row>
    <row r="9" spans="2:4" ht="12.75">
      <c r="B9" s="29" t="s">
        <v>90</v>
      </c>
      <c r="C9" s="39"/>
      <c r="D9" s="95">
        <f>12*'ERR &amp; Sensitivity Analysis'!G11</f>
        <v>12</v>
      </c>
    </row>
    <row r="10" spans="2:4" ht="12.75">
      <c r="B10" s="29" t="s">
        <v>91</v>
      </c>
      <c r="C10" s="39"/>
      <c r="D10" s="95">
        <f>'ERR &amp; Sensitivity Analysis'!G17*'ERR &amp; Sensitivity Analysis'!G11</f>
        <v>30</v>
      </c>
    </row>
    <row r="11" spans="2:6" ht="12.75">
      <c r="B11" s="29" t="s">
        <v>42</v>
      </c>
      <c r="C11" s="39"/>
      <c r="D11" s="88">
        <v>0</v>
      </c>
      <c r="F11" s="26">
        <f>IF('ERR &amp; Sensitivity Analysis'!I13="N","Note: Current calculations are based on user input and are not the original MCC estimates.",IF('ERR &amp; Sensitivity Analysis'!I14="N","Note: Current calculations are based on user input and are not the original MCC estimates.",""))</f>
      </c>
    </row>
    <row r="12" spans="2:4" ht="12.75">
      <c r="B12" s="35" t="s">
        <v>92</v>
      </c>
      <c r="C12" s="68"/>
      <c r="D12" s="96">
        <v>1</v>
      </c>
    </row>
    <row r="13" ht="12.75">
      <c r="D13" s="49"/>
    </row>
    <row r="14" spans="1:13" ht="12.75">
      <c r="A14" s="1" t="s">
        <v>45</v>
      </c>
      <c r="D14" s="38" t="s">
        <v>9</v>
      </c>
      <c r="E14" s="39" t="s">
        <v>10</v>
      </c>
      <c r="F14" s="39" t="s">
        <v>11</v>
      </c>
      <c r="G14" s="39" t="s">
        <v>12</v>
      </c>
      <c r="H14" s="39" t="s">
        <v>46</v>
      </c>
      <c r="I14" s="39" t="s">
        <v>47</v>
      </c>
      <c r="J14" s="39" t="s">
        <v>48</v>
      </c>
      <c r="K14" s="39" t="s">
        <v>49</v>
      </c>
      <c r="L14" s="39" t="s">
        <v>50</v>
      </c>
      <c r="M14" s="39" t="s">
        <v>51</v>
      </c>
    </row>
    <row r="15" spans="2:13" ht="12.75">
      <c r="B15" s="40" t="s">
        <v>52</v>
      </c>
      <c r="C15" s="54"/>
      <c r="D15" s="70">
        <v>50</v>
      </c>
      <c r="E15" s="70">
        <v>50</v>
      </c>
      <c r="F15" s="70">
        <v>50</v>
      </c>
      <c r="G15" s="70">
        <v>50</v>
      </c>
      <c r="H15" s="70">
        <v>50</v>
      </c>
      <c r="I15" s="70">
        <v>50</v>
      </c>
      <c r="J15" s="70">
        <v>50</v>
      </c>
      <c r="K15" s="70">
        <v>50</v>
      </c>
      <c r="L15" s="70">
        <v>50</v>
      </c>
      <c r="M15" s="97">
        <v>50</v>
      </c>
    </row>
    <row r="16" spans="2:13" ht="12.75">
      <c r="B16" s="43" t="s">
        <v>55</v>
      </c>
      <c r="C16" s="52"/>
      <c r="D16" s="73">
        <v>25</v>
      </c>
      <c r="E16" s="73">
        <v>25</v>
      </c>
      <c r="F16" s="73">
        <v>25</v>
      </c>
      <c r="G16" s="73">
        <v>25</v>
      </c>
      <c r="H16" s="73">
        <v>25</v>
      </c>
      <c r="I16" s="73">
        <v>25</v>
      </c>
      <c r="J16" s="73">
        <v>25</v>
      </c>
      <c r="K16" s="73">
        <v>25</v>
      </c>
      <c r="L16" s="73">
        <v>25</v>
      </c>
      <c r="M16" s="88">
        <v>25</v>
      </c>
    </row>
    <row r="17" spans="2:13" ht="12.75">
      <c r="B17" s="43" t="s">
        <v>93</v>
      </c>
      <c r="C17" s="52"/>
      <c r="D17" s="73">
        <v>25</v>
      </c>
      <c r="E17" s="73">
        <v>25</v>
      </c>
      <c r="F17" s="73">
        <v>25</v>
      </c>
      <c r="G17" s="73">
        <v>25</v>
      </c>
      <c r="H17" s="73">
        <v>25</v>
      </c>
      <c r="I17" s="73">
        <v>25</v>
      </c>
      <c r="J17" s="73">
        <v>25</v>
      </c>
      <c r="K17" s="73">
        <v>25</v>
      </c>
      <c r="L17" s="73">
        <v>25</v>
      </c>
      <c r="M17" s="88">
        <v>25</v>
      </c>
    </row>
    <row r="18" spans="2:13" ht="12.75">
      <c r="B18" s="43" t="s">
        <v>56</v>
      </c>
      <c r="C18" s="52"/>
      <c r="D18" s="73">
        <v>77.64</v>
      </c>
      <c r="E18" s="73">
        <v>77.64</v>
      </c>
      <c r="F18" s="73">
        <v>77.64</v>
      </c>
      <c r="G18" s="73">
        <v>77.64</v>
      </c>
      <c r="H18" s="73">
        <v>77.64</v>
      </c>
      <c r="I18" s="73">
        <v>77.64</v>
      </c>
      <c r="J18" s="73">
        <v>77.64</v>
      </c>
      <c r="K18" s="73">
        <v>77.64</v>
      </c>
      <c r="L18" s="73">
        <v>77.64</v>
      </c>
      <c r="M18" s="88">
        <v>77.64</v>
      </c>
    </row>
    <row r="19" spans="2:13" ht="12.75">
      <c r="B19" s="43" t="s">
        <v>57</v>
      </c>
      <c r="C19" s="52"/>
      <c r="D19" s="73">
        <v>56.06</v>
      </c>
      <c r="E19" s="73">
        <v>56.06</v>
      </c>
      <c r="F19" s="73">
        <v>56.06</v>
      </c>
      <c r="G19" s="73">
        <v>56.06</v>
      </c>
      <c r="H19" s="73">
        <v>56.06</v>
      </c>
      <c r="I19" s="73">
        <v>56.06</v>
      </c>
      <c r="J19" s="73">
        <v>56.06</v>
      </c>
      <c r="K19" s="73">
        <v>56.06</v>
      </c>
      <c r="L19" s="73">
        <v>56.06</v>
      </c>
      <c r="M19" s="88">
        <v>56.06</v>
      </c>
    </row>
    <row r="20" spans="2:13" ht="12.75">
      <c r="B20" s="43" t="s">
        <v>79</v>
      </c>
      <c r="C20" s="52"/>
      <c r="D20" s="73">
        <v>7.13</v>
      </c>
      <c r="E20" s="73">
        <v>7.13</v>
      </c>
      <c r="F20" s="73">
        <v>7.13</v>
      </c>
      <c r="G20" s="73">
        <v>7.13</v>
      </c>
      <c r="H20" s="73">
        <v>7.13</v>
      </c>
      <c r="I20" s="73">
        <v>7.13</v>
      </c>
      <c r="J20" s="73">
        <v>7.13</v>
      </c>
      <c r="K20" s="73">
        <v>7.13</v>
      </c>
      <c r="L20" s="73">
        <v>7.13</v>
      </c>
      <c r="M20" s="88">
        <v>7.13</v>
      </c>
    </row>
    <row r="21" spans="2:13" ht="12.75">
      <c r="B21" s="46" t="s">
        <v>59</v>
      </c>
      <c r="C21" s="55"/>
      <c r="D21" s="76">
        <f aca="true" t="shared" si="0" ref="D21:M21">SUM(D15:D20)</f>
        <v>240.82999999999998</v>
      </c>
      <c r="E21" s="76">
        <f t="shared" si="0"/>
        <v>240.82999999999998</v>
      </c>
      <c r="F21" s="76">
        <f t="shared" si="0"/>
        <v>240.82999999999998</v>
      </c>
      <c r="G21" s="76">
        <f t="shared" si="0"/>
        <v>240.82999999999998</v>
      </c>
      <c r="H21" s="76">
        <f t="shared" si="0"/>
        <v>240.82999999999998</v>
      </c>
      <c r="I21" s="76">
        <f t="shared" si="0"/>
        <v>240.82999999999998</v>
      </c>
      <c r="J21" s="76">
        <f t="shared" si="0"/>
        <v>240.82999999999998</v>
      </c>
      <c r="K21" s="76">
        <f t="shared" si="0"/>
        <v>240.82999999999998</v>
      </c>
      <c r="L21" s="76">
        <f t="shared" si="0"/>
        <v>240.82999999999998</v>
      </c>
      <c r="M21" s="87">
        <f t="shared" si="0"/>
        <v>240.82999999999998</v>
      </c>
    </row>
    <row r="22" spans="4:13" ht="12.75">
      <c r="D22" s="49"/>
      <c r="E22" s="49"/>
      <c r="F22" s="49"/>
      <c r="G22" s="49"/>
      <c r="H22" s="49"/>
      <c r="I22" s="49"/>
      <c r="J22" s="49"/>
      <c r="K22" s="49"/>
      <c r="L22" s="49"/>
      <c r="M22" s="49"/>
    </row>
    <row r="23" spans="1:13" ht="12.75">
      <c r="A23" s="1" t="s">
        <v>60</v>
      </c>
      <c r="D23" s="49"/>
      <c r="E23" s="49"/>
      <c r="F23" s="49"/>
      <c r="G23" s="49"/>
      <c r="H23" s="49"/>
      <c r="I23" s="49"/>
      <c r="J23" s="49"/>
      <c r="K23" s="49"/>
      <c r="L23" s="49"/>
      <c r="M23" s="49"/>
    </row>
    <row r="24" spans="1:13" ht="12.75">
      <c r="A24" s="1"/>
      <c r="B24" s="40" t="s">
        <v>94</v>
      </c>
      <c r="C24" s="54"/>
      <c r="D24" s="70">
        <f>$D$9</f>
        <v>12</v>
      </c>
      <c r="E24" s="70">
        <f aca="true" t="shared" si="1" ref="E24:M24">$D$9</f>
        <v>12</v>
      </c>
      <c r="F24" s="70">
        <f t="shared" si="1"/>
        <v>12</v>
      </c>
      <c r="G24" s="70">
        <f t="shared" si="1"/>
        <v>12</v>
      </c>
      <c r="H24" s="70">
        <f t="shared" si="1"/>
        <v>12</v>
      </c>
      <c r="I24" s="70">
        <f t="shared" si="1"/>
        <v>12</v>
      </c>
      <c r="J24" s="70">
        <f t="shared" si="1"/>
        <v>12</v>
      </c>
      <c r="K24" s="70">
        <f t="shared" si="1"/>
        <v>12</v>
      </c>
      <c r="L24" s="70">
        <f t="shared" si="1"/>
        <v>12</v>
      </c>
      <c r="M24" s="97">
        <f t="shared" si="1"/>
        <v>12</v>
      </c>
    </row>
    <row r="25" spans="2:13" ht="12.75">
      <c r="B25" s="43" t="s">
        <v>63</v>
      </c>
      <c r="C25" s="52"/>
      <c r="D25" s="73">
        <f aca="true" t="shared" si="2" ref="D25:M25">D24*$D$10</f>
        <v>360</v>
      </c>
      <c r="E25" s="73">
        <f t="shared" si="2"/>
        <v>360</v>
      </c>
      <c r="F25" s="73">
        <f t="shared" si="2"/>
        <v>360</v>
      </c>
      <c r="G25" s="73">
        <f t="shared" si="2"/>
        <v>360</v>
      </c>
      <c r="H25" s="73">
        <f t="shared" si="2"/>
        <v>360</v>
      </c>
      <c r="I25" s="73">
        <f t="shared" si="2"/>
        <v>360</v>
      </c>
      <c r="J25" s="73">
        <f t="shared" si="2"/>
        <v>360</v>
      </c>
      <c r="K25" s="73">
        <f t="shared" si="2"/>
        <v>360</v>
      </c>
      <c r="L25" s="73">
        <f t="shared" si="2"/>
        <v>360</v>
      </c>
      <c r="M25" s="88">
        <f t="shared" si="2"/>
        <v>360</v>
      </c>
    </row>
    <row r="26" spans="2:13" ht="12.75">
      <c r="B26" s="43" t="s">
        <v>64</v>
      </c>
      <c r="C26" s="52"/>
      <c r="D26" s="73">
        <f aca="true" t="shared" si="3" ref="D26:M26">D25-D21</f>
        <v>119.17000000000002</v>
      </c>
      <c r="E26" s="73">
        <f t="shared" si="3"/>
        <v>119.17000000000002</v>
      </c>
      <c r="F26" s="73">
        <f t="shared" si="3"/>
        <v>119.17000000000002</v>
      </c>
      <c r="G26" s="73">
        <f t="shared" si="3"/>
        <v>119.17000000000002</v>
      </c>
      <c r="H26" s="73">
        <f t="shared" si="3"/>
        <v>119.17000000000002</v>
      </c>
      <c r="I26" s="73">
        <f t="shared" si="3"/>
        <v>119.17000000000002</v>
      </c>
      <c r="J26" s="73">
        <f t="shared" si="3"/>
        <v>119.17000000000002</v>
      </c>
      <c r="K26" s="73">
        <f t="shared" si="3"/>
        <v>119.17000000000002</v>
      </c>
      <c r="L26" s="73">
        <f t="shared" si="3"/>
        <v>119.17000000000002</v>
      </c>
      <c r="M26" s="88">
        <f t="shared" si="3"/>
        <v>119.17000000000002</v>
      </c>
    </row>
    <row r="27" spans="2:13" ht="12.75">
      <c r="B27" s="43"/>
      <c r="C27" s="52"/>
      <c r="D27" s="52"/>
      <c r="E27" s="52"/>
      <c r="F27" s="52"/>
      <c r="G27" s="52"/>
      <c r="H27" s="52"/>
      <c r="I27" s="52"/>
      <c r="J27" s="52"/>
      <c r="K27" s="52"/>
      <c r="L27" s="52"/>
      <c r="M27" s="67"/>
    </row>
    <row r="28" spans="2:13" ht="12.75">
      <c r="B28" s="46" t="s">
        <v>65</v>
      </c>
      <c r="C28" s="55"/>
      <c r="D28" s="76">
        <f>D26+D15</f>
        <v>169.17000000000002</v>
      </c>
      <c r="E28" s="76">
        <f>E26+E15</f>
        <v>169.17000000000002</v>
      </c>
      <c r="F28" s="76">
        <f>F26+F15</f>
        <v>169.17000000000002</v>
      </c>
      <c r="G28" s="76">
        <f>G26+G15</f>
        <v>169.17000000000002</v>
      </c>
      <c r="H28" s="76">
        <f aca="true" t="shared" si="4" ref="H28:M28">H26+H15</f>
        <v>169.17000000000002</v>
      </c>
      <c r="I28" s="76">
        <f t="shared" si="4"/>
        <v>169.17000000000002</v>
      </c>
      <c r="J28" s="76">
        <f t="shared" si="4"/>
        <v>169.17000000000002</v>
      </c>
      <c r="K28" s="76">
        <f t="shared" si="4"/>
        <v>169.17000000000002</v>
      </c>
      <c r="L28" s="76">
        <f t="shared" si="4"/>
        <v>169.17000000000002</v>
      </c>
      <c r="M28" s="87">
        <f t="shared" si="4"/>
        <v>169.17000000000002</v>
      </c>
    </row>
    <row r="30" spans="2:4" ht="12.75">
      <c r="B30" s="63" t="s">
        <v>66</v>
      </c>
      <c r="C30" s="63"/>
      <c r="D30" s="51">
        <f>D15/D28</f>
        <v>0.29556067860731805</v>
      </c>
    </row>
    <row r="33" ht="12.75">
      <c r="A33" s="23" t="s">
        <v>67</v>
      </c>
    </row>
    <row r="34" spans="1:13" ht="12.75">
      <c r="A34" s="1" t="s">
        <v>68</v>
      </c>
      <c r="C34" s="52" t="s">
        <v>69</v>
      </c>
      <c r="D34" s="38" t="s">
        <v>9</v>
      </c>
      <c r="E34" s="39" t="s">
        <v>10</v>
      </c>
      <c r="F34" s="39" t="s">
        <v>11</v>
      </c>
      <c r="G34" s="39" t="s">
        <v>12</v>
      </c>
      <c r="H34" s="39" t="s">
        <v>46</v>
      </c>
      <c r="I34" s="39" t="s">
        <v>47</v>
      </c>
      <c r="J34" s="39" t="s">
        <v>48</v>
      </c>
      <c r="K34" s="39" t="s">
        <v>49</v>
      </c>
      <c r="L34" s="39" t="s">
        <v>50</v>
      </c>
      <c r="M34" s="39" t="s">
        <v>51</v>
      </c>
    </row>
    <row r="35" spans="2:13" ht="12.75">
      <c r="B35" s="40" t="s">
        <v>52</v>
      </c>
      <c r="C35" s="70">
        <f>50*'ERR &amp; Sensitivity Analysis'!D10</f>
        <v>50</v>
      </c>
      <c r="D35" s="70">
        <f>50*'ERR &amp; Sensitivity Analysis'!D10</f>
        <v>50</v>
      </c>
      <c r="E35" s="70">
        <f>50*'ERR &amp; Sensitivity Analysis'!D10</f>
        <v>50</v>
      </c>
      <c r="F35" s="70">
        <f>50*'ERR &amp; Sensitivity Analysis'!D10</f>
        <v>50</v>
      </c>
      <c r="G35" s="70">
        <f>50*'ERR &amp; Sensitivity Analysis'!D10</f>
        <v>50</v>
      </c>
      <c r="H35" s="70">
        <f>50*'ERR &amp; Sensitivity Analysis'!D10</f>
        <v>50</v>
      </c>
      <c r="I35" s="70">
        <f>50*'ERR &amp; Sensitivity Analysis'!D10</f>
        <v>50</v>
      </c>
      <c r="J35" s="70">
        <f>50*'ERR &amp; Sensitivity Analysis'!D10</f>
        <v>50</v>
      </c>
      <c r="K35" s="70">
        <f>50*'ERR &amp; Sensitivity Analysis'!D10</f>
        <v>50</v>
      </c>
      <c r="L35" s="70">
        <f>50*'ERR &amp; Sensitivity Analysis'!D10</f>
        <v>50</v>
      </c>
      <c r="M35" s="97">
        <v>0</v>
      </c>
    </row>
    <row r="36" spans="2:13" ht="12.75">
      <c r="B36" s="43" t="s">
        <v>55</v>
      </c>
      <c r="C36" s="73">
        <f>25*'ERR &amp; Sensitivity Analysis'!D10</f>
        <v>25</v>
      </c>
      <c r="D36" s="73">
        <f>25*'ERR &amp; Sensitivity Analysis'!D10</f>
        <v>25</v>
      </c>
      <c r="E36" s="73">
        <f>25*'ERR &amp; Sensitivity Analysis'!D10</f>
        <v>25</v>
      </c>
      <c r="F36" s="73">
        <f>25*'ERR &amp; Sensitivity Analysis'!D10</f>
        <v>25</v>
      </c>
      <c r="G36" s="73">
        <f>25*'ERR &amp; Sensitivity Analysis'!D10</f>
        <v>25</v>
      </c>
      <c r="H36" s="73">
        <f>25*'ERR &amp; Sensitivity Analysis'!D10</f>
        <v>25</v>
      </c>
      <c r="I36" s="73">
        <f>25*'ERR &amp; Sensitivity Analysis'!D10</f>
        <v>25</v>
      </c>
      <c r="J36" s="73">
        <f>25*'ERR &amp; Sensitivity Analysis'!D10</f>
        <v>25</v>
      </c>
      <c r="K36" s="73">
        <f>25*'ERR &amp; Sensitivity Analysis'!D10</f>
        <v>25</v>
      </c>
      <c r="L36" s="73">
        <f>25*'ERR &amp; Sensitivity Analysis'!D10</f>
        <v>25</v>
      </c>
      <c r="M36" s="88">
        <v>0</v>
      </c>
    </row>
    <row r="37" spans="2:13" ht="12.75">
      <c r="B37" s="43" t="s">
        <v>95</v>
      </c>
      <c r="C37" s="73">
        <f>25*'ERR &amp; Sensitivity Analysis'!D10</f>
        <v>25</v>
      </c>
      <c r="D37" s="73">
        <f>25*'ERR &amp; Sensitivity Analysis'!D10</f>
        <v>25</v>
      </c>
      <c r="E37" s="73">
        <f>25*'ERR &amp; Sensitivity Analysis'!D10</f>
        <v>25</v>
      </c>
      <c r="F37" s="73">
        <f>25*'ERR &amp; Sensitivity Analysis'!D10</f>
        <v>25</v>
      </c>
      <c r="G37" s="73">
        <f>25*'ERR &amp; Sensitivity Analysis'!D10</f>
        <v>25</v>
      </c>
      <c r="H37" s="73">
        <f>25*'ERR &amp; Sensitivity Analysis'!D10</f>
        <v>25</v>
      </c>
      <c r="I37" s="73">
        <f>25*'ERR &amp; Sensitivity Analysis'!D10</f>
        <v>25</v>
      </c>
      <c r="J37" s="73">
        <f>25*'ERR &amp; Sensitivity Analysis'!D10</f>
        <v>25</v>
      </c>
      <c r="K37" s="73">
        <f>25*'ERR &amp; Sensitivity Analysis'!D10</f>
        <v>25</v>
      </c>
      <c r="L37" s="73">
        <f>25*'ERR &amp; Sensitivity Analysis'!D10</f>
        <v>25</v>
      </c>
      <c r="M37" s="88">
        <v>0</v>
      </c>
    </row>
    <row r="38" spans="2:13" ht="12.75">
      <c r="B38" s="43" t="s">
        <v>56</v>
      </c>
      <c r="C38" s="73">
        <f>77.64*'ERR &amp; Sensitivity Analysis'!D10</f>
        <v>77.64</v>
      </c>
      <c r="D38" s="73">
        <f>77.64*'ERR &amp; Sensitivity Analysis'!D10</f>
        <v>77.64</v>
      </c>
      <c r="E38" s="73">
        <f>77.64*'ERR &amp; Sensitivity Analysis'!D10</f>
        <v>77.64</v>
      </c>
      <c r="F38" s="73">
        <f>77.64*'ERR &amp; Sensitivity Analysis'!D10</f>
        <v>77.64</v>
      </c>
      <c r="G38" s="73">
        <f>77.64*'ERR &amp; Sensitivity Analysis'!D10</f>
        <v>77.64</v>
      </c>
      <c r="H38" s="73">
        <f>77.64*'ERR &amp; Sensitivity Analysis'!D10</f>
        <v>77.64</v>
      </c>
      <c r="I38" s="73">
        <f>77.64*'ERR &amp; Sensitivity Analysis'!D10</f>
        <v>77.64</v>
      </c>
      <c r="J38" s="73">
        <f>77.64*'ERR &amp; Sensitivity Analysis'!D10</f>
        <v>77.64</v>
      </c>
      <c r="K38" s="73">
        <f>77.64*'ERR &amp; Sensitivity Analysis'!D10</f>
        <v>77.64</v>
      </c>
      <c r="L38" s="73">
        <f>77.64*'ERR &amp; Sensitivity Analysis'!D10</f>
        <v>77.64</v>
      </c>
      <c r="M38" s="88">
        <v>0</v>
      </c>
    </row>
    <row r="39" spans="2:13" ht="12.75">
      <c r="B39" s="43" t="s">
        <v>57</v>
      </c>
      <c r="C39" s="73">
        <f>56.06*'ERR &amp; Sensitivity Analysis'!D10</f>
        <v>56.06</v>
      </c>
      <c r="D39" s="73">
        <f>56.06*'ERR &amp; Sensitivity Analysis'!D10</f>
        <v>56.06</v>
      </c>
      <c r="E39" s="73">
        <f>56.06*'ERR &amp; Sensitivity Analysis'!D10</f>
        <v>56.06</v>
      </c>
      <c r="F39" s="73">
        <f>56.06*'ERR &amp; Sensitivity Analysis'!D10</f>
        <v>56.06</v>
      </c>
      <c r="G39" s="73">
        <f>56.06*'ERR &amp; Sensitivity Analysis'!D10</f>
        <v>56.06</v>
      </c>
      <c r="H39" s="73">
        <f>56.06*'ERR &amp; Sensitivity Analysis'!D10</f>
        <v>56.06</v>
      </c>
      <c r="I39" s="73">
        <f>56.06*'ERR &amp; Sensitivity Analysis'!D10</f>
        <v>56.06</v>
      </c>
      <c r="J39" s="73">
        <f>56.06*'ERR &amp; Sensitivity Analysis'!D10</f>
        <v>56.06</v>
      </c>
      <c r="K39" s="73">
        <f>56.06*'ERR &amp; Sensitivity Analysis'!D10</f>
        <v>56.06</v>
      </c>
      <c r="L39" s="73">
        <f>56.06*'ERR &amp; Sensitivity Analysis'!D10</f>
        <v>56.06</v>
      </c>
      <c r="M39" s="88">
        <v>0</v>
      </c>
    </row>
    <row r="40" spans="2:13" ht="12.75">
      <c r="B40" s="43" t="s">
        <v>79</v>
      </c>
      <c r="C40" s="73">
        <f>7.13*'ERR &amp; Sensitivity Analysis'!D10</f>
        <v>7.13</v>
      </c>
      <c r="D40" s="73">
        <f>7.13*'ERR &amp; Sensitivity Analysis'!D10</f>
        <v>7.13</v>
      </c>
      <c r="E40" s="73">
        <f>7.13*'ERR &amp; Sensitivity Analysis'!D10</f>
        <v>7.13</v>
      </c>
      <c r="F40" s="73">
        <f>7.13*'ERR &amp; Sensitivity Analysis'!D10</f>
        <v>7.13</v>
      </c>
      <c r="G40" s="73">
        <f>7.13*'ERR &amp; Sensitivity Analysis'!D10</f>
        <v>7.13</v>
      </c>
      <c r="H40" s="73">
        <f>7.13*'ERR &amp; Sensitivity Analysis'!D10</f>
        <v>7.13</v>
      </c>
      <c r="I40" s="73">
        <f>7.13*'ERR &amp; Sensitivity Analysis'!D10</f>
        <v>7.13</v>
      </c>
      <c r="J40" s="73">
        <f>7.13*'ERR &amp; Sensitivity Analysis'!D10</f>
        <v>7.13</v>
      </c>
      <c r="K40" s="73">
        <f>7.13*'ERR &amp; Sensitivity Analysis'!D10</f>
        <v>7.13</v>
      </c>
      <c r="L40" s="73">
        <f>7.13*'ERR &amp; Sensitivity Analysis'!D10</f>
        <v>7.13</v>
      </c>
      <c r="M40" s="88">
        <v>0</v>
      </c>
    </row>
    <row r="41" spans="2:13" ht="12.75">
      <c r="B41" s="46" t="s">
        <v>71</v>
      </c>
      <c r="C41" s="76">
        <f aca="true" t="shared" si="5" ref="C41:M41">SUM(C35:C40)</f>
        <v>240.82999999999998</v>
      </c>
      <c r="D41" s="76">
        <f t="shared" si="5"/>
        <v>240.82999999999998</v>
      </c>
      <c r="E41" s="76">
        <f t="shared" si="5"/>
        <v>240.82999999999998</v>
      </c>
      <c r="F41" s="76">
        <f t="shared" si="5"/>
        <v>240.82999999999998</v>
      </c>
      <c r="G41" s="76">
        <f t="shared" si="5"/>
        <v>240.82999999999998</v>
      </c>
      <c r="H41" s="76">
        <f t="shared" si="5"/>
        <v>240.82999999999998</v>
      </c>
      <c r="I41" s="76">
        <f t="shared" si="5"/>
        <v>240.82999999999998</v>
      </c>
      <c r="J41" s="76">
        <f t="shared" si="5"/>
        <v>240.82999999999998</v>
      </c>
      <c r="K41" s="76">
        <f t="shared" si="5"/>
        <v>240.82999999999998</v>
      </c>
      <c r="L41" s="76">
        <f t="shared" si="5"/>
        <v>240.82999999999998</v>
      </c>
      <c r="M41" s="87">
        <f t="shared" si="5"/>
        <v>0</v>
      </c>
    </row>
    <row r="42" spans="3:13" ht="12.75">
      <c r="C42" s="49"/>
      <c r="D42" s="49"/>
      <c r="E42" s="49"/>
      <c r="F42" s="49"/>
      <c r="G42" s="49"/>
      <c r="H42" s="49"/>
      <c r="I42" s="49"/>
      <c r="J42" s="49"/>
      <c r="K42" s="49"/>
      <c r="L42" s="49"/>
      <c r="M42" s="49"/>
    </row>
    <row r="43" spans="1:13" ht="12.75">
      <c r="A43" s="1" t="s">
        <v>72</v>
      </c>
      <c r="C43" s="49"/>
      <c r="D43" s="49"/>
      <c r="E43" s="49"/>
      <c r="F43" s="49"/>
      <c r="G43" s="49"/>
      <c r="H43" s="49"/>
      <c r="I43" s="49"/>
      <c r="J43" s="49"/>
      <c r="K43" s="49"/>
      <c r="L43" s="49"/>
      <c r="M43" s="49"/>
    </row>
    <row r="44" spans="1:13" ht="12.75">
      <c r="A44" s="1"/>
      <c r="B44" s="40" t="s">
        <v>94</v>
      </c>
      <c r="C44" s="70">
        <v>0</v>
      </c>
      <c r="D44" s="70">
        <f>$D$9</f>
        <v>12</v>
      </c>
      <c r="E44" s="70">
        <f aca="true" t="shared" si="6" ref="E44:M44">$D$9</f>
        <v>12</v>
      </c>
      <c r="F44" s="70">
        <f t="shared" si="6"/>
        <v>12</v>
      </c>
      <c r="G44" s="70">
        <f t="shared" si="6"/>
        <v>12</v>
      </c>
      <c r="H44" s="70">
        <f t="shared" si="6"/>
        <v>12</v>
      </c>
      <c r="I44" s="70">
        <f t="shared" si="6"/>
        <v>12</v>
      </c>
      <c r="J44" s="70">
        <f t="shared" si="6"/>
        <v>12</v>
      </c>
      <c r="K44" s="70">
        <f t="shared" si="6"/>
        <v>12</v>
      </c>
      <c r="L44" s="70">
        <f t="shared" si="6"/>
        <v>12</v>
      </c>
      <c r="M44" s="97">
        <f t="shared" si="6"/>
        <v>12</v>
      </c>
    </row>
    <row r="45" spans="2:13" ht="12.75">
      <c r="B45" s="43" t="s">
        <v>63</v>
      </c>
      <c r="C45" s="73">
        <f aca="true" t="shared" si="7" ref="C45:M45">C44*$D$10</f>
        <v>0</v>
      </c>
      <c r="D45" s="73">
        <f t="shared" si="7"/>
        <v>360</v>
      </c>
      <c r="E45" s="73">
        <f t="shared" si="7"/>
        <v>360</v>
      </c>
      <c r="F45" s="73">
        <f t="shared" si="7"/>
        <v>360</v>
      </c>
      <c r="G45" s="73">
        <f t="shared" si="7"/>
        <v>360</v>
      </c>
      <c r="H45" s="73">
        <f t="shared" si="7"/>
        <v>360</v>
      </c>
      <c r="I45" s="73">
        <f t="shared" si="7"/>
        <v>360</v>
      </c>
      <c r="J45" s="73">
        <f t="shared" si="7"/>
        <v>360</v>
      </c>
      <c r="K45" s="73">
        <f t="shared" si="7"/>
        <v>360</v>
      </c>
      <c r="L45" s="73">
        <f t="shared" si="7"/>
        <v>360</v>
      </c>
      <c r="M45" s="88">
        <f t="shared" si="7"/>
        <v>360</v>
      </c>
    </row>
    <row r="46" spans="2:13" ht="12.75">
      <c r="B46" s="46" t="s">
        <v>73</v>
      </c>
      <c r="C46" s="76">
        <f>C45</f>
        <v>0</v>
      </c>
      <c r="D46" s="76">
        <f aca="true" t="shared" si="8" ref="D46:M46">D45</f>
        <v>360</v>
      </c>
      <c r="E46" s="76">
        <f t="shared" si="8"/>
        <v>360</v>
      </c>
      <c r="F46" s="76">
        <f t="shared" si="8"/>
        <v>360</v>
      </c>
      <c r="G46" s="76">
        <f t="shared" si="8"/>
        <v>360</v>
      </c>
      <c r="H46" s="76">
        <f t="shared" si="8"/>
        <v>360</v>
      </c>
      <c r="I46" s="76">
        <f t="shared" si="8"/>
        <v>360</v>
      </c>
      <c r="J46" s="76">
        <f t="shared" si="8"/>
        <v>360</v>
      </c>
      <c r="K46" s="76">
        <f t="shared" si="8"/>
        <v>360</v>
      </c>
      <c r="L46" s="76">
        <f t="shared" si="8"/>
        <v>360</v>
      </c>
      <c r="M46" s="87">
        <f t="shared" si="8"/>
        <v>360</v>
      </c>
    </row>
    <row r="48" spans="2:13" ht="12.75">
      <c r="B48" s="103" t="s">
        <v>74</v>
      </c>
      <c r="C48" s="104">
        <f>C46-C41</f>
        <v>-240.82999999999998</v>
      </c>
      <c r="D48" s="104">
        <f aca="true" t="shared" si="9" ref="D48:M48">D46-D41</f>
        <v>119.17000000000002</v>
      </c>
      <c r="E48" s="104">
        <f t="shared" si="9"/>
        <v>119.17000000000002</v>
      </c>
      <c r="F48" s="104">
        <f t="shared" si="9"/>
        <v>119.17000000000002</v>
      </c>
      <c r="G48" s="104">
        <f t="shared" si="9"/>
        <v>119.17000000000002</v>
      </c>
      <c r="H48" s="104">
        <f t="shared" si="9"/>
        <v>119.17000000000002</v>
      </c>
      <c r="I48" s="104">
        <f t="shared" si="9"/>
        <v>119.17000000000002</v>
      </c>
      <c r="J48" s="104">
        <f t="shared" si="9"/>
        <v>119.17000000000002</v>
      </c>
      <c r="K48" s="104">
        <f t="shared" si="9"/>
        <v>119.17000000000002</v>
      </c>
      <c r="L48" s="104">
        <f t="shared" si="9"/>
        <v>119.17000000000002</v>
      </c>
      <c r="M48" s="105">
        <f t="shared" si="9"/>
        <v>360</v>
      </c>
    </row>
    <row r="49" spans="2:13" ht="12.75">
      <c r="B49" s="58" t="s">
        <v>75</v>
      </c>
      <c r="C49" s="83">
        <f>C48</f>
        <v>-240.82999999999998</v>
      </c>
      <c r="D49" s="83">
        <f>D48+C49</f>
        <v>-121.65999999999997</v>
      </c>
      <c r="E49" s="83">
        <f aca="true" t="shared" si="10" ref="E49:M49">E48+D49</f>
        <v>-2.4899999999999523</v>
      </c>
      <c r="F49" s="83">
        <f t="shared" si="10"/>
        <v>116.68000000000006</v>
      </c>
      <c r="G49" s="83">
        <f t="shared" si="10"/>
        <v>235.85000000000008</v>
      </c>
      <c r="H49" s="83">
        <f t="shared" si="10"/>
        <v>355.0200000000001</v>
      </c>
      <c r="I49" s="83">
        <f t="shared" si="10"/>
        <v>474.1900000000001</v>
      </c>
      <c r="J49" s="83">
        <f t="shared" si="10"/>
        <v>593.3600000000001</v>
      </c>
      <c r="K49" s="83">
        <f t="shared" si="10"/>
        <v>712.5300000000002</v>
      </c>
      <c r="L49" s="83">
        <f t="shared" si="10"/>
        <v>831.7000000000003</v>
      </c>
      <c r="M49" s="96">
        <f t="shared" si="10"/>
        <v>1191.7000000000003</v>
      </c>
    </row>
    <row r="50" ht="13.5" thickBot="1"/>
    <row r="51" spans="2:3" ht="13.5" thickBot="1">
      <c r="B51" s="98" t="s">
        <v>144</v>
      </c>
      <c r="C51" s="99">
        <f>IRR(C48:M48)</f>
        <v>0.49483037827513177</v>
      </c>
    </row>
    <row r="54" ht="12.75">
      <c r="C54" s="63"/>
    </row>
  </sheetData>
  <mergeCells count="2">
    <mergeCell ref="B5:H5"/>
    <mergeCell ref="A1:D1"/>
  </mergeCells>
  <conditionalFormatting sqref="B5">
    <cfRule type="cellIs" priority="1" dxfId="0" operator="equal" stopIfTrue="1">
      <formula>0</formula>
    </cfRule>
    <cfRule type="cellIs" priority="2" dxfId="1" operator="notEqual" stopIfTrue="1">
      <formula>0</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Breitbarth</dc:creator>
  <cp:keywords/>
  <dc:description/>
  <cp:lastModifiedBy>defuser</cp:lastModifiedBy>
  <dcterms:created xsi:type="dcterms:W3CDTF">2008-06-10T15:40:47Z</dcterms:created>
  <dcterms:modified xsi:type="dcterms:W3CDTF">2008-08-08T01:44:17Z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