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46" yWindow="660" windowWidth="7365" windowHeight="4650" activeTab="1"/>
  </bookViews>
  <sheets>
    <sheet name="User's Guide" sheetId="1" r:id="rId1"/>
    <sheet name="Project Description" sheetId="2" r:id="rId2"/>
    <sheet name="ERR &amp; Sensitivity Analysis" sheetId="3" r:id="rId3"/>
    <sheet name="Property Regularization" sheetId="4" r:id="rId4"/>
    <sheet name="Land Data" sheetId="5" r:id="rId5"/>
  </sheets>
  <definedNames/>
  <calcPr fullCalcOnLoad="1"/>
</workbook>
</file>

<file path=xl/sharedStrings.xml><?xml version="1.0" encoding="utf-8"?>
<sst xmlns="http://schemas.openxmlformats.org/spreadsheetml/2006/main" count="226" uniqueCount="178">
  <si>
    <t>been obtained from the number of hectares and total estates.</t>
  </si>
  <si>
    <t>Authorization%</t>
  </si>
  <si>
    <t xml:space="preserve">Number </t>
  </si>
  <si>
    <t>No. of Estates</t>
  </si>
  <si>
    <t xml:space="preserve">None </t>
  </si>
  <si>
    <t>Costs included in ERR (other than costs borne by MCC)</t>
  </si>
  <si>
    <t>Total %</t>
  </si>
  <si>
    <t>No. de</t>
  </si>
  <si>
    <t>(mzs)</t>
  </si>
  <si>
    <t>Manzanas</t>
  </si>
  <si>
    <t xml:space="preserve">  0-10</t>
  </si>
  <si>
    <t xml:space="preserve"> 10-50</t>
  </si>
  <si>
    <t xml:space="preserve"> 50-200</t>
  </si>
  <si>
    <t xml:space="preserve"> 200-500</t>
  </si>
  <si>
    <t>Total</t>
  </si>
  <si>
    <t>Estructura % del CENAGRO</t>
  </si>
  <si>
    <t>No. of Hectares</t>
  </si>
  <si>
    <t>With registered title</t>
  </si>
  <si>
    <t>To be regularized</t>
  </si>
  <si>
    <t>to be regularized</t>
  </si>
  <si>
    <t>Area</t>
  </si>
  <si>
    <t>Hectareas</t>
  </si>
  <si>
    <t>1 HA =</t>
  </si>
  <si>
    <t xml:space="preserve">Exchange rate </t>
  </si>
  <si>
    <t>Estimated Effect of Land Titling on Property Values in Honduras</t>
  </si>
  <si>
    <t>Average Price</t>
  </si>
  <si>
    <t>Average increase from Titling</t>
  </si>
  <si>
    <t>Percentage</t>
  </si>
  <si>
    <t>Urban Housing</t>
  </si>
  <si>
    <t>$0-$11,111</t>
  </si>
  <si>
    <t>$11,111-$27,778</t>
  </si>
  <si>
    <t>Rural properties</t>
  </si>
  <si>
    <t>$0-$5,556</t>
  </si>
  <si>
    <t>$5,556-$27,778</t>
  </si>
  <si>
    <t>Source: Project Appraisal Document, World Bank Project P055991, Feb 2004, p.64-68.</t>
  </si>
  <si>
    <t>Estimated Effect of Land Titling on Property Values in Nicaragua</t>
  </si>
  <si>
    <t>From Deininger and Chamorro (1994)</t>
  </si>
  <si>
    <t>Average increase (average of Honduras and Nicaragua)</t>
  </si>
  <si>
    <t xml:space="preserve">Property values in Leon </t>
  </si>
  <si>
    <t>Mean property value per manzana</t>
  </si>
  <si>
    <t>Cordobas</t>
  </si>
  <si>
    <t>USD</t>
  </si>
  <si>
    <t>Leon Province</t>
  </si>
  <si>
    <t>Rural</t>
  </si>
  <si>
    <t>Leon City</t>
  </si>
  <si>
    <t>Rest of sample</t>
  </si>
  <si>
    <t>Land Area to be titled (in manzanas)</t>
  </si>
  <si>
    <t xml:space="preserve">Rural </t>
  </si>
  <si>
    <t>Urban</t>
  </si>
  <si>
    <t>Total value of rural land</t>
  </si>
  <si>
    <t>Increase from titling</t>
  </si>
  <si>
    <t>Total Value of Urban land</t>
  </si>
  <si>
    <t>Percent Increase</t>
  </si>
  <si>
    <t>Years</t>
  </si>
  <si>
    <t>Annual growth</t>
  </si>
  <si>
    <t>ERR calculation</t>
  </si>
  <si>
    <t xml:space="preserve">Rise in property Values </t>
  </si>
  <si>
    <t>Saved Transactions Costs</t>
  </si>
  <si>
    <t>Costs</t>
  </si>
  <si>
    <t>Property Values</t>
  </si>
  <si>
    <t>value of mz (rural)</t>
  </si>
  <si>
    <t>value of mz (urban)</t>
  </si>
  <si>
    <t>check for percent increase, B45</t>
  </si>
  <si>
    <t>worst case: cost +10%; benefits -10%</t>
  </si>
  <si>
    <t>best case: cost -10%; benefits +10%</t>
  </si>
  <si>
    <t>Spreadsheet version</t>
  </si>
  <si>
    <t>Date</t>
  </si>
  <si>
    <t>Amount of MCC funds</t>
  </si>
  <si>
    <t>Project description</t>
  </si>
  <si>
    <t>Benefit streams included in ERR</t>
  </si>
  <si>
    <t>Estimated ERR and time horizon</t>
  </si>
  <si>
    <t>Worksheets in this file</t>
  </si>
  <si>
    <t>Project Name</t>
  </si>
  <si>
    <t>Property Regularization Project</t>
  </si>
  <si>
    <t xml:space="preserve">Distribution of estates according to forms of possession and strata  </t>
  </si>
  <si>
    <t>Distribution in percentage</t>
  </si>
  <si>
    <t>Strata</t>
  </si>
  <si>
    <t>Projections for León's project</t>
  </si>
  <si>
    <t>Titles %</t>
  </si>
  <si>
    <t>Public</t>
  </si>
  <si>
    <t>Titles (%)</t>
  </si>
  <si>
    <t>Without</t>
  </si>
  <si>
    <t>Above 500</t>
  </si>
  <si>
    <t xml:space="preserve">Process of </t>
  </si>
  <si>
    <t>Title of</t>
  </si>
  <si>
    <t>Reform A.</t>
  </si>
  <si>
    <t>Rental</t>
  </si>
  <si>
    <t>Others</t>
  </si>
  <si>
    <t>No. of</t>
  </si>
  <si>
    <t>Estates</t>
  </si>
  <si>
    <t>Project Description</t>
  </si>
  <si>
    <t>Land Data</t>
  </si>
  <si>
    <t>Property Regularization</t>
  </si>
  <si>
    <t>$26.5 million</t>
  </si>
  <si>
    <t>Summary</t>
  </si>
  <si>
    <t>Components</t>
  </si>
  <si>
    <t>Economic Rationale</t>
  </si>
  <si>
    <t>60% of big estates (over 200 mzas.) and 30% of small estates (less than 200 mzas.)</t>
  </si>
  <si>
    <t>No. of total estates</t>
  </si>
  <si>
    <t xml:space="preserve">Plots: 30,000 rural plots total </t>
  </si>
  <si>
    <t>of which it is estimated 21,000 will be regularized</t>
  </si>
  <si>
    <t>One should read this sheet first, as it offers a summary of the project, a list of components, and states the economic rationale for the project.</t>
  </si>
  <si>
    <t>Actual benefits as a percentage of estimated benefits</t>
  </si>
  <si>
    <t>Actual costs as a percentage of estimated costs</t>
  </si>
  <si>
    <t>Description of key parameters</t>
  </si>
  <si>
    <t>Parameter values</t>
  </si>
  <si>
    <t>User Input</t>
  </si>
  <si>
    <t>MCC Estimate</t>
  </si>
  <si>
    <t>Plausible Range</t>
  </si>
  <si>
    <t xml:space="preserve">Values used in ERR computation </t>
  </si>
  <si>
    <t>Economic Rate of Return:</t>
  </si>
  <si>
    <t>ERR and sensitivity analysis</t>
  </si>
  <si>
    <t>USD'000,000</t>
  </si>
  <si>
    <t xml:space="preserve">   More Info</t>
  </si>
  <si>
    <r>
      <t xml:space="preserve">   </t>
    </r>
    <r>
      <rPr>
        <u val="single"/>
        <sz val="10"/>
        <color indexed="12"/>
        <rFont val="Arial"/>
        <family val="0"/>
      </rPr>
      <t>Project Description</t>
    </r>
  </si>
  <si>
    <r>
      <t xml:space="preserve">   </t>
    </r>
    <r>
      <rPr>
        <u val="single"/>
        <sz val="10"/>
        <color indexed="12"/>
        <rFont val="Arial"/>
        <family val="0"/>
      </rPr>
      <t>User's Guide</t>
    </r>
  </si>
  <si>
    <t>All summary parameters set to initial values?</t>
  </si>
  <si>
    <t>Specific</t>
  </si>
  <si>
    <t>Cost Scenario</t>
  </si>
  <si>
    <t>Benefit Scenario</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</si>
  <si>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</si>
  <si>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Parameter type</t>
  </si>
  <si>
    <t>Number of new titles for urban parcels</t>
  </si>
  <si>
    <t>Number of new titles for rural parcels</t>
  </si>
  <si>
    <t>Increase in property value due to land titling</t>
  </si>
  <si>
    <t>Reduction in transaction costs for urban parcels (US$/parcel)</t>
  </si>
  <si>
    <t>Reduction in transaction costs for rural parcels (US$/parcel)</t>
  </si>
  <si>
    <t>Nicaragua: Property Regularization</t>
  </si>
  <si>
    <t>80% - 120%</t>
  </si>
  <si>
    <t>&gt; 500</t>
  </si>
  <si>
    <t>Cost and Benefit Stream Summary</t>
  </si>
  <si>
    <t xml:space="preserve">ERR  </t>
  </si>
  <si>
    <t>Sensitivity Analysis</t>
  </si>
  <si>
    <t xml:space="preserve">Rise in Property Values </t>
  </si>
  <si>
    <t>ERR</t>
  </si>
  <si>
    <t xml:space="preserve">5,138 Kmts2 x 100 = 513,800 Hectares </t>
  </si>
  <si>
    <t>1.  The number of estates regularizing in this stratum may be small</t>
  </si>
  <si>
    <t>since these are relatively larger producers who principally rely on existing legal documents.</t>
  </si>
  <si>
    <t xml:space="preserve">2.  Average size of the plots by stratum of area the average has </t>
  </si>
  <si>
    <t>Assumed that 30% of the parcels have registered title of which:</t>
  </si>
  <si>
    <t>Manzana to hectare ratio</t>
  </si>
  <si>
    <t>Number of Manzanas to be regularized</t>
  </si>
  <si>
    <t>Source: Cenagro 2001 and INEC</t>
  </si>
  <si>
    <t>Total Net Benefits</t>
  </si>
  <si>
    <t>Last updated: 5/26/2005</t>
  </si>
  <si>
    <t>Last updated:  5/26/2005</t>
  </si>
  <si>
    <t>14.56 - 46.50%</t>
  </si>
  <si>
    <t>14,400 - 21,600</t>
  </si>
  <si>
    <t>18,000 - 24,000</t>
  </si>
  <si>
    <t>18.5 - 31.5</t>
  </si>
  <si>
    <t>307 - 511</t>
  </si>
  <si>
    <t>11 - 21</t>
  </si>
  <si>
    <t>Investment memo, final</t>
  </si>
  <si>
    <t>A brief summary of the project's key parameters and ERR calculations.</t>
  </si>
  <si>
    <t>The worksheet summarizes the costs and benefits associated with MCC investments. The associated ERR is computed over a 10-year timeframe.</t>
  </si>
  <si>
    <t>This worksheet provides information on the distribution and number of title holders of land in the León region.</t>
  </si>
  <si>
    <t>Rise in property values</t>
  </si>
  <si>
    <t>Reduction in transaction costs</t>
  </si>
  <si>
    <t>The Property Regularization Project is designed to increase investment by strengthening property rights in León. The key activities of the Property Regularization Project include:</t>
  </si>
  <si>
    <r>
      <t xml:space="preserve">     1.   </t>
    </r>
    <r>
      <rPr>
        <i/>
        <sz val="10"/>
        <rFont val="Arial"/>
        <family val="2"/>
      </rPr>
      <t>Institutional Capacity Building</t>
    </r>
    <r>
      <rPr>
        <sz val="10"/>
        <rFont val="Arial"/>
        <family val="2"/>
      </rPr>
      <t>. Provide technical support to government institutions to implement and sustain tenure 
             regularization reforms in León.</t>
    </r>
  </si>
  <si>
    <r>
      <t xml:space="preserve">     2.   </t>
    </r>
    <r>
      <rPr>
        <i/>
        <sz val="10"/>
        <rFont val="Arial"/>
        <family val="2"/>
      </rPr>
      <t>Cadastral Mapping</t>
    </r>
    <r>
      <rPr>
        <sz val="10"/>
        <rFont val="Arial"/>
        <family val="2"/>
      </rPr>
      <t>. Conduct area-wide cadastral mapping in León to obtain current property descriptions to be recorded 
             in a geographic information system.</t>
    </r>
  </si>
  <si>
    <r>
      <t xml:space="preserve">     3.   </t>
    </r>
    <r>
      <rPr>
        <i/>
        <sz val="10"/>
        <rFont val="Arial"/>
        <family val="2"/>
      </rPr>
      <t>Land Tenure Regularization</t>
    </r>
    <r>
      <rPr>
        <sz val="10"/>
        <rFont val="Arial"/>
        <family val="2"/>
      </rPr>
      <t>. Clarify land tenure, resolve disputes, and improve formal documentation of property rights.</t>
    </r>
  </si>
  <si>
    <r>
      <t xml:space="preserve">     4.   </t>
    </r>
    <r>
      <rPr>
        <i/>
        <sz val="10"/>
        <rFont val="Arial"/>
        <family val="2"/>
      </rPr>
      <t>Database Installation</t>
    </r>
    <r>
      <rPr>
        <sz val="10"/>
        <rFont val="Arial"/>
        <family val="2"/>
      </rPr>
      <t>. Link municipal and national registry and cadastral databases by installing the Integrated System 
             of Cadastral and Registration Information (SIICAR) in León.</t>
    </r>
  </si>
  <si>
    <r>
      <t xml:space="preserve">     5.   </t>
    </r>
    <r>
      <rPr>
        <i/>
        <sz val="10"/>
        <rFont val="Arial"/>
        <family val="2"/>
      </rPr>
      <t>Protected Area Demarcation</t>
    </r>
    <r>
      <rPr>
        <sz val="10"/>
        <rFont val="Arial"/>
        <family val="2"/>
      </rPr>
      <t>. Demarcate and legally validate the boundaries of four environmentally-sensitive protected 
             areas, regularize land rights within the perimeter of each, and facilitate the adoption of land use management plans by 
             occupants therein.</t>
    </r>
  </si>
  <si>
    <r>
      <t xml:space="preserve">     6.   </t>
    </r>
    <r>
      <rPr>
        <i/>
        <sz val="10"/>
        <rFont val="Arial"/>
        <family val="2"/>
      </rPr>
      <t>Analysis and Communications</t>
    </r>
    <r>
      <rPr>
        <sz val="10"/>
        <rFont val="Arial"/>
        <family val="2"/>
      </rPr>
      <t>. Fund short-term technical assistance, policy analysis and outreach to promote 
             participation in, the use and the sustainability of the improved property registration system.</t>
    </r>
  </si>
  <si>
    <t>The Project will work to eliminate the institutional and regulatory barriers preventing productive investment in property in Leon. Eliminating these barriers will contribute to improving the investment climate, reducing land related social conflict, encouraging intelligent management of regional natural resources, and strengthening local government land use planning.</t>
  </si>
  <si>
    <t xml:space="preserve">     The Property Regularization Project ERR incorporates several of these channels as benefits streams, including increases in land values and reduced transactions costs in purchasing and selling land.  For the increase in land values, the average of the relatively lower estimates from Honduras and relatively higher estimates from Nicaragua is used, which gives us a 22% increase. These benefits are consolidated in a cash flow model with a horizon of ten years. Property values are assumed to grow at a constant rate necessary to achieve the full 22% increase by year 10. Regarding saved costs of transactions, each parcel is assumed to be subject to two transactions over the ten year period, occurring in the fifth and the tenth year.  As shown in the “ERR &amp; Sensitivity Analysis” worksheet, the project’s estimated ERR is 29 percent. If we use solely the lower Honduran figures for property value increases (14.56%), the ERR would be 15%.  If we use the higher Nicaraguan estimates, the ERR would be 47%. </t>
  </si>
  <si>
    <t>Exchange Rate (Cordobas/US$)</t>
  </si>
  <si>
    <t>Although the above distributional figure was not part of the Investment Memorandum (IM) ERR calculation, 
it reflects the best information available on parameters as of the IM (5/26/2005)</t>
  </si>
  <si>
    <r>
      <t xml:space="preserve">MCC Estimated ERR </t>
    </r>
    <r>
      <rPr>
        <b/>
        <sz val="8"/>
        <rFont val="Arial"/>
        <family val="2"/>
      </rPr>
      <t>(as of 5/26/2005)</t>
    </r>
    <r>
      <rPr>
        <b/>
        <sz val="10"/>
        <rFont val="Arial"/>
        <family val="2"/>
      </rPr>
      <t>:</t>
    </r>
  </si>
  <si>
    <t>ERR &amp; Sensitivity Analysis</t>
  </si>
  <si>
    <t>29.0% over 10 years</t>
  </si>
  <si>
    <t xml:space="preserve">     In recent years, the Government has taken steps to implement a systematic approach to land title regularization and to advance institutional and legal reforms, including new cadastre and property registration laws that will, if implemented properly, create a platform for significant prgress in this area.  With support from the World Bank and Nordic Development Fund, the Government also has initiated work to modernize the property registration system to clarify rights and to update records so that beneficiaries in the Departments of Chinandega, Esteli and Madriz will have accurate and registered land titles.  MCC Funding will be used to expand these reforms and strengthen property rights in the Leon are through the activities described below.</t>
  </si>
  <si>
    <t xml:space="preserve">     Insecure property rights and high transaction costs in Nicaragua's land market and property registration system restrict enterprise development, investment and income growth, particularly in rural areas.  The shortcomings of Nicaragua's ineffective property registration system are evidenced by the fact that more than sixty percent of all land in Nicaragua is estimated to lack adequate property records.  This lack of secure property rights impedes national and international sources of investment and finance, hindering entrepreneurship and household asset growth.  Land tenure insecurity also is an obstacle to investment in public infrastructure such as streets, electricity, and water and waste services.</t>
  </si>
  <si>
    <t xml:space="preserve">     Recent studies in Nicaragua show that regularizing property rights through land titling and property registration have been associated with a 30% increase in asset values and a 10% increase in the probability of landholders undertaking additional investments in that property. Clearer definition of property rights through improved land titling is expected to benefit the economy through a number of channels: by increasing the private returns to investments on land, by improving the ability to use land to leverage credit, by reducing high costs of land-related transactions, and by reducing the need for defensive expenditures to protect property rights. </t>
  </si>
  <si>
    <t>Reduction in transaction cost per parcel</t>
  </si>
  <si>
    <t>Number of parcels to be regularized by project</t>
  </si>
  <si>
    <r>
      <t>Note:</t>
    </r>
    <r>
      <rPr>
        <sz val="10"/>
        <color indexed="17"/>
        <rFont val="Arial"/>
        <family val="2"/>
      </rPr>
      <t xml:space="preserve"> The spreadsheets reflect the best data available to MCC at the time the project was approved for investment.  Many of the parameters that are used in these pre-investment estimates change over time, so ERRs may not reflect the actual implementation experience. When project designs or model parameters change significantly, MCC may revise these models; updated information will be posted on the MCC website as it becomes available.</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</si>
</sst>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 #,##0_ ;_ * \-#,##0_ ;_ * &quot;-&quot;??_ ;_ @_ "/>
    <numFmt numFmtId="167" formatCode="_ * #,##0.00_ ;_ * \-#,##0.00_ ;_ * &quot;-&quot;??_ ;_ @_ "/>
    <numFmt numFmtId="168" formatCode="_(* #,##0_);_(* \(#,##0\);_(* &quot;-&quot;??_);_(@_)"/>
    <numFmt numFmtId="169" formatCode="0.00_);\(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00000"/>
    <numFmt numFmtId="177" formatCode="&quot;$&quot;#,##0.00"/>
    <numFmt numFmtId="178" formatCode="&quot;$&quot;#,##0"/>
  </numFmts>
  <fonts count="24">
    <font>
      <sz val="10"/>
      <name val="Arial"/>
      <family val="0"/>
    </font>
    <font>
      <b/>
      <sz val="10"/>
      <name val="Arial"/>
      <family val="2"/>
    </font>
    <font>
      <sz val="10"/>
      <color indexed="10"/>
      <name val="Arial"/>
      <family val="0"/>
    </font>
    <font>
      <b/>
      <sz val="11"/>
      <name val="Arial"/>
      <family val="2"/>
    </font>
    <font>
      <i/>
      <sz val="10"/>
      <name val="Arial"/>
      <family val="2"/>
    </font>
    <font>
      <u val="single"/>
      <sz val="10"/>
      <color indexed="12"/>
      <name val="Arial"/>
      <family val="0"/>
    </font>
    <font>
      <u val="single"/>
      <sz val="10"/>
      <color indexed="36"/>
      <name val="Arial"/>
      <family val="0"/>
    </font>
    <font>
      <sz val="12"/>
      <name val="Times New Roman"/>
      <family val="1"/>
    </font>
    <font>
      <sz val="10"/>
      <color indexed="8"/>
      <name val="Arial"/>
      <family val="2"/>
    </font>
    <font>
      <b/>
      <sz val="10"/>
      <color indexed="8"/>
      <name val="Arial"/>
      <family val="2"/>
    </font>
    <font>
      <b/>
      <sz val="16"/>
      <name val="Arial"/>
      <family val="2"/>
    </font>
    <font>
      <sz val="14"/>
      <name val="Arial"/>
      <family val="2"/>
    </font>
    <font>
      <sz val="8"/>
      <name val="Arial"/>
      <family val="0"/>
    </font>
    <font>
      <b/>
      <sz val="12"/>
      <name val="Arial"/>
      <family val="2"/>
    </font>
    <font>
      <b/>
      <sz val="10"/>
      <color indexed="12"/>
      <name val="Arial"/>
      <family val="2"/>
    </font>
    <font>
      <b/>
      <sz val="8"/>
      <name val="Arial"/>
      <family val="2"/>
    </font>
    <font>
      <sz val="10"/>
      <color indexed="12"/>
      <name val="Arial"/>
      <family val="2"/>
    </font>
    <font>
      <sz val="10"/>
      <color indexed="23"/>
      <name val="Arial"/>
      <family val="2"/>
    </font>
    <font>
      <b/>
      <sz val="10"/>
      <color indexed="55"/>
      <name val="Arial"/>
      <family val="2"/>
    </font>
    <font>
      <sz val="12"/>
      <name val="Arial"/>
      <family val="0"/>
    </font>
    <font>
      <b/>
      <sz val="10"/>
      <color indexed="9"/>
      <name val="Arial"/>
      <family val="2"/>
    </font>
    <font>
      <sz val="8"/>
      <color indexed="17"/>
      <name val="Arial"/>
      <family val="2"/>
    </font>
    <font>
      <b/>
      <sz val="10"/>
      <color indexed="17"/>
      <name val="Arial"/>
      <family val="2"/>
    </font>
    <font>
      <sz val="10"/>
      <color indexed="17"/>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s>
  <borders count="91">
    <border>
      <left/>
      <right/>
      <top/>
      <bottom/>
      <diagonal/>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color indexed="63"/>
      </right>
      <top style="medium"/>
      <bottom style="medium">
        <color indexed="9"/>
      </bottom>
    </border>
    <border>
      <left style="thin"/>
      <right style="thin"/>
      <top>
        <color indexed="63"/>
      </top>
      <bottom style="medium"/>
    </border>
    <border>
      <left>
        <color indexed="63"/>
      </left>
      <right style="medium">
        <color indexed="9"/>
      </right>
      <top style="medium"/>
      <bottom>
        <color indexed="63"/>
      </bottom>
    </border>
    <border>
      <left style="medium">
        <color indexed="9"/>
      </left>
      <right style="medium">
        <color indexed="9"/>
      </right>
      <top style="medium"/>
      <bottom>
        <color indexed="63"/>
      </bottom>
    </border>
    <border>
      <left style="medium">
        <color indexed="9"/>
      </left>
      <right>
        <color indexed="63"/>
      </right>
      <top style="medium"/>
      <bottom>
        <color indexed="63"/>
      </bottom>
    </border>
    <border>
      <left style="hair"/>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dashed">
        <color indexed="9"/>
      </left>
      <right style="dashed">
        <color indexed="9"/>
      </right>
      <top style="dashed">
        <color indexed="9"/>
      </top>
      <bottom style="dashed">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style="thin"/>
    </border>
    <border>
      <left>
        <color indexed="63"/>
      </left>
      <right style="double"/>
      <top style="thin"/>
      <bottom style="thin"/>
    </border>
    <border>
      <left style="double"/>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color indexed="63"/>
      </left>
      <right style="double">
        <color indexed="9"/>
      </right>
      <top>
        <color indexed="63"/>
      </top>
      <bottom style="double">
        <color indexed="9"/>
      </bottom>
    </border>
    <border>
      <left style="double">
        <color indexed="9"/>
      </left>
      <right style="medium">
        <color indexed="9"/>
      </right>
      <top>
        <color indexed="63"/>
      </top>
      <bottom style="medium">
        <color indexed="9"/>
      </bottom>
    </border>
    <border>
      <left>
        <color indexed="63"/>
      </left>
      <right style="double">
        <color indexed="9"/>
      </right>
      <top style="double">
        <color indexed="9"/>
      </top>
      <bottom style="double">
        <color indexed="9"/>
      </bottom>
    </border>
    <border>
      <left style="double">
        <color indexed="9"/>
      </left>
      <right style="medium">
        <color indexed="9"/>
      </right>
      <top style="medium">
        <color indexed="9"/>
      </top>
      <bottom style="medium">
        <color indexed="9"/>
      </bottom>
    </border>
    <border>
      <left style="double">
        <color indexed="9"/>
      </left>
      <right style="medium">
        <color indexed="9"/>
      </right>
      <top style="medium">
        <color indexed="9"/>
      </top>
      <bottom style="double">
        <color indexed="9"/>
      </bottom>
    </border>
    <border>
      <left style="double">
        <color indexed="9"/>
      </left>
      <right>
        <color indexed="63"/>
      </right>
      <top style="double">
        <color indexed="9"/>
      </top>
      <bottom style="double">
        <color indexed="9"/>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style="double">
        <color indexed="9"/>
      </right>
      <top style="double">
        <color indexed="9"/>
      </top>
      <bottom>
        <color indexed="63"/>
      </bottom>
    </border>
    <border>
      <left style="double">
        <color indexed="9"/>
      </left>
      <right>
        <color indexed="63"/>
      </right>
      <top style="double">
        <color indexed="9"/>
      </top>
      <bottom>
        <color indexed="63"/>
      </bottom>
    </border>
    <border>
      <left>
        <color indexed="63"/>
      </left>
      <right style="thin">
        <color indexed="9"/>
      </right>
      <top>
        <color indexed="63"/>
      </top>
      <bottom style="thin">
        <color indexed="9"/>
      </bottom>
    </border>
    <border>
      <left style="double"/>
      <right style="thin"/>
      <top style="double"/>
      <bottom style="double"/>
    </border>
    <border>
      <left>
        <color indexed="63"/>
      </left>
      <right style="double"/>
      <top style="double"/>
      <bottom style="double"/>
    </border>
    <border>
      <left style="medium"/>
      <right style="medium">
        <color indexed="9"/>
      </right>
      <top style="medium"/>
      <bottom>
        <color indexed="63"/>
      </bottom>
    </border>
    <border>
      <left style="medium">
        <color indexed="9"/>
      </left>
      <right style="medium"/>
      <top style="medium"/>
      <bottom>
        <color indexed="63"/>
      </botto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style="medium"/>
      <right style="thin">
        <color indexed="9"/>
      </right>
      <top style="thin">
        <color indexed="9"/>
      </top>
      <bottom>
        <color indexed="63"/>
      </bottom>
    </border>
    <border>
      <left style="thin">
        <color indexed="9"/>
      </left>
      <right style="medium"/>
      <top style="thin">
        <color indexed="9"/>
      </top>
      <bottom>
        <color indexed="63"/>
      </bottom>
    </border>
    <border>
      <left style="double"/>
      <right style="thin"/>
      <top>
        <color indexed="63"/>
      </top>
      <bottom style="double"/>
    </border>
    <border>
      <left style="double"/>
      <right style="thin"/>
      <top>
        <color indexed="63"/>
      </top>
      <bottom style="thin"/>
    </border>
    <border>
      <left style="medium"/>
      <right>
        <color indexed="63"/>
      </right>
      <top>
        <color indexed="63"/>
      </top>
      <bottom style="thin"/>
    </border>
  </borders>
  <cellStyleXfs count="24">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1">
    <xf numFmtId="0" fontId="0" fillId="0" borderId="0" xfId="0" applyAlignment="1">
      <alignment/>
    </xf>
    <xf numFmtId="0" fontId="1" fillId="0" borderId="0" xfId="0" applyFont="1" applyAlignment="1">
      <alignmen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left"/>
    </xf>
    <xf numFmtId="0" fontId="1" fillId="0" borderId="5" xfId="0" applyFont="1" applyBorder="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0" fillId="0" borderId="0" xfId="0" applyFont="1" applyAlignment="1">
      <alignment/>
    </xf>
    <xf numFmtId="0" fontId="0" fillId="2" borderId="0" xfId="0" applyFont="1" applyFill="1" applyAlignment="1">
      <alignment/>
    </xf>
    <xf numFmtId="0" fontId="0" fillId="2" borderId="0" xfId="0" applyFill="1" applyAlignment="1">
      <alignment/>
    </xf>
    <xf numFmtId="0" fontId="0" fillId="2" borderId="8" xfId="0" applyFont="1" applyFill="1" applyBorder="1" applyAlignment="1">
      <alignment wrapText="1"/>
    </xf>
    <xf numFmtId="0" fontId="0" fillId="2" borderId="1" xfId="0" applyFont="1" applyFill="1" applyBorder="1" applyAlignment="1">
      <alignment wrapText="1"/>
    </xf>
    <xf numFmtId="0" fontId="0" fillId="2" borderId="9" xfId="0"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horizontal="right"/>
    </xf>
    <xf numFmtId="10" fontId="0" fillId="2" borderId="1" xfId="0" applyNumberFormat="1" applyFont="1" applyFill="1" applyBorder="1" applyAlignment="1">
      <alignment horizontal="right"/>
    </xf>
    <xf numFmtId="10" fontId="0" fillId="2" borderId="0" xfId="0" applyNumberFormat="1" applyFill="1" applyAlignment="1">
      <alignment/>
    </xf>
    <xf numFmtId="0" fontId="0" fillId="2" borderId="10" xfId="0" applyFont="1" applyFill="1" applyBorder="1" applyAlignment="1">
      <alignment/>
    </xf>
    <xf numFmtId="0" fontId="0" fillId="2" borderId="2" xfId="0" applyFont="1" applyFill="1" applyBorder="1" applyAlignment="1">
      <alignment/>
    </xf>
    <xf numFmtId="0" fontId="0" fillId="2" borderId="11" xfId="0" applyFont="1" applyFill="1" applyBorder="1" applyAlignment="1">
      <alignment/>
    </xf>
    <xf numFmtId="0" fontId="0" fillId="2" borderId="2" xfId="0" applyFont="1" applyFill="1" applyBorder="1" applyAlignment="1">
      <alignment horizontal="right"/>
    </xf>
    <xf numFmtId="10" fontId="0" fillId="2" borderId="2" xfId="0" applyNumberFormat="1" applyFont="1" applyFill="1" applyBorder="1" applyAlignment="1">
      <alignment horizontal="right"/>
    </xf>
    <xf numFmtId="0" fontId="0" fillId="2" borderId="3" xfId="0" applyFont="1" applyFill="1" applyBorder="1" applyAlignment="1">
      <alignment/>
    </xf>
    <xf numFmtId="0" fontId="0" fillId="2" borderId="12" xfId="0" applyFont="1" applyFill="1" applyBorder="1" applyAlignment="1">
      <alignment/>
    </xf>
    <xf numFmtId="0" fontId="0" fillId="2" borderId="7" xfId="0" applyFont="1" applyFill="1" applyBorder="1" applyAlignment="1">
      <alignment/>
    </xf>
    <xf numFmtId="0" fontId="0" fillId="2" borderId="0" xfId="0" applyFont="1" applyFill="1" applyBorder="1" applyAlignment="1">
      <alignment/>
    </xf>
    <xf numFmtId="0" fontId="0" fillId="2" borderId="4" xfId="0" applyFont="1" applyFill="1" applyBorder="1" applyAlignment="1">
      <alignment/>
    </xf>
    <xf numFmtId="0" fontId="0" fillId="2" borderId="3" xfId="0" applyFill="1" applyBorder="1" applyAlignment="1">
      <alignment/>
    </xf>
    <xf numFmtId="0" fontId="0" fillId="2" borderId="0" xfId="0" applyFill="1" applyBorder="1" applyAlignment="1">
      <alignment/>
    </xf>
    <xf numFmtId="10" fontId="0" fillId="2" borderId="4" xfId="0" applyNumberFormat="1" applyFont="1" applyFill="1" applyBorder="1" applyAlignment="1">
      <alignment/>
    </xf>
    <xf numFmtId="10" fontId="2" fillId="2" borderId="4" xfId="0" applyNumberFormat="1" applyFont="1" applyFill="1" applyBorder="1" applyAlignment="1">
      <alignment/>
    </xf>
    <xf numFmtId="0" fontId="0" fillId="2" borderId="4" xfId="0" applyFont="1" applyFill="1" applyBorder="1" applyAlignment="1">
      <alignment horizontal="right"/>
    </xf>
    <xf numFmtId="0" fontId="0" fillId="2" borderId="9" xfId="0" applyFont="1" applyFill="1" applyBorder="1" applyAlignment="1">
      <alignment horizontal="right"/>
    </xf>
    <xf numFmtId="0" fontId="0" fillId="2" borderId="13" xfId="0" applyFont="1" applyFill="1" applyBorder="1" applyAlignment="1">
      <alignment horizontal="right"/>
    </xf>
    <xf numFmtId="0" fontId="0" fillId="2" borderId="10" xfId="0" applyFont="1" applyFill="1" applyBorder="1" applyAlignment="1">
      <alignment horizontal="right"/>
    </xf>
    <xf numFmtId="0" fontId="1" fillId="2" borderId="14" xfId="0" applyFont="1" applyFill="1" applyBorder="1" applyAlignment="1">
      <alignment horizontal="right"/>
    </xf>
    <xf numFmtId="0" fontId="0" fillId="2" borderId="15" xfId="0" applyFont="1" applyFill="1" applyBorder="1" applyAlignment="1">
      <alignment horizontal="right"/>
    </xf>
    <xf numFmtId="0" fontId="1" fillId="2" borderId="16" xfId="0" applyFont="1" applyFill="1" applyBorder="1" applyAlignment="1">
      <alignment horizontal="right"/>
    </xf>
    <xf numFmtId="0" fontId="0" fillId="2" borderId="17" xfId="0" applyFont="1" applyFill="1" applyBorder="1" applyAlignment="1">
      <alignment horizontal="right"/>
    </xf>
    <xf numFmtId="0" fontId="0" fillId="2" borderId="18" xfId="0" applyFont="1" applyFill="1" applyBorder="1" applyAlignment="1">
      <alignment horizontal="right"/>
    </xf>
    <xf numFmtId="0" fontId="0" fillId="2" borderId="0" xfId="0" applyFont="1" applyFill="1" applyBorder="1" applyAlignment="1">
      <alignment horizontal="right"/>
    </xf>
    <xf numFmtId="0" fontId="0" fillId="2" borderId="8" xfId="0" applyFont="1" applyFill="1" applyBorder="1" applyAlignment="1">
      <alignment/>
    </xf>
    <xf numFmtId="0" fontId="0" fillId="2" borderId="19" xfId="0" applyFont="1" applyFill="1" applyBorder="1" applyAlignment="1">
      <alignment/>
    </xf>
    <xf numFmtId="0" fontId="0" fillId="2" borderId="15" xfId="0" applyFont="1" applyFill="1" applyBorder="1" applyAlignment="1">
      <alignment/>
    </xf>
    <xf numFmtId="0" fontId="0" fillId="2" borderId="20" xfId="0" applyFont="1" applyFill="1" applyBorder="1" applyAlignment="1">
      <alignment/>
    </xf>
    <xf numFmtId="3" fontId="0" fillId="2" borderId="16" xfId="0" applyNumberFormat="1" applyFont="1" applyFill="1" applyBorder="1" applyAlignment="1">
      <alignment horizontal="right"/>
    </xf>
    <xf numFmtId="0" fontId="0" fillId="2" borderId="21" xfId="0" applyFont="1" applyFill="1" applyBorder="1" applyAlignment="1">
      <alignment horizontal="right"/>
    </xf>
    <xf numFmtId="0" fontId="0" fillId="2" borderId="22" xfId="0" applyFont="1" applyFill="1" applyBorder="1" applyAlignment="1">
      <alignment horizontal="right"/>
    </xf>
    <xf numFmtId="3" fontId="0" fillId="2" borderId="1" xfId="0" applyNumberFormat="1" applyFont="1" applyFill="1" applyBorder="1" applyAlignment="1">
      <alignment horizontal="right"/>
    </xf>
    <xf numFmtId="3" fontId="0" fillId="2" borderId="13"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0" xfId="0" applyNumberFormat="1" applyFill="1" applyAlignment="1">
      <alignment/>
    </xf>
    <xf numFmtId="3" fontId="0" fillId="2" borderId="6" xfId="0" applyNumberFormat="1" applyFont="1" applyFill="1" applyBorder="1" applyAlignment="1">
      <alignment horizontal="right"/>
    </xf>
    <xf numFmtId="2" fontId="0" fillId="2" borderId="0" xfId="0" applyNumberForma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 fillId="2" borderId="23" xfId="0" applyFont="1" applyFill="1" applyBorder="1" applyAlignment="1">
      <alignment/>
    </xf>
    <xf numFmtId="0" fontId="1" fillId="2" borderId="24" xfId="0" applyFont="1" applyFill="1" applyBorder="1" applyAlignment="1">
      <alignment/>
    </xf>
    <xf numFmtId="0" fontId="1" fillId="2" borderId="24" xfId="0" applyFont="1" applyFill="1" applyBorder="1" applyAlignment="1">
      <alignment horizontal="right"/>
    </xf>
    <xf numFmtId="0" fontId="1" fillId="2" borderId="19" xfId="0" applyFont="1" applyFill="1" applyBorder="1" applyAlignment="1">
      <alignment horizontal="right"/>
    </xf>
    <xf numFmtId="2" fontId="0" fillId="2" borderId="25" xfId="0" applyNumberFormat="1" applyFill="1" applyBorder="1" applyAlignment="1">
      <alignment/>
    </xf>
    <xf numFmtId="0" fontId="0" fillId="2" borderId="26" xfId="0" applyFill="1" applyBorder="1" applyAlignment="1">
      <alignment/>
    </xf>
    <xf numFmtId="9" fontId="0" fillId="2" borderId="26" xfId="0" applyNumberFormat="1" applyFill="1" applyBorder="1" applyAlignment="1">
      <alignment/>
    </xf>
    <xf numFmtId="0" fontId="0" fillId="2" borderId="7" xfId="0" applyFill="1" applyBorder="1" applyAlignment="1">
      <alignment/>
    </xf>
    <xf numFmtId="44" fontId="0" fillId="2" borderId="0" xfId="0" applyNumberFormat="1" applyFill="1" applyBorder="1" applyAlignment="1">
      <alignment/>
    </xf>
    <xf numFmtId="0" fontId="0" fillId="2" borderId="8" xfId="0" applyFill="1" applyBorder="1" applyAlignment="1">
      <alignment/>
    </xf>
    <xf numFmtId="0" fontId="0" fillId="2" borderId="19" xfId="0" applyFill="1" applyBorder="1" applyAlignment="1">
      <alignment/>
    </xf>
    <xf numFmtId="2" fontId="0" fillId="2" borderId="19" xfId="0" applyNumberFormat="1" applyFill="1" applyBorder="1" applyAlignment="1">
      <alignment/>
    </xf>
    <xf numFmtId="44" fontId="0" fillId="2" borderId="0" xfId="18" applyFill="1" applyBorder="1" applyAlignment="1">
      <alignment/>
    </xf>
    <xf numFmtId="44" fontId="0" fillId="2" borderId="4" xfId="18" applyFill="1" applyBorder="1" applyAlignment="1">
      <alignment/>
    </xf>
    <xf numFmtId="44" fontId="0" fillId="2" borderId="7" xfId="18" applyFill="1" applyBorder="1" applyAlignment="1">
      <alignment/>
    </xf>
    <xf numFmtId="44" fontId="0" fillId="2" borderId="6" xfId="18" applyFill="1" applyBorder="1" applyAlignment="1">
      <alignment/>
    </xf>
    <xf numFmtId="0" fontId="1" fillId="2" borderId="27" xfId="0" applyFont="1" applyFill="1" applyBorder="1" applyAlignment="1">
      <alignment horizontal="right"/>
    </xf>
    <xf numFmtId="2" fontId="0" fillId="2" borderId="4" xfId="0" applyNumberFormat="1" applyFill="1" applyBorder="1" applyAlignment="1">
      <alignment/>
    </xf>
    <xf numFmtId="0" fontId="0" fillId="2" borderId="28" xfId="0" applyFill="1" applyBorder="1" applyAlignment="1">
      <alignment/>
    </xf>
    <xf numFmtId="0" fontId="0" fillId="2" borderId="20" xfId="0" applyFill="1" applyBorder="1" applyAlignment="1">
      <alignment/>
    </xf>
    <xf numFmtId="2" fontId="0" fillId="2" borderId="20" xfId="0" applyNumberFormat="1" applyFill="1" applyBorder="1" applyAlignment="1">
      <alignment/>
    </xf>
    <xf numFmtId="0" fontId="0" fillId="2" borderId="29" xfId="0" applyFont="1" applyFill="1" applyBorder="1" applyAlignment="1">
      <alignment/>
    </xf>
    <xf numFmtId="10" fontId="2" fillId="2" borderId="19" xfId="0" applyNumberFormat="1" applyFont="1" applyFill="1" applyBorder="1" applyAlignment="1">
      <alignment/>
    </xf>
    <xf numFmtId="10" fontId="0" fillId="2" borderId="6" xfId="0" applyNumberFormat="1" applyFill="1" applyBorder="1" applyAlignment="1">
      <alignment/>
    </xf>
    <xf numFmtId="10" fontId="0" fillId="2" borderId="4" xfId="0" applyNumberFormat="1" applyFill="1" applyBorder="1" applyAlignment="1">
      <alignment/>
    </xf>
    <xf numFmtId="2" fontId="0" fillId="2" borderId="16" xfId="0" applyNumberFormat="1" applyFill="1" applyBorder="1" applyAlignment="1">
      <alignment/>
    </xf>
    <xf numFmtId="0" fontId="0" fillId="2" borderId="30" xfId="0" applyFill="1" applyBorder="1" applyAlignment="1">
      <alignment/>
    </xf>
    <xf numFmtId="0" fontId="0" fillId="2" borderId="27" xfId="0" applyFont="1" applyFill="1" applyBorder="1" applyAlignment="1">
      <alignment/>
    </xf>
    <xf numFmtId="0" fontId="1" fillId="2" borderId="22" xfId="0" applyFont="1" applyFill="1" applyBorder="1" applyAlignment="1">
      <alignment horizontal="right"/>
    </xf>
    <xf numFmtId="2" fontId="0" fillId="2" borderId="13" xfId="0" applyNumberFormat="1" applyFill="1" applyBorder="1" applyAlignment="1">
      <alignment/>
    </xf>
    <xf numFmtId="2" fontId="0" fillId="2" borderId="3" xfId="0" applyNumberFormat="1" applyFill="1" applyBorder="1" applyAlignment="1">
      <alignment/>
    </xf>
    <xf numFmtId="0" fontId="16" fillId="0" borderId="12" xfId="21" applyFont="1" applyBorder="1" applyAlignment="1">
      <alignment vertical="center"/>
    </xf>
    <xf numFmtId="0" fontId="16" fillId="0" borderId="2" xfId="21" applyFont="1" applyBorder="1" applyAlignment="1">
      <alignment vertical="center"/>
    </xf>
    <xf numFmtId="0" fontId="18" fillId="0" borderId="2" xfId="0" applyFont="1" applyFill="1" applyBorder="1" applyAlignment="1">
      <alignment horizontal="center" vertical="center" wrapText="1"/>
    </xf>
    <xf numFmtId="0" fontId="17" fillId="0" borderId="31" xfId="0" applyFont="1" applyFill="1" applyBorder="1" applyAlignment="1">
      <alignment/>
    </xf>
    <xf numFmtId="0" fontId="17" fillId="0" borderId="32" xfId="0" applyFont="1" applyFill="1" applyBorder="1" applyAlignment="1">
      <alignment vertical="center"/>
    </xf>
    <xf numFmtId="0" fontId="0" fillId="2" borderId="33" xfId="0" applyFill="1" applyBorder="1" applyAlignment="1">
      <alignment/>
    </xf>
    <xf numFmtId="0" fontId="0" fillId="2" borderId="34" xfId="0" applyFill="1" applyBorder="1" applyAlignment="1">
      <alignment/>
    </xf>
    <xf numFmtId="0" fontId="0" fillId="2" borderId="35" xfId="0" applyFill="1" applyBorder="1" applyAlignment="1">
      <alignment/>
    </xf>
    <xf numFmtId="0" fontId="2" fillId="2" borderId="0" xfId="0" applyFont="1" applyFill="1" applyAlignment="1">
      <alignment/>
    </xf>
    <xf numFmtId="3" fontId="0" fillId="2" borderId="2" xfId="0" applyNumberFormat="1" applyFont="1" applyFill="1" applyBorder="1" applyAlignment="1">
      <alignment horizontal="right"/>
    </xf>
    <xf numFmtId="3" fontId="0" fillId="2" borderId="36" xfId="0" applyNumberFormat="1" applyFont="1" applyFill="1" applyBorder="1" applyAlignment="1">
      <alignment horizontal="right"/>
    </xf>
    <xf numFmtId="0" fontId="0" fillId="2" borderId="37" xfId="0" applyFill="1" applyBorder="1" applyAlignment="1">
      <alignment/>
    </xf>
    <xf numFmtId="0" fontId="0" fillId="2" borderId="38" xfId="0" applyFill="1" applyBorder="1" applyAlignment="1">
      <alignment/>
    </xf>
    <xf numFmtId="44" fontId="0" fillId="2" borderId="38" xfId="18" applyFill="1" applyBorder="1" applyAlignment="1">
      <alignment/>
    </xf>
    <xf numFmtId="44" fontId="0" fillId="2" borderId="39" xfId="18" applyFill="1" applyBorder="1" applyAlignment="1">
      <alignment/>
    </xf>
    <xf numFmtId="43" fontId="0" fillId="2" borderId="0" xfId="0" applyNumberFormat="1" applyFill="1" applyBorder="1" applyAlignment="1">
      <alignment horizontal="right"/>
    </xf>
    <xf numFmtId="43" fontId="0" fillId="2" borderId="0" xfId="0" applyNumberFormat="1" applyFill="1" applyBorder="1" applyAlignment="1">
      <alignment/>
    </xf>
    <xf numFmtId="0" fontId="0" fillId="0" borderId="0" xfId="0" applyBorder="1" applyAlignment="1">
      <alignment vertical="center"/>
    </xf>
    <xf numFmtId="0" fontId="16" fillId="0" borderId="0" xfId="21" applyFont="1" applyBorder="1" applyAlignment="1">
      <alignment vertical="center"/>
    </xf>
    <xf numFmtId="2"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40" xfId="0" applyBorder="1" applyAlignment="1">
      <alignment vertical="center"/>
    </xf>
    <xf numFmtId="0" fontId="0" fillId="2" borderId="0" xfId="0" applyFill="1"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9" fontId="0" fillId="0" borderId="0" xfId="0" applyNumberFormat="1" applyBorder="1" applyAlignment="1">
      <alignment horizontal="center" vertical="center"/>
    </xf>
    <xf numFmtId="0" fontId="0" fillId="0" borderId="0" xfId="0" applyBorder="1" applyAlignment="1">
      <alignment horizontal="center" vertical="center"/>
    </xf>
    <xf numFmtId="2" fontId="0" fillId="2" borderId="0" xfId="0" applyNumberFormat="1" applyFill="1" applyBorder="1" applyAlignment="1">
      <alignment vertical="center"/>
    </xf>
    <xf numFmtId="3" fontId="0" fillId="0" borderId="0" xfId="0" applyNumberForma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Border="1" applyAlignment="1">
      <alignment horizontal="right" vertical="center"/>
    </xf>
    <xf numFmtId="2" fontId="0" fillId="0" borderId="0" xfId="0" applyNumberFormat="1" applyBorder="1" applyAlignment="1">
      <alignment vertical="center"/>
    </xf>
    <xf numFmtId="10" fontId="0" fillId="2" borderId="0" xfId="0" applyNumberFormat="1" applyFill="1" applyBorder="1" applyAlignment="1">
      <alignment vertical="center"/>
    </xf>
    <xf numFmtId="0" fontId="1" fillId="2" borderId="0" xfId="0" applyFont="1" applyFill="1" applyBorder="1" applyAlignment="1">
      <alignment horizontal="right" vertical="center"/>
    </xf>
    <xf numFmtId="0" fontId="1" fillId="2" borderId="0" xfId="0" applyFont="1" applyFill="1" applyBorder="1" applyAlignment="1">
      <alignment vertical="center"/>
    </xf>
    <xf numFmtId="43" fontId="0" fillId="2" borderId="0" xfId="0" applyNumberFormat="1" applyFill="1" applyBorder="1" applyAlignment="1">
      <alignment vertical="center"/>
    </xf>
    <xf numFmtId="43" fontId="0" fillId="2" borderId="0" xfId="0" applyNumberFormat="1" applyFill="1" applyBorder="1" applyAlignment="1">
      <alignment horizontal="right" vertical="center"/>
    </xf>
    <xf numFmtId="169" fontId="0" fillId="2" borderId="0" xfId="0" applyNumberFormat="1" applyFill="1" applyBorder="1" applyAlignment="1">
      <alignment vertical="center"/>
    </xf>
    <xf numFmtId="9" fontId="0" fillId="2" borderId="0" xfId="0" applyNumberFormat="1" applyFill="1" applyBorder="1" applyAlignment="1">
      <alignment vertical="center"/>
    </xf>
    <xf numFmtId="44" fontId="0" fillId="2" borderId="0" xfId="0" applyNumberFormat="1" applyFill="1" applyBorder="1" applyAlignment="1">
      <alignment vertical="center"/>
    </xf>
    <xf numFmtId="44" fontId="0" fillId="2" borderId="0" xfId="18" applyFill="1" applyBorder="1" applyAlignment="1">
      <alignment vertical="center"/>
    </xf>
    <xf numFmtId="0" fontId="3" fillId="2" borderId="0" xfId="0" applyFont="1" applyFill="1" applyBorder="1" applyAlignment="1">
      <alignment horizontal="center" vertical="center"/>
    </xf>
    <xf numFmtId="9" fontId="0" fillId="0" borderId="0" xfId="0" applyNumberFormat="1" applyBorder="1" applyAlignment="1">
      <alignment vertical="center"/>
    </xf>
    <xf numFmtId="0" fontId="0" fillId="0" borderId="9" xfId="0" applyBorder="1" applyAlignment="1">
      <alignment vertical="center"/>
    </xf>
    <xf numFmtId="0" fontId="0" fillId="0" borderId="41" xfId="0" applyBorder="1" applyAlignment="1">
      <alignment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14" fillId="0" borderId="4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 xfId="0" applyBorder="1" applyAlignment="1">
      <alignment vertical="center" wrapText="1"/>
    </xf>
    <xf numFmtId="0" fontId="0" fillId="0" borderId="12" xfId="0" applyBorder="1" applyAlignment="1">
      <alignment horizontal="left" vertical="center"/>
    </xf>
    <xf numFmtId="9" fontId="0" fillId="0" borderId="1" xfId="0" applyNumberFormat="1" applyBorder="1" applyAlignment="1">
      <alignment horizontal="center" vertical="center"/>
    </xf>
    <xf numFmtId="3" fontId="0" fillId="0" borderId="12" xfId="0" applyNumberFormat="1" applyBorder="1" applyAlignment="1">
      <alignment horizontal="center" vertical="center"/>
    </xf>
    <xf numFmtId="9" fontId="0" fillId="3" borderId="1" xfId="0" applyNumberFormat="1" applyFill="1" applyBorder="1" applyAlignment="1">
      <alignment horizontal="center" vertical="center"/>
    </xf>
    <xf numFmtId="0" fontId="0" fillId="0" borderId="2" xfId="0" applyBorder="1" applyAlignment="1">
      <alignment vertical="center" wrapText="1"/>
    </xf>
    <xf numFmtId="9" fontId="0" fillId="0" borderId="2" xfId="0" applyNumberFormat="1" applyBorder="1" applyAlignment="1">
      <alignment horizontal="center" vertical="center"/>
    </xf>
    <xf numFmtId="9" fontId="0" fillId="0" borderId="11" xfId="0" applyNumberFormat="1" applyBorder="1" applyAlignment="1">
      <alignment horizontal="center" vertical="center"/>
    </xf>
    <xf numFmtId="9" fontId="0" fillId="3" borderId="2" xfId="0" applyNumberFormat="1" applyFill="1" applyBorder="1" applyAlignment="1">
      <alignment horizontal="center" vertical="center"/>
    </xf>
    <xf numFmtId="0" fontId="0" fillId="2" borderId="1" xfId="0" applyFont="1" applyFill="1" applyBorder="1" applyAlignment="1">
      <alignment vertical="center"/>
    </xf>
    <xf numFmtId="10" fontId="0" fillId="2" borderId="1" xfId="0" applyNumberFormat="1" applyFont="1" applyFill="1" applyBorder="1" applyAlignment="1">
      <alignment horizontal="center" vertical="center"/>
    </xf>
    <xf numFmtId="0" fontId="0" fillId="2" borderId="25" xfId="0" applyFont="1" applyFill="1" applyBorder="1" applyAlignment="1">
      <alignment horizontal="center" vertical="center"/>
    </xf>
    <xf numFmtId="10" fontId="0" fillId="3" borderId="1"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9" fontId="14" fillId="4" borderId="0" xfId="0" applyNumberFormat="1" applyFont="1" applyFill="1" applyBorder="1" applyAlignment="1">
      <alignment horizontal="center" vertical="center"/>
    </xf>
    <xf numFmtId="9" fontId="14" fillId="4" borderId="11"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10" fontId="14" fillId="4" borderId="25" xfId="0" applyNumberFormat="1" applyFont="1" applyFill="1" applyBorder="1" applyAlignment="1">
      <alignment horizontal="center" vertical="center"/>
    </xf>
    <xf numFmtId="3" fontId="14" fillId="4" borderId="0" xfId="0" applyNumberFormat="1" applyFont="1" applyFill="1" applyBorder="1" applyAlignment="1">
      <alignment horizontal="center" vertical="center"/>
    </xf>
    <xf numFmtId="164" fontId="20" fillId="5" borderId="42" xfId="0" applyNumberFormat="1" applyFont="1" applyFill="1" applyBorder="1" applyAlignment="1">
      <alignment horizontal="center" vertical="center"/>
    </xf>
    <xf numFmtId="164" fontId="0" fillId="0" borderId="0" xfId="0" applyNumberFormat="1" applyBorder="1" applyAlignment="1">
      <alignment horizontal="center" vertical="center"/>
    </xf>
    <xf numFmtId="164" fontId="0" fillId="0" borderId="42" xfId="0" applyNumberFormat="1" applyBorder="1" applyAlignment="1">
      <alignment horizontal="center" vertical="center"/>
    </xf>
    <xf numFmtId="0" fontId="0" fillId="0" borderId="12" xfId="0" applyFont="1" applyBorder="1" applyAlignment="1">
      <alignment vertical="center"/>
    </xf>
    <xf numFmtId="0" fontId="20" fillId="0" borderId="0" xfId="0" applyFont="1" applyBorder="1" applyAlignment="1">
      <alignment horizontal="center" vertical="center"/>
    </xf>
    <xf numFmtId="0" fontId="0" fillId="0" borderId="2" xfId="0" applyFont="1" applyBorder="1" applyAlignment="1">
      <alignment horizontal="left" vertical="center"/>
    </xf>
    <xf numFmtId="0" fontId="17" fillId="0" borderId="1" xfId="0" applyFont="1" applyBorder="1" applyAlignment="1">
      <alignment horizontal="center" vertical="center" wrapText="1"/>
    </xf>
    <xf numFmtId="0" fontId="0" fillId="0" borderId="0" xfId="0" applyFont="1" applyBorder="1" applyAlignment="1">
      <alignment horizontal="left" vertical="center"/>
    </xf>
    <xf numFmtId="2" fontId="14" fillId="0" borderId="0" xfId="0" applyNumberFormat="1" applyFont="1" applyFill="1" applyBorder="1" applyAlignment="1">
      <alignment horizontal="center" vertical="center"/>
    </xf>
    <xf numFmtId="168" fontId="16" fillId="2" borderId="4" xfId="15" applyNumberFormat="1" applyFont="1" applyFill="1" applyBorder="1" applyAlignment="1">
      <alignment/>
    </xf>
    <xf numFmtId="0" fontId="16" fillId="2" borderId="4" xfId="0" applyFont="1" applyFill="1" applyBorder="1" applyAlignment="1">
      <alignment/>
    </xf>
    <xf numFmtId="0" fontId="0" fillId="2" borderId="43" xfId="0" applyFill="1" applyBorder="1" applyAlignment="1">
      <alignment/>
    </xf>
    <xf numFmtId="0" fontId="0" fillId="2" borderId="44" xfId="0" applyFill="1" applyBorder="1" applyAlignment="1">
      <alignment/>
    </xf>
    <xf numFmtId="0" fontId="16" fillId="2" borderId="45" xfId="0" applyFont="1" applyFill="1" applyBorder="1" applyAlignment="1">
      <alignment/>
    </xf>
    <xf numFmtId="0" fontId="0" fillId="0" borderId="12" xfId="0" applyFont="1" applyBorder="1" applyAlignment="1">
      <alignment/>
    </xf>
    <xf numFmtId="3" fontId="0" fillId="0" borderId="12" xfId="0" applyNumberFormat="1" applyFont="1" applyBorder="1" applyAlignment="1">
      <alignment/>
    </xf>
    <xf numFmtId="17" fontId="0" fillId="0" borderId="12" xfId="0" applyNumberFormat="1" applyFont="1" applyBorder="1" applyAlignment="1">
      <alignment/>
    </xf>
    <xf numFmtId="0" fontId="0" fillId="0" borderId="2" xfId="0" applyFont="1" applyBorder="1" applyAlignment="1">
      <alignment/>
    </xf>
    <xf numFmtId="3" fontId="0" fillId="0" borderId="2" xfId="0" applyNumberFormat="1" applyFont="1" applyBorder="1" applyAlignment="1">
      <alignment/>
    </xf>
    <xf numFmtId="0" fontId="0" fillId="0" borderId="12" xfId="0" applyFont="1" applyFill="1" applyBorder="1" applyAlignment="1">
      <alignment/>
    </xf>
    <xf numFmtId="3" fontId="0" fillId="0" borderId="0" xfId="0" applyNumberFormat="1" applyFont="1" applyAlignment="1">
      <alignment/>
    </xf>
    <xf numFmtId="0" fontId="0" fillId="0" borderId="8" xfId="0" applyFont="1" applyBorder="1" applyAlignment="1">
      <alignment wrapText="1"/>
    </xf>
    <xf numFmtId="0" fontId="0" fillId="0" borderId="3" xfId="0" applyFont="1" applyBorder="1" applyAlignment="1">
      <alignment/>
    </xf>
    <xf numFmtId="164" fontId="0" fillId="0" borderId="3" xfId="23" applyNumberFormat="1" applyFont="1" applyBorder="1" applyAlignment="1">
      <alignment/>
    </xf>
    <xf numFmtId="9" fontId="0" fillId="0" borderId="4" xfId="23" applyFont="1" applyBorder="1" applyAlignment="1">
      <alignment/>
    </xf>
    <xf numFmtId="3" fontId="0" fillId="0" borderId="0" xfId="0" applyNumberFormat="1" applyFont="1" applyBorder="1" applyAlignment="1">
      <alignment/>
    </xf>
    <xf numFmtId="165" fontId="0" fillId="0" borderId="3" xfId="0" applyNumberFormat="1" applyFont="1" applyFill="1" applyBorder="1" applyAlignment="1">
      <alignment/>
    </xf>
    <xf numFmtId="166" fontId="0" fillId="0" borderId="4" xfId="17" applyNumberFormat="1" applyFont="1" applyFill="1" applyBorder="1" applyAlignment="1">
      <alignment/>
    </xf>
    <xf numFmtId="3" fontId="0" fillId="0" borderId="4" xfId="0" applyNumberFormat="1" applyFont="1" applyBorder="1" applyAlignment="1">
      <alignment/>
    </xf>
    <xf numFmtId="17" fontId="0" fillId="0" borderId="3" xfId="0" applyNumberFormat="1" applyFont="1" applyBorder="1" applyAlignment="1">
      <alignment/>
    </xf>
    <xf numFmtId="0" fontId="0" fillId="4" borderId="3" xfId="0" applyFont="1" applyFill="1" applyBorder="1" applyAlignment="1">
      <alignment/>
    </xf>
    <xf numFmtId="164" fontId="0" fillId="4" borderId="3" xfId="23" applyNumberFormat="1" applyFont="1" applyFill="1" applyBorder="1" applyAlignment="1">
      <alignment/>
    </xf>
    <xf numFmtId="9" fontId="0" fillId="4" borderId="4" xfId="23" applyFont="1" applyFill="1" applyBorder="1" applyAlignment="1">
      <alignment/>
    </xf>
    <xf numFmtId="3" fontId="0" fillId="4" borderId="0" xfId="0" applyNumberFormat="1" applyFont="1" applyFill="1" applyBorder="1" applyAlignment="1">
      <alignment/>
    </xf>
    <xf numFmtId="165" fontId="0" fillId="4" borderId="3" xfId="0" applyNumberFormat="1" applyFont="1" applyFill="1" applyBorder="1" applyAlignment="1">
      <alignment/>
    </xf>
    <xf numFmtId="166" fontId="0" fillId="4" borderId="4" xfId="17" applyNumberFormat="1" applyFont="1" applyFill="1" applyBorder="1" applyAlignment="1">
      <alignment/>
    </xf>
    <xf numFmtId="3" fontId="0" fillId="4" borderId="4" xfId="0" applyNumberFormat="1" applyFont="1" applyFill="1" applyBorder="1" applyAlignment="1">
      <alignment/>
    </xf>
    <xf numFmtId="0" fontId="0" fillId="0" borderId="8" xfId="0" applyFont="1" applyBorder="1" applyAlignment="1">
      <alignment/>
    </xf>
    <xf numFmtId="4" fontId="0" fillId="0" borderId="8" xfId="0" applyNumberFormat="1" applyFont="1" applyBorder="1" applyAlignment="1">
      <alignment/>
    </xf>
    <xf numFmtId="0" fontId="0" fillId="0" borderId="22" xfId="0" applyFont="1" applyBorder="1" applyAlignment="1">
      <alignment/>
    </xf>
    <xf numFmtId="3" fontId="0" fillId="0" borderId="19" xfId="0" applyNumberFormat="1" applyFont="1" applyBorder="1" applyAlignment="1">
      <alignment/>
    </xf>
    <xf numFmtId="3" fontId="0" fillId="0" borderId="22" xfId="0" applyNumberFormat="1" applyFont="1" applyBorder="1" applyAlignment="1">
      <alignment/>
    </xf>
    <xf numFmtId="0" fontId="0" fillId="0" borderId="0" xfId="0" applyFont="1" applyBorder="1" applyAlignment="1">
      <alignment/>
    </xf>
    <xf numFmtId="9" fontId="0" fillId="0" borderId="3" xfId="23" applyFont="1" applyBorder="1" applyAlignment="1">
      <alignment/>
    </xf>
    <xf numFmtId="166" fontId="0" fillId="0" borderId="3" xfId="17" applyNumberFormat="1" applyFont="1" applyBorder="1" applyAlignment="1">
      <alignment/>
    </xf>
    <xf numFmtId="0" fontId="0" fillId="0" borderId="4" xfId="0" applyFont="1" applyBorder="1" applyAlignment="1">
      <alignment/>
    </xf>
    <xf numFmtId="0" fontId="0" fillId="0" borderId="5" xfId="0" applyFont="1" applyBorder="1" applyAlignment="1">
      <alignment/>
    </xf>
    <xf numFmtId="9" fontId="0" fillId="0" borderId="5" xfId="23" applyFont="1" applyBorder="1" applyAlignment="1">
      <alignment/>
    </xf>
    <xf numFmtId="9" fontId="0" fillId="0" borderId="6" xfId="23" applyFont="1" applyBorder="1" applyAlignment="1">
      <alignment/>
    </xf>
    <xf numFmtId="3" fontId="0" fillId="0" borderId="7" xfId="0" applyNumberFormat="1" applyFont="1" applyBorder="1" applyAlignment="1">
      <alignment/>
    </xf>
    <xf numFmtId="3" fontId="0" fillId="0" borderId="6" xfId="0" applyNumberFormat="1" applyFont="1" applyBorder="1" applyAlignment="1">
      <alignment/>
    </xf>
    <xf numFmtId="0" fontId="0" fillId="4" borderId="12" xfId="0" applyFont="1" applyFill="1" applyBorder="1" applyAlignment="1">
      <alignment/>
    </xf>
    <xf numFmtId="0" fontId="0" fillId="6" borderId="12" xfId="0" applyFont="1" applyFill="1" applyBorder="1" applyAlignment="1">
      <alignment/>
    </xf>
    <xf numFmtId="165" fontId="0" fillId="0" borderId="0" xfId="0" applyNumberFormat="1" applyFont="1" applyAlignment="1">
      <alignment/>
    </xf>
    <xf numFmtId="0" fontId="0" fillId="0" borderId="0" xfId="0" applyAlignment="1">
      <alignment vertical="center" wrapText="1"/>
    </xf>
    <xf numFmtId="0" fontId="21" fillId="0" borderId="0" xfId="0" applyFont="1" applyAlignment="1">
      <alignment horizontal="right"/>
    </xf>
    <xf numFmtId="0" fontId="10" fillId="0" borderId="0" xfId="0" applyFont="1" applyAlignment="1">
      <alignment horizontal="left" vertical="center" wrapText="1"/>
    </xf>
    <xf numFmtId="10" fontId="16" fillId="2" borderId="4" xfId="0" applyNumberFormat="1" applyFont="1" applyFill="1" applyBorder="1" applyAlignment="1">
      <alignment/>
    </xf>
    <xf numFmtId="0" fontId="0" fillId="2" borderId="46" xfId="0" applyFill="1" applyBorder="1" applyAlignment="1">
      <alignment/>
    </xf>
    <xf numFmtId="0" fontId="0" fillId="2" borderId="25" xfId="0" applyFill="1" applyBorder="1" applyAlignment="1">
      <alignment/>
    </xf>
    <xf numFmtId="0" fontId="0" fillId="4" borderId="1" xfId="0" applyFont="1" applyFill="1" applyBorder="1" applyAlignment="1">
      <alignment/>
    </xf>
    <xf numFmtId="3" fontId="0" fillId="4" borderId="25" xfId="0" applyNumberFormat="1" applyFont="1" applyFill="1" applyBorder="1" applyAlignment="1">
      <alignment/>
    </xf>
    <xf numFmtId="3" fontId="0" fillId="4" borderId="47" xfId="0" applyNumberFormat="1" applyFont="1" applyFill="1" applyBorder="1" applyAlignment="1">
      <alignment/>
    </xf>
    <xf numFmtId="3" fontId="0" fillId="4" borderId="48" xfId="0" applyNumberFormat="1" applyFont="1" applyFill="1" applyBorder="1" applyAlignment="1">
      <alignment/>
    </xf>
    <xf numFmtId="0" fontId="0" fillId="6" borderId="0" xfId="0" applyFont="1" applyFill="1" applyBorder="1" applyAlignment="1">
      <alignment/>
    </xf>
    <xf numFmtId="0" fontId="0" fillId="6" borderId="48" xfId="0" applyFont="1" applyFill="1" applyBorder="1" applyAlignment="1">
      <alignment/>
    </xf>
    <xf numFmtId="0" fontId="0" fillId="0" borderId="41" xfId="0" applyFont="1" applyFill="1" applyBorder="1" applyAlignment="1">
      <alignment/>
    </xf>
    <xf numFmtId="0" fontId="0" fillId="0" borderId="48"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49" xfId="0" applyFont="1" applyBorder="1" applyAlignment="1">
      <alignment/>
    </xf>
    <xf numFmtId="9" fontId="0" fillId="0" borderId="0" xfId="23" applyFont="1" applyBorder="1" applyAlignment="1">
      <alignment/>
    </xf>
    <xf numFmtId="0" fontId="0" fillId="0" borderId="9" xfId="0" applyFont="1" applyFill="1" applyBorder="1" applyAlignment="1">
      <alignment/>
    </xf>
    <xf numFmtId="0" fontId="0" fillId="0" borderId="25" xfId="0" applyFont="1" applyBorder="1" applyAlignment="1">
      <alignment/>
    </xf>
    <xf numFmtId="0" fontId="0" fillId="0" borderId="47" xfId="0" applyFont="1" applyBorder="1" applyAlignment="1">
      <alignment/>
    </xf>
    <xf numFmtId="0" fontId="0" fillId="0" borderId="42" xfId="0" applyFont="1" applyBorder="1" applyAlignment="1">
      <alignment/>
    </xf>
    <xf numFmtId="0" fontId="0" fillId="0" borderId="20" xfId="0" applyFont="1" applyBorder="1" applyAlignment="1">
      <alignment/>
    </xf>
    <xf numFmtId="0" fontId="0" fillId="0" borderId="50" xfId="0" applyFont="1" applyBorder="1" applyAlignment="1">
      <alignment/>
    </xf>
    <xf numFmtId="0" fontId="0" fillId="0" borderId="9" xfId="0" applyFont="1" applyBorder="1" applyAlignment="1">
      <alignment/>
    </xf>
    <xf numFmtId="3" fontId="1" fillId="0" borderId="0" xfId="0" applyNumberFormat="1" applyFont="1" applyFill="1" applyBorder="1" applyAlignment="1">
      <alignment/>
    </xf>
    <xf numFmtId="0" fontId="1" fillId="0" borderId="0" xfId="0" applyFont="1" applyFill="1" applyAlignment="1">
      <alignment/>
    </xf>
    <xf numFmtId="0" fontId="0" fillId="0" borderId="0" xfId="0" applyFont="1" applyFill="1" applyAlignment="1">
      <alignment/>
    </xf>
    <xf numFmtId="3" fontId="1" fillId="6" borderId="51" xfId="0" applyNumberFormat="1" applyFont="1" applyFill="1" applyBorder="1" applyAlignment="1">
      <alignment/>
    </xf>
    <xf numFmtId="0" fontId="10" fillId="0" borderId="0" xfId="0" applyFont="1" applyAlignment="1">
      <alignment vertical="center" wrapText="1"/>
    </xf>
    <xf numFmtId="0" fontId="8" fillId="0" borderId="52" xfId="0" applyFont="1" applyBorder="1" applyAlignment="1">
      <alignment vertical="center" wrapText="1"/>
    </xf>
    <xf numFmtId="0" fontId="8" fillId="0" borderId="53"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horizontal="left" vertical="center" wrapText="1"/>
    </xf>
    <xf numFmtId="0" fontId="1" fillId="0" borderId="42" xfId="0" applyFont="1" applyBorder="1" applyAlignment="1">
      <alignment vertical="center"/>
    </xf>
    <xf numFmtId="0" fontId="11" fillId="0" borderId="0" xfId="0" applyFont="1" applyBorder="1" applyAlignment="1">
      <alignment vertical="center"/>
    </xf>
    <xf numFmtId="0" fontId="0" fillId="0" borderId="0" xfId="22" applyAlignment="1">
      <alignment vertical="center" wrapText="1"/>
      <protection/>
    </xf>
    <xf numFmtId="2" fontId="21" fillId="0" borderId="56" xfId="0" applyNumberFormat="1" applyFont="1" applyBorder="1" applyAlignment="1">
      <alignment horizontal="right" vertical="center" wrapText="1"/>
    </xf>
    <xf numFmtId="0" fontId="0" fillId="0" borderId="0" xfId="22" applyFont="1" applyAlignment="1">
      <alignment vertical="center" wrapText="1"/>
      <protection/>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14" fontId="0" fillId="0" borderId="63" xfId="0" applyNumberFormat="1" applyFont="1" applyBorder="1" applyAlignment="1">
      <alignment horizontal="lef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1" xfId="0" applyBorder="1" applyAlignment="1">
      <alignment vertical="center" wrapText="1"/>
    </xf>
    <xf numFmtId="0" fontId="5" fillId="0" borderId="61" xfId="21" applyBorder="1" applyAlignment="1">
      <alignment vertical="center" wrapText="1"/>
    </xf>
    <xf numFmtId="0" fontId="0" fillId="0" borderId="67" xfId="0" applyFont="1" applyBorder="1" applyAlignment="1">
      <alignment vertical="center" wrapText="1"/>
    </xf>
    <xf numFmtId="0" fontId="7" fillId="0" borderId="68" xfId="0" applyFont="1"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8" fillId="0" borderId="79" xfId="0" applyFont="1" applyBorder="1" applyAlignment="1">
      <alignment vertical="center" wrapText="1"/>
    </xf>
    <xf numFmtId="0" fontId="0" fillId="0" borderId="31" xfId="0" applyFont="1" applyBorder="1" applyAlignment="1">
      <alignment vertical="center" wrapText="1"/>
    </xf>
    <xf numFmtId="0" fontId="0" fillId="0" borderId="54" xfId="0" applyFont="1" applyBorder="1" applyAlignment="1">
      <alignment vertical="center" wrapText="1"/>
    </xf>
    <xf numFmtId="0" fontId="10" fillId="0" borderId="52" xfId="0" applyFont="1" applyBorder="1" applyAlignment="1">
      <alignment vertical="center" wrapText="1"/>
    </xf>
    <xf numFmtId="0" fontId="0" fillId="0" borderId="55" xfId="0" applyFont="1" applyBorder="1" applyAlignment="1">
      <alignment vertical="center" wrapText="1"/>
    </xf>
    <xf numFmtId="0" fontId="8" fillId="0" borderId="55" xfId="0" applyFont="1" applyBorder="1" applyAlignment="1">
      <alignment vertical="center" wrapText="1"/>
    </xf>
    <xf numFmtId="0" fontId="1" fillId="0" borderId="55" xfId="0" applyFont="1" applyBorder="1" applyAlignment="1">
      <alignment vertical="center" wrapText="1"/>
    </xf>
    <xf numFmtId="0" fontId="19" fillId="0" borderId="55" xfId="0" applyFont="1" applyBorder="1" applyAlignment="1">
      <alignment vertical="center" wrapText="1"/>
    </xf>
    <xf numFmtId="0" fontId="0" fillId="0" borderId="80" xfId="0" applyFont="1" applyBorder="1" applyAlignment="1">
      <alignment vertical="center" wrapText="1"/>
    </xf>
    <xf numFmtId="0" fontId="1" fillId="0" borderId="81" xfId="0" applyFont="1" applyBorder="1" applyAlignment="1">
      <alignment horizontal="center" vertical="center" wrapText="1"/>
    </xf>
    <xf numFmtId="4" fontId="14" fillId="4" borderId="11" xfId="0" applyNumberFormat="1" applyFont="1" applyFill="1" applyBorder="1" applyAlignment="1">
      <alignment horizontal="center" vertical="center"/>
    </xf>
    <xf numFmtId="4" fontId="0" fillId="0" borderId="2" xfId="0" applyNumberFormat="1" applyBorder="1" applyAlignment="1">
      <alignment horizontal="center" vertical="center"/>
    </xf>
    <xf numFmtId="178" fontId="14" fillId="4" borderId="0" xfId="0" applyNumberFormat="1" applyFont="1" applyFill="1" applyBorder="1" applyAlignment="1">
      <alignment horizontal="center" vertical="center"/>
    </xf>
    <xf numFmtId="178" fontId="0" fillId="0" borderId="12" xfId="0" applyNumberFormat="1" applyBorder="1" applyAlignment="1">
      <alignment horizontal="center" vertical="center"/>
    </xf>
    <xf numFmtId="3" fontId="0" fillId="3" borderId="12" xfId="0" applyNumberFormat="1" applyFont="1" applyFill="1" applyBorder="1" applyAlignment="1">
      <alignment horizontal="center" vertical="center"/>
    </xf>
    <xf numFmtId="178" fontId="0" fillId="3" borderId="12" xfId="0" applyNumberFormat="1" applyFont="1" applyFill="1" applyBorder="1" applyAlignment="1">
      <alignment horizontal="center" vertical="center"/>
    </xf>
    <xf numFmtId="4" fontId="0" fillId="3" borderId="2" xfId="0" applyNumberFormat="1" applyFont="1" applyFill="1" applyBorder="1" applyAlignment="1">
      <alignment horizontal="center" vertical="center"/>
    </xf>
    <xf numFmtId="0" fontId="11" fillId="0" borderId="0" xfId="0" applyFont="1" applyAlignment="1">
      <alignment/>
    </xf>
    <xf numFmtId="0" fontId="20" fillId="5" borderId="43" xfId="0" applyFont="1" applyFill="1" applyBorder="1" applyAlignment="1">
      <alignment/>
    </xf>
    <xf numFmtId="0" fontId="20" fillId="5" borderId="44" xfId="0" applyFont="1" applyFill="1" applyBorder="1" applyAlignment="1">
      <alignment/>
    </xf>
    <xf numFmtId="164" fontId="20" fillId="5" borderId="45" xfId="0" applyNumberFormat="1" applyFont="1" applyFill="1" applyBorder="1" applyAlignment="1">
      <alignment/>
    </xf>
    <xf numFmtId="0" fontId="0" fillId="0" borderId="0" xfId="0" applyFont="1" applyFill="1" applyBorder="1" applyAlignment="1">
      <alignment horizontal="left"/>
    </xf>
    <xf numFmtId="0" fontId="17" fillId="0" borderId="31" xfId="0" applyFont="1" applyFill="1" applyBorder="1" applyAlignment="1">
      <alignment vertical="center"/>
    </xf>
    <xf numFmtId="0" fontId="17" fillId="0" borderId="32" xfId="0" applyFont="1" applyFill="1" applyBorder="1" applyAlignment="1">
      <alignment/>
    </xf>
    <xf numFmtId="0" fontId="1" fillId="0" borderId="82" xfId="0" applyFont="1" applyFill="1" applyBorder="1" applyAlignment="1">
      <alignment/>
    </xf>
    <xf numFmtId="0" fontId="17" fillId="0" borderId="38" xfId="0" applyFont="1" applyFill="1" applyBorder="1" applyAlignment="1">
      <alignment/>
    </xf>
    <xf numFmtId="0" fontId="17" fillId="0" borderId="83" xfId="0" applyFont="1" applyFill="1" applyBorder="1" applyAlignment="1">
      <alignment/>
    </xf>
    <xf numFmtId="0" fontId="0" fillId="0" borderId="3" xfId="0" applyFont="1" applyFill="1" applyBorder="1" applyAlignment="1">
      <alignment horizontal="left"/>
    </xf>
    <xf numFmtId="9" fontId="14" fillId="0" borderId="4" xfId="0" applyNumberFormat="1" applyFont="1" applyFill="1" applyBorder="1" applyAlignment="1">
      <alignment/>
    </xf>
    <xf numFmtId="0" fontId="0" fillId="0" borderId="84" xfId="0" applyFont="1" applyFill="1" applyBorder="1" applyAlignment="1">
      <alignment/>
    </xf>
    <xf numFmtId="0" fontId="17" fillId="0" borderId="85" xfId="0" applyFont="1" applyFill="1" applyBorder="1" applyAlignment="1">
      <alignment/>
    </xf>
    <xf numFmtId="0" fontId="1" fillId="0" borderId="86" xfId="0" applyFont="1" applyFill="1" applyBorder="1" applyAlignment="1">
      <alignment/>
    </xf>
    <xf numFmtId="0" fontId="17" fillId="0" borderId="87" xfId="0" applyFont="1" applyFill="1" applyBorder="1" applyAlignment="1">
      <alignment/>
    </xf>
    <xf numFmtId="0" fontId="0" fillId="0" borderId="5" xfId="0" applyFont="1" applyFill="1" applyBorder="1" applyAlignment="1">
      <alignment horizontal="left"/>
    </xf>
    <xf numFmtId="0" fontId="0" fillId="0" borderId="7" xfId="0" applyFont="1" applyFill="1" applyBorder="1" applyAlignment="1">
      <alignment horizontal="left"/>
    </xf>
    <xf numFmtId="9" fontId="14" fillId="0" borderId="6" xfId="0" applyNumberFormat="1" applyFont="1" applyFill="1" applyBorder="1" applyAlignment="1">
      <alignment/>
    </xf>
    <xf numFmtId="0" fontId="5" fillId="0" borderId="61" xfId="21" applyFont="1" applyBorder="1" applyAlignment="1">
      <alignment vertical="center" wrapText="1"/>
    </xf>
    <xf numFmtId="0" fontId="8" fillId="0" borderId="52" xfId="0" applyNumberFormat="1" applyFont="1" applyBorder="1" applyAlignment="1">
      <alignment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 fillId="2" borderId="8" xfId="0" applyFont="1" applyFill="1" applyBorder="1" applyAlignment="1">
      <alignment horizontal="center"/>
    </xf>
    <xf numFmtId="0" fontId="0" fillId="0" borderId="64" xfId="0" applyFont="1" applyBorder="1" applyAlignment="1">
      <alignment horizontal="left" vertical="center" wrapText="1"/>
    </xf>
    <xf numFmtId="0" fontId="0" fillId="0" borderId="60" xfId="0" applyFont="1" applyBorder="1" applyAlignment="1">
      <alignment horizontal="left" vertical="center" wrapText="1"/>
    </xf>
    <xf numFmtId="0" fontId="0" fillId="0" borderId="88" xfId="0" applyFont="1" applyBorder="1" applyAlignment="1">
      <alignment horizontal="left" vertical="center" wrapText="1"/>
    </xf>
    <xf numFmtId="0" fontId="10" fillId="0" borderId="0" xfId="22" applyFont="1" applyAlignment="1">
      <alignment horizontal="center" vertical="center" wrapText="1"/>
      <protection/>
    </xf>
    <xf numFmtId="0" fontId="0" fillId="0" borderId="64" xfId="0" applyFont="1" applyBorder="1" applyAlignment="1">
      <alignment vertical="center" wrapText="1"/>
    </xf>
    <xf numFmtId="0" fontId="0" fillId="0" borderId="89" xfId="0" applyFont="1" applyBorder="1" applyAlignment="1">
      <alignment vertical="center" wrapText="1"/>
    </xf>
    <xf numFmtId="0" fontId="11" fillId="0" borderId="55" xfId="0" applyFont="1" applyBorder="1" applyAlignment="1">
      <alignment vertical="center" wrapText="1"/>
    </xf>
    <xf numFmtId="0" fontId="9" fillId="0" borderId="55" xfId="0" applyFont="1" applyBorder="1" applyAlignment="1">
      <alignment vertical="center" wrapText="1"/>
    </xf>
    <xf numFmtId="0" fontId="1" fillId="0" borderId="0" xfId="0" applyFont="1" applyAlignment="1">
      <alignment horizontal="center" vertical="center" wrapText="1"/>
    </xf>
    <xf numFmtId="0" fontId="10" fillId="0" borderId="0" xfId="0" applyFont="1" applyAlignment="1">
      <alignment horizontal="left" vertical="center" wrapText="1"/>
    </xf>
    <xf numFmtId="0" fontId="0" fillId="2" borderId="0" xfId="0" applyFill="1" applyBorder="1" applyAlignment="1">
      <alignment horizontal="left" vertical="center"/>
    </xf>
    <xf numFmtId="0" fontId="13" fillId="0" borderId="42" xfId="0" applyFont="1" applyBorder="1" applyAlignment="1">
      <alignment vertical="center"/>
    </xf>
    <xf numFmtId="0" fontId="13" fillId="0" borderId="42" xfId="0" applyFont="1" applyBorder="1" applyAlignment="1">
      <alignment horizontal="center" vertical="center"/>
    </xf>
    <xf numFmtId="0" fontId="0" fillId="0" borderId="0" xfId="0" applyBorder="1" applyAlignment="1">
      <alignment horizontal="left"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 fillId="0" borderId="0" xfId="0" applyFont="1" applyFill="1" applyAlignment="1">
      <alignment horizontal="left" vertical="center" wrapText="1"/>
    </xf>
    <xf numFmtId="0" fontId="13" fillId="0" borderId="0" xfId="0" applyFont="1" applyBorder="1" applyAlignment="1">
      <alignment horizontal="left" vertical="center"/>
    </xf>
    <xf numFmtId="0" fontId="1" fillId="2" borderId="8" xfId="0" applyFont="1" applyFill="1" applyBorder="1" applyAlignment="1">
      <alignment/>
    </xf>
    <xf numFmtId="0" fontId="1" fillId="2" borderId="19" xfId="0" applyFont="1" applyFill="1" applyBorder="1" applyAlignment="1">
      <alignment/>
    </xf>
    <xf numFmtId="0" fontId="1" fillId="2" borderId="22" xfId="0" applyFont="1" applyFill="1" applyBorder="1" applyAlignment="1">
      <alignment/>
    </xf>
    <xf numFmtId="0" fontId="1" fillId="2" borderId="3" xfId="0" applyFont="1" applyFill="1" applyBorder="1" applyAlignment="1">
      <alignment/>
    </xf>
    <xf numFmtId="0" fontId="1" fillId="2" borderId="0" xfId="0" applyFont="1" applyFill="1" applyBorder="1" applyAlignment="1">
      <alignment/>
    </xf>
    <xf numFmtId="0" fontId="3" fillId="2" borderId="19" xfId="0" applyFont="1" applyFill="1" applyBorder="1" applyAlignment="1">
      <alignment horizontal="center"/>
    </xf>
    <xf numFmtId="0" fontId="3" fillId="2" borderId="22" xfId="0" applyFont="1" applyFill="1" applyBorder="1" applyAlignment="1">
      <alignment horizontal="center"/>
    </xf>
    <xf numFmtId="0" fontId="0" fillId="2" borderId="5" xfId="0" applyFont="1" applyFill="1" applyBorder="1" applyAlignment="1">
      <alignment/>
    </xf>
    <xf numFmtId="0" fontId="0" fillId="2" borderId="7" xfId="0" applyFont="1" applyFill="1" applyBorder="1" applyAlignment="1">
      <alignment/>
    </xf>
    <xf numFmtId="0" fontId="0" fillId="2" borderId="43" xfId="0" applyFill="1" applyBorder="1" applyAlignment="1">
      <alignment horizontal="left"/>
    </xf>
    <xf numFmtId="0" fontId="0" fillId="2" borderId="44" xfId="0" applyFill="1" applyBorder="1" applyAlignment="1">
      <alignment horizontal="left"/>
    </xf>
    <xf numFmtId="0" fontId="0" fillId="2" borderId="45" xfId="0" applyFill="1" applyBorder="1" applyAlignment="1">
      <alignment horizontal="left"/>
    </xf>
    <xf numFmtId="0" fontId="0" fillId="2" borderId="46" xfId="0" applyFont="1" applyFill="1" applyBorder="1" applyAlignment="1">
      <alignment/>
    </xf>
    <xf numFmtId="0" fontId="0" fillId="2" borderId="25" xfId="0" applyFont="1" applyFill="1" applyBorder="1" applyAlignment="1">
      <alignment/>
    </xf>
    <xf numFmtId="0" fontId="0" fillId="2" borderId="47" xfId="0" applyFont="1" applyFill="1" applyBorder="1" applyAlignment="1">
      <alignment/>
    </xf>
    <xf numFmtId="0" fontId="0" fillId="2" borderId="90" xfId="0" applyFont="1" applyFill="1" applyBorder="1" applyAlignment="1">
      <alignment/>
    </xf>
    <xf numFmtId="0" fontId="0" fillId="2" borderId="11" xfId="0" applyFont="1" applyFill="1" applyBorder="1" applyAlignment="1">
      <alignment/>
    </xf>
    <xf numFmtId="0" fontId="1" fillId="2" borderId="0" xfId="0" applyFont="1" applyFill="1" applyAlignment="1">
      <alignment/>
    </xf>
    <xf numFmtId="0" fontId="0" fillId="2" borderId="6" xfId="0" applyFont="1" applyFill="1" applyBorder="1" applyAlignment="1">
      <alignment/>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15" xfId="0" applyFont="1" applyBorder="1" applyAlignment="1">
      <alignment horizontal="center"/>
    </xf>
    <xf numFmtId="0" fontId="1" fillId="0" borderId="20" xfId="0" applyFont="1" applyBorder="1" applyAlignment="1">
      <alignment horizontal="center"/>
    </xf>
    <xf numFmtId="0" fontId="1" fillId="0" borderId="50" xfId="0" applyFont="1" applyBorder="1" applyAlignment="1">
      <alignment horizontal="center"/>
    </xf>
    <xf numFmtId="0" fontId="1" fillId="0" borderId="8" xfId="0" applyFont="1" applyBorder="1" applyAlignment="1">
      <alignment horizontal="center" wrapText="1"/>
    </xf>
    <xf numFmtId="0" fontId="1" fillId="0" borderId="22" xfId="0" applyFont="1" applyBorder="1" applyAlignment="1">
      <alignment horizontal="center" wrapText="1"/>
    </xf>
    <xf numFmtId="0" fontId="1" fillId="0" borderId="19" xfId="0" applyFont="1" applyBorder="1" applyAlignment="1">
      <alignment horizontal="center" wrapText="1"/>
    </xf>
    <xf numFmtId="0" fontId="1" fillId="0" borderId="8" xfId="0" applyFont="1" applyFill="1" applyBorder="1" applyAlignment="1">
      <alignment horizontal="center" wrapText="1"/>
    </xf>
    <xf numFmtId="0" fontId="1" fillId="0" borderId="22" xfId="0" applyFont="1" applyFill="1" applyBorder="1" applyAlignment="1">
      <alignment horizontal="center" wrapText="1"/>
    </xf>
    <xf numFmtId="0" fontId="1" fillId="0" borderId="3" xfId="0" applyFont="1" applyFill="1" applyBorder="1" applyAlignment="1">
      <alignment horizontal="center" wrapText="1"/>
    </xf>
    <xf numFmtId="0" fontId="1" fillId="0" borderId="5" xfId="0" applyFont="1" applyFill="1" applyBorder="1" applyAlignment="1">
      <alignment horizontal="center" wrapText="1"/>
    </xf>
    <xf numFmtId="0" fontId="22" fillId="0" borderId="0" xfId="0" applyFont="1" applyAlignment="1">
      <alignment vertical="center" wrapText="1"/>
    </xf>
  </cellXfs>
  <cellStyles count="10">
    <cellStyle name="Normal" xfId="0"/>
    <cellStyle name="Comma" xfId="15"/>
    <cellStyle name="Comma [0]" xfId="16"/>
    <cellStyle name="Comma_Copy of Distribución de fincas con escenario para León" xfId="17"/>
    <cellStyle name="Currency" xfId="18"/>
    <cellStyle name="Currency [0]" xfId="19"/>
    <cellStyle name="Followed Hyperlink" xfId="20"/>
    <cellStyle name="Hyperlink" xfId="21"/>
    <cellStyle name="Normal_Lesotho - Health - v2" xfId="22"/>
    <cellStyle name="Percent" xfId="23"/>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Nicaragua Property Regularization  </a:t>
            </a:r>
          </a:p>
        </c:rich>
      </c:tx>
      <c:layout/>
      <c:spPr>
        <a:noFill/>
        <a:ln>
          <a:noFill/>
        </a:ln>
      </c:spPr>
    </c:title>
    <c:plotArea>
      <c:layout>
        <c:manualLayout>
          <c:xMode val="edge"/>
          <c:yMode val="edge"/>
          <c:x val="0.05425"/>
          <c:y val="0.1865"/>
          <c:w val="0.9335"/>
          <c:h val="0.72375"/>
        </c:manualLayout>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'Property Regularization'!$B$54:$L$54</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'Property Regularization'!$C$58:$L$58</c:f>
              <c:numCache>
                <c:ptCount val="10"/>
                <c:pt idx="0">
                  <c:v>-2.846179498453317</c:v>
                </c:pt>
                <c:pt idx="1">
                  <c:v>-6.293363478516408</c:v>
                </c:pt>
                <c:pt idx="2">
                  <c:v>-2.729067983601019</c:v>
                </c:pt>
                <c:pt idx="3">
                  <c:v>0.39673704624692263</c:v>
                </c:pt>
                <c:pt idx="4">
                  <c:v>12.763082281739125</c:v>
                </c:pt>
                <c:pt idx="5">
                  <c:v>3.962999016754651</c:v>
                </c:pt>
                <c:pt idx="6">
                  <c:v>4.04351918100096</c:v>
                </c:pt>
                <c:pt idx="7">
                  <c:v>4.125675352933143</c:v>
                </c:pt>
                <c:pt idx="8">
                  <c:v>4.209500772934689</c:v>
                </c:pt>
                <c:pt idx="9">
                  <c:v>13.334029356766946</c:v>
                </c:pt>
              </c:numCache>
            </c:numRef>
          </c:val>
        </c:ser>
        <c:axId val="41192894"/>
        <c:axId val="35191727"/>
      </c:areaChart>
      <c:catAx>
        <c:axId val="4119289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91727"/>
        <c:crosses val="autoZero"/>
        <c:auto val="0"/>
        <c:lblOffset val="100"/>
        <c:noMultiLvlLbl val="0"/>
      </c:catAx>
      <c:valAx>
        <c:axId val="35191727"/>
        <c:scaling>
          <c:orientation val="minMax"/>
          <c:max val="16"/>
          <c:min val="-8"/>
        </c:scaling>
        <c:axPos val="l"/>
        <c:title>
          <c:tx>
            <c:rich>
              <a:bodyPr vert="horz" rot="-5400000" anchor="ctr"/>
              <a:lstStyle/>
              <a:p>
                <a:pPr algn="ctr">
                  <a:defRPr/>
                </a:pPr>
                <a:r>
                  <a:rPr lang="en-US" cap="none" sz="1000" b="1" i="0" u="none" baseline="0">
                    <a:latin typeface="Arial"/>
                    <a:ea typeface="Arial"/>
                    <a:cs typeface="Arial"/>
                  </a:rPr>
                  <a:t>US$ (millions)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192894"/>
        <c:crossesAt val="1"/>
        <c:crossBetween val="midCat"/>
        <c:dispUnits/>
        <c:majorUnit val="4"/>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Distribution of ERR Given Uncertainty in Key Parameters
</a:t>
            </a:r>
            <a:r>
              <a:rPr lang="en-US" cap="none" sz="800" b="1" i="0" u="none" baseline="0">
                <a:latin typeface="Arial"/>
                <a:ea typeface="Arial"/>
                <a:cs typeface="Arial"/>
              </a:rPr>
              <a:t>(as of 5/26/2005)</a:t>
            </a:r>
          </a:p>
        </c:rich>
      </c:tx>
      <c:layout/>
      <c:spPr>
        <a:noFill/>
        <a:ln>
          <a:noFill/>
        </a:ln>
      </c:spPr>
    </c:title>
    <c:plotArea>
      <c:layout>
        <c:manualLayout>
          <c:xMode val="edge"/>
          <c:yMode val="edge"/>
          <c:x val="0.04425"/>
          <c:y val="0.156"/>
          <c:w val="0.942"/>
          <c:h val="0.8085"/>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0.0770563347378662</c:v>
              </c:pt>
              <c:pt idx="10">
                <c:v>0.27663917187439657</c:v>
              </c:pt>
              <c:pt idx="20">
                <c:v>0.4762220090109269</c:v>
              </c:pt>
              <c:pt idx="30">
                <c:v>0.6758048461474573</c:v>
              </c:pt>
              <c:pt idx="40">
                <c:v>0.8753876832839876</c:v>
              </c:pt>
              <c:pt idx="49">
                <c:v>1.055012236706865</c:v>
              </c:pt>
            </c:strLit>
          </c:cat>
          <c:val>
            <c:numLit>
              <c:ptCount val="50"/>
              <c:pt idx="0">
                <c:v>4</c:v>
              </c:pt>
              <c:pt idx="1">
                <c:v>24</c:v>
              </c:pt>
              <c:pt idx="2">
                <c:v>65</c:v>
              </c:pt>
              <c:pt idx="3">
                <c:v>109</c:v>
              </c:pt>
              <c:pt idx="4">
                <c:v>253</c:v>
              </c:pt>
              <c:pt idx="5">
                <c:v>389</c:v>
              </c:pt>
              <c:pt idx="6">
                <c:v>426</c:v>
              </c:pt>
              <c:pt idx="7">
                <c:v>474</c:v>
              </c:pt>
              <c:pt idx="8">
                <c:v>526</c:v>
              </c:pt>
              <c:pt idx="9">
                <c:v>592</c:v>
              </c:pt>
              <c:pt idx="10">
                <c:v>591</c:v>
              </c:pt>
              <c:pt idx="11">
                <c:v>523</c:v>
              </c:pt>
              <c:pt idx="12">
                <c:v>517</c:v>
              </c:pt>
              <c:pt idx="13">
                <c:v>488</c:v>
              </c:pt>
              <c:pt idx="14">
                <c:v>485</c:v>
              </c:pt>
              <c:pt idx="15">
                <c:v>410</c:v>
              </c:pt>
              <c:pt idx="16">
                <c:v>380</c:v>
              </c:pt>
              <c:pt idx="17">
                <c:v>335</c:v>
              </c:pt>
              <c:pt idx="18">
                <c:v>310</c:v>
              </c:pt>
              <c:pt idx="19">
                <c:v>293</c:v>
              </c:pt>
              <c:pt idx="20">
                <c:v>258</c:v>
              </c:pt>
              <c:pt idx="21">
                <c:v>219</c:v>
              </c:pt>
              <c:pt idx="22">
                <c:v>188</c:v>
              </c:pt>
              <c:pt idx="23">
                <c:v>193</c:v>
              </c:pt>
              <c:pt idx="24">
                <c:v>159</c:v>
              </c:pt>
              <c:pt idx="25">
                <c:v>165</c:v>
              </c:pt>
              <c:pt idx="26">
                <c:v>134</c:v>
              </c:pt>
              <c:pt idx="27">
                <c:v>118</c:v>
              </c:pt>
              <c:pt idx="28">
                <c:v>108</c:v>
              </c:pt>
              <c:pt idx="29">
                <c:v>102</c:v>
              </c:pt>
              <c:pt idx="30">
                <c:v>98</c:v>
              </c:pt>
              <c:pt idx="31">
                <c:v>95</c:v>
              </c:pt>
              <c:pt idx="32">
                <c:v>98</c:v>
              </c:pt>
              <c:pt idx="33">
                <c:v>54</c:v>
              </c:pt>
              <c:pt idx="34">
                <c:v>40</c:v>
              </c:pt>
              <c:pt idx="35">
                <c:v>48</c:v>
              </c:pt>
              <c:pt idx="36">
                <c:v>55</c:v>
              </c:pt>
              <c:pt idx="37">
                <c:v>42</c:v>
              </c:pt>
              <c:pt idx="38">
                <c:v>51</c:v>
              </c:pt>
              <c:pt idx="39">
                <c:v>34</c:v>
              </c:pt>
              <c:pt idx="40">
                <c:v>43</c:v>
              </c:pt>
              <c:pt idx="41">
                <c:v>34</c:v>
              </c:pt>
              <c:pt idx="42">
                <c:v>26</c:v>
              </c:pt>
              <c:pt idx="43">
                <c:v>26</c:v>
              </c:pt>
              <c:pt idx="44">
                <c:v>20</c:v>
              </c:pt>
              <c:pt idx="45">
                <c:v>26</c:v>
              </c:pt>
              <c:pt idx="46">
                <c:v>21</c:v>
              </c:pt>
              <c:pt idx="47">
                <c:v>18</c:v>
              </c:pt>
              <c:pt idx="48">
                <c:v>13</c:v>
              </c:pt>
              <c:pt idx="49">
                <c:v>12</c:v>
              </c:pt>
            </c:numLit>
          </c:val>
        </c:ser>
        <c:overlap val="100"/>
        <c:gapWidth val="10"/>
        <c:axId val="48290088"/>
        <c:axId val="31957609"/>
      </c:barChart>
      <c:catAx>
        <c:axId val="48290088"/>
        <c:scaling>
          <c:orientation val="minMax"/>
        </c:scaling>
        <c:axPos val="b"/>
        <c:delete val="0"/>
        <c:numFmt formatCode="General" sourceLinked="1"/>
        <c:majorTickMark val="out"/>
        <c:minorTickMark val="none"/>
        <c:tickLblPos val="nextTo"/>
        <c:crossAx val="31957609"/>
        <c:crosses val="autoZero"/>
        <c:auto val="0"/>
        <c:lblOffset val="100"/>
        <c:tickLblSkip val="1"/>
        <c:tickMarkSkip val="5"/>
        <c:noMultiLvlLbl val="0"/>
      </c:catAx>
      <c:valAx>
        <c:axId val="31957609"/>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48290088"/>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4"/>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28</xdr:row>
      <xdr:rowOff>19050</xdr:rowOff>
    </xdr:from>
    <xdr:to>
      <xdr:col>1</xdr:col>
      <xdr:colOff>2200275</xdr:colOff>
      <xdr:row>29</xdr:row>
      <xdr:rowOff>9525</xdr:rowOff>
    </xdr:to>
    <xdr:pic>
      <xdr:nvPicPr>
        <xdr:cNvPr id="1" name="Picture 1"/>
        <xdr:cNvPicPr preferRelativeResize="1">
          <a:picLocks noChangeAspect="1"/>
        </xdr:cNvPicPr>
      </xdr:nvPicPr>
      <xdr:blipFill>
        <a:blip r:embed="rId1"/>
        <a:stretch>
          <a:fillRect/>
        </a:stretch>
      </xdr:blipFill>
      <xdr:spPr>
        <a:xfrm>
          <a:off x="419100" y="10668000"/>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26</xdr:row>
      <xdr:rowOff>28575</xdr:rowOff>
    </xdr:from>
    <xdr:to>
      <xdr:col>6</xdr:col>
      <xdr:colOff>219075</xdr:colOff>
      <xdr:row>47</xdr:row>
      <xdr:rowOff>38100</xdr:rowOff>
    </xdr:to>
    <xdr:graphicFrame>
      <xdr:nvGraphicFramePr>
        <xdr:cNvPr id="1" name="Chart 11"/>
        <xdr:cNvGraphicFramePr/>
      </xdr:nvGraphicFramePr>
      <xdr:xfrm>
        <a:off x="1190625" y="7448550"/>
        <a:ext cx="7448550" cy="344805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904875</xdr:colOff>
      <xdr:row>1</xdr:row>
      <xdr:rowOff>142875</xdr:rowOff>
    </xdr:from>
    <xdr:to>
      <xdr:col>6</xdr:col>
      <xdr:colOff>1019175</xdr:colOff>
      <xdr:row>2</xdr:row>
      <xdr:rowOff>9525</xdr:rowOff>
    </xdr:to>
    <xdr:pic>
      <xdr:nvPicPr>
        <xdr:cNvPr id="2" name="Picture 20"/>
        <xdr:cNvPicPr preferRelativeResize="1">
          <a:picLocks noChangeAspect="1"/>
        </xdr:cNvPicPr>
      </xdr:nvPicPr>
      <xdr:blipFill>
        <a:blip r:embed="rId2"/>
        <a:stretch>
          <a:fillRect/>
        </a:stretch>
      </xdr:blipFill>
      <xdr:spPr>
        <a:xfrm>
          <a:off x="7267575" y="304800"/>
          <a:ext cx="2171700" cy="152400"/>
        </a:xfrm>
        <a:prstGeom prst="rect">
          <a:avLst/>
        </a:prstGeom>
        <a:noFill/>
        <a:ln w="9525" cmpd="sng">
          <a:noFill/>
        </a:ln>
      </xdr:spPr>
    </xdr:pic>
    <xdr:clientData/>
  </xdr:twoCellAnchor>
  <xdr:twoCellAnchor>
    <xdr:from>
      <xdr:col>1</xdr:col>
      <xdr:colOff>1038225</xdr:colOff>
      <xdr:row>49</xdr:row>
      <xdr:rowOff>142875</xdr:rowOff>
    </xdr:from>
    <xdr:to>
      <xdr:col>5</xdr:col>
      <xdr:colOff>1009650</xdr:colOff>
      <xdr:row>67</xdr:row>
      <xdr:rowOff>0</xdr:rowOff>
    </xdr:to>
    <xdr:graphicFrame>
      <xdr:nvGraphicFramePr>
        <xdr:cNvPr id="3" name="Chart 24"/>
        <xdr:cNvGraphicFramePr/>
      </xdr:nvGraphicFramePr>
      <xdr:xfrm>
        <a:off x="1419225" y="11325225"/>
        <a:ext cx="698182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V203"/>
  <sheetViews>
    <sheetView showGridLines="0" workbookViewId="0" topLeftCell="A1">
      <selection activeCell="A8" sqref="A8"/>
    </sheetView>
  </sheetViews>
  <sheetFormatPr defaultColWidth="9.140625" defaultRowHeight="12.75"/>
  <cols>
    <col min="1" max="1" width="39.57421875" style="216" customWidth="1"/>
    <col min="2" max="2" width="106.421875" style="216" customWidth="1"/>
    <col min="3" max="3" width="9.140625" style="216" customWidth="1"/>
    <col min="4" max="4" width="14.28125" style="216" customWidth="1"/>
    <col min="5" max="16384" width="9.140625" style="216" customWidth="1"/>
  </cols>
  <sheetData>
    <row r="1" s="252" customFormat="1" ht="12.75">
      <c r="B1" s="253" t="s">
        <v>145</v>
      </c>
    </row>
    <row r="2" s="252" customFormat="1" ht="20.25" customHeight="1">
      <c r="B2" s="324" t="s">
        <v>127</v>
      </c>
    </row>
    <row r="3" s="252" customFormat="1" ht="12.75">
      <c r="B3" s="324"/>
    </row>
    <row r="4" s="252" customFormat="1" ht="12.75">
      <c r="B4" s="324"/>
    </row>
    <row r="5" s="252" customFormat="1" ht="12.75">
      <c r="B5" s="324"/>
    </row>
    <row r="6" s="252" customFormat="1" ht="12.75">
      <c r="B6" s="324"/>
    </row>
    <row r="7" spans="1:2" s="252" customFormat="1" ht="13.5" thickBot="1">
      <c r="A7" s="254"/>
      <c r="B7" s="254"/>
    </row>
    <row r="8" spans="1:22" ht="18" customHeight="1" thickBot="1" thickTop="1">
      <c r="A8" s="288" t="s">
        <v>72</v>
      </c>
      <c r="B8" s="289" t="s">
        <v>73</v>
      </c>
      <c r="C8" s="255"/>
      <c r="D8" s="256"/>
      <c r="E8" s="256"/>
      <c r="F8" s="256"/>
      <c r="G8" s="256"/>
      <c r="H8" s="256"/>
      <c r="I8" s="256"/>
      <c r="J8" s="256"/>
      <c r="K8" s="256"/>
      <c r="L8" s="256"/>
      <c r="M8" s="256"/>
      <c r="N8" s="256"/>
      <c r="O8" s="256"/>
      <c r="P8" s="256"/>
      <c r="Q8" s="256"/>
      <c r="R8" s="256"/>
      <c r="S8" s="256"/>
      <c r="T8" s="256"/>
      <c r="U8" s="256"/>
      <c r="V8" s="257"/>
    </row>
    <row r="9" spans="1:22" ht="18" customHeight="1" thickBot="1" thickTop="1">
      <c r="A9" s="258" t="s">
        <v>65</v>
      </c>
      <c r="B9" s="259" t="s">
        <v>152</v>
      </c>
      <c r="C9" s="255"/>
      <c r="D9" s="256"/>
      <c r="E9" s="256"/>
      <c r="F9" s="256"/>
      <c r="G9" s="256"/>
      <c r="H9" s="256"/>
      <c r="I9" s="256"/>
      <c r="J9" s="256"/>
      <c r="K9" s="256"/>
      <c r="L9" s="256"/>
      <c r="M9" s="256"/>
      <c r="N9" s="256"/>
      <c r="O9" s="256"/>
      <c r="P9" s="256"/>
      <c r="Q9" s="256"/>
      <c r="R9" s="256"/>
      <c r="S9" s="256"/>
      <c r="T9" s="256"/>
      <c r="U9" s="256"/>
      <c r="V9" s="257"/>
    </row>
    <row r="10" spans="1:22" ht="18" customHeight="1" thickBot="1">
      <c r="A10" s="260" t="s">
        <v>66</v>
      </c>
      <c r="B10" s="261">
        <v>38498</v>
      </c>
      <c r="C10" s="255"/>
      <c r="D10" s="256"/>
      <c r="E10" s="256"/>
      <c r="F10" s="256"/>
      <c r="G10" s="256"/>
      <c r="H10" s="256"/>
      <c r="I10" s="256"/>
      <c r="J10" s="256"/>
      <c r="K10" s="256"/>
      <c r="L10" s="256"/>
      <c r="M10" s="256"/>
      <c r="N10" s="256"/>
      <c r="O10" s="256"/>
      <c r="P10" s="256"/>
      <c r="Q10" s="256"/>
      <c r="R10" s="256"/>
      <c r="S10" s="256"/>
      <c r="T10" s="256"/>
      <c r="U10" s="256"/>
      <c r="V10" s="257"/>
    </row>
    <row r="11" spans="1:22" ht="18" customHeight="1" thickBot="1">
      <c r="A11" s="260" t="s">
        <v>67</v>
      </c>
      <c r="B11" s="262" t="s">
        <v>93</v>
      </c>
      <c r="C11" s="255"/>
      <c r="D11" s="256"/>
      <c r="E11" s="256"/>
      <c r="F11" s="256"/>
      <c r="G11" s="256"/>
      <c r="H11" s="256"/>
      <c r="I11" s="256"/>
      <c r="J11" s="256"/>
      <c r="K11" s="256"/>
      <c r="L11" s="256"/>
      <c r="M11" s="256"/>
      <c r="N11" s="256"/>
      <c r="O11" s="256"/>
      <c r="P11" s="256"/>
      <c r="Q11" s="256"/>
      <c r="R11" s="256"/>
      <c r="S11" s="256"/>
      <c r="T11" s="256"/>
      <c r="U11" s="256"/>
      <c r="V11" s="257"/>
    </row>
    <row r="12" spans="1:22" ht="46.5" customHeight="1" thickBot="1">
      <c r="A12" s="263" t="s">
        <v>68</v>
      </c>
      <c r="B12" s="264" t="s">
        <v>165</v>
      </c>
      <c r="C12" s="255"/>
      <c r="D12" s="256"/>
      <c r="E12" s="256"/>
      <c r="F12" s="256"/>
      <c r="G12" s="256"/>
      <c r="H12" s="256"/>
      <c r="I12" s="256"/>
      <c r="J12" s="256"/>
      <c r="K12" s="256"/>
      <c r="L12" s="256"/>
      <c r="M12" s="256"/>
      <c r="N12" s="256"/>
      <c r="O12" s="256"/>
      <c r="P12" s="256"/>
      <c r="Q12" s="256"/>
      <c r="R12" s="256"/>
      <c r="S12" s="256"/>
      <c r="T12" s="256"/>
      <c r="U12" s="256"/>
      <c r="V12" s="257"/>
    </row>
    <row r="13" spans="1:22" ht="18" customHeight="1" thickBot="1">
      <c r="A13" s="325" t="s">
        <v>69</v>
      </c>
      <c r="B13" s="264" t="s">
        <v>156</v>
      </c>
      <c r="C13" s="255"/>
      <c r="D13" s="256"/>
      <c r="E13" s="256"/>
      <c r="F13" s="256"/>
      <c r="G13" s="256"/>
      <c r="H13" s="256"/>
      <c r="I13" s="256"/>
      <c r="J13" s="256"/>
      <c r="K13" s="256"/>
      <c r="L13" s="256"/>
      <c r="M13" s="256"/>
      <c r="N13" s="256"/>
      <c r="O13" s="256"/>
      <c r="P13" s="256"/>
      <c r="Q13" s="256"/>
      <c r="R13" s="256"/>
      <c r="S13" s="256"/>
      <c r="T13" s="256"/>
      <c r="U13" s="256"/>
      <c r="V13" s="257"/>
    </row>
    <row r="14" spans="1:22" ht="18" customHeight="1" thickBot="1">
      <c r="A14" s="326"/>
      <c r="B14" s="265" t="s">
        <v>157</v>
      </c>
      <c r="C14" s="255"/>
      <c r="D14" s="256"/>
      <c r="E14" s="256"/>
      <c r="F14" s="256"/>
      <c r="G14" s="256"/>
      <c r="H14" s="256"/>
      <c r="I14" s="256"/>
      <c r="J14" s="256"/>
      <c r="K14" s="256"/>
      <c r="L14" s="256"/>
      <c r="M14" s="256"/>
      <c r="N14" s="256"/>
      <c r="O14" s="256"/>
      <c r="P14" s="256"/>
      <c r="Q14" s="256"/>
      <c r="R14" s="256"/>
      <c r="S14" s="256"/>
      <c r="T14" s="256"/>
      <c r="U14" s="256"/>
      <c r="V14" s="257"/>
    </row>
    <row r="15" spans="1:22" ht="26.25" thickBot="1">
      <c r="A15" s="260" t="s">
        <v>5</v>
      </c>
      <c r="B15" s="262" t="s">
        <v>4</v>
      </c>
      <c r="C15" s="255"/>
      <c r="D15" s="256"/>
      <c r="E15" s="256"/>
      <c r="F15" s="256"/>
      <c r="G15" s="256"/>
      <c r="H15" s="256"/>
      <c r="I15" s="256"/>
      <c r="J15" s="256"/>
      <c r="K15" s="256"/>
      <c r="L15" s="256"/>
      <c r="M15" s="256"/>
      <c r="N15" s="256"/>
      <c r="O15" s="256"/>
      <c r="P15" s="256"/>
      <c r="Q15" s="256"/>
      <c r="R15" s="256"/>
      <c r="S15" s="256"/>
      <c r="T15" s="256"/>
      <c r="U15" s="256"/>
      <c r="V15" s="257"/>
    </row>
    <row r="16" spans="1:22" ht="18" customHeight="1" thickBot="1">
      <c r="A16" s="260" t="s">
        <v>70</v>
      </c>
      <c r="B16" s="262" t="s">
        <v>171</v>
      </c>
      <c r="C16" s="255"/>
      <c r="D16" s="256"/>
      <c r="E16" s="256"/>
      <c r="F16" s="256"/>
      <c r="G16" s="256"/>
      <c r="H16" s="256"/>
      <c r="I16" s="256"/>
      <c r="J16" s="256"/>
      <c r="K16" s="256"/>
      <c r="L16" s="256"/>
      <c r="M16" s="256"/>
      <c r="N16" s="256"/>
      <c r="O16" s="256"/>
      <c r="P16" s="256"/>
      <c r="Q16" s="256"/>
      <c r="R16" s="256"/>
      <c r="S16" s="256"/>
      <c r="T16" s="256"/>
      <c r="U16" s="256"/>
      <c r="V16" s="257"/>
    </row>
    <row r="17" spans="1:22" ht="6.75" customHeight="1" thickBot="1">
      <c r="A17" s="321" t="s">
        <v>71</v>
      </c>
      <c r="B17" s="266"/>
      <c r="C17" s="255"/>
      <c r="D17" s="256"/>
      <c r="E17" s="256"/>
      <c r="F17" s="256"/>
      <c r="G17" s="256"/>
      <c r="H17" s="256"/>
      <c r="I17" s="256"/>
      <c r="J17" s="256"/>
      <c r="K17" s="256"/>
      <c r="L17" s="256"/>
      <c r="M17" s="256"/>
      <c r="N17" s="256"/>
      <c r="O17" s="256"/>
      <c r="P17" s="256"/>
      <c r="Q17" s="256"/>
      <c r="R17" s="256"/>
      <c r="S17" s="256"/>
      <c r="T17" s="256"/>
      <c r="U17" s="256"/>
      <c r="V17" s="257"/>
    </row>
    <row r="18" spans="1:22" ht="13.5" thickBot="1">
      <c r="A18" s="322"/>
      <c r="B18" s="267" t="s">
        <v>90</v>
      </c>
      <c r="C18" s="255"/>
      <c r="D18" s="256"/>
      <c r="E18" s="256"/>
      <c r="F18" s="256"/>
      <c r="G18" s="256"/>
      <c r="H18" s="256"/>
      <c r="I18" s="256"/>
      <c r="J18" s="256"/>
      <c r="K18" s="256"/>
      <c r="L18" s="256"/>
      <c r="M18" s="256"/>
      <c r="N18" s="256"/>
      <c r="O18" s="256"/>
      <c r="P18" s="256"/>
      <c r="Q18" s="256"/>
      <c r="R18" s="256"/>
      <c r="S18" s="256"/>
      <c r="T18" s="256"/>
      <c r="U18" s="256"/>
      <c r="V18" s="257"/>
    </row>
    <row r="19" spans="1:22" ht="26.25" thickBot="1">
      <c r="A19" s="322"/>
      <c r="B19" s="259" t="s">
        <v>101</v>
      </c>
      <c r="C19" s="255"/>
      <c r="D19" s="256"/>
      <c r="E19" s="256"/>
      <c r="F19" s="256"/>
      <c r="G19" s="256"/>
      <c r="H19" s="256"/>
      <c r="I19" s="256"/>
      <c r="J19" s="256"/>
      <c r="K19" s="256"/>
      <c r="L19" s="256"/>
      <c r="M19" s="256"/>
      <c r="N19" s="256"/>
      <c r="O19" s="256"/>
      <c r="P19" s="256"/>
      <c r="Q19" s="256"/>
      <c r="R19" s="256"/>
      <c r="S19" s="256"/>
      <c r="T19" s="256"/>
      <c r="U19" s="256"/>
      <c r="V19" s="257"/>
    </row>
    <row r="20" spans="1:22" ht="13.5" thickBot="1">
      <c r="A20" s="322"/>
      <c r="B20" s="259"/>
      <c r="C20" s="255"/>
      <c r="D20" s="256"/>
      <c r="E20" s="256"/>
      <c r="F20" s="256"/>
      <c r="G20" s="256"/>
      <c r="H20" s="256"/>
      <c r="I20" s="256"/>
      <c r="J20" s="256"/>
      <c r="K20" s="256"/>
      <c r="L20" s="256"/>
      <c r="M20" s="256"/>
      <c r="N20" s="256"/>
      <c r="O20" s="256"/>
      <c r="P20" s="256"/>
      <c r="Q20" s="256"/>
      <c r="R20" s="256"/>
      <c r="S20" s="256"/>
      <c r="T20" s="256"/>
      <c r="U20" s="256"/>
      <c r="V20" s="257"/>
    </row>
    <row r="21" spans="1:22" ht="13.5" thickBot="1">
      <c r="A21" s="322"/>
      <c r="B21" s="316" t="s">
        <v>170</v>
      </c>
      <c r="C21" s="255"/>
      <c r="D21" s="256"/>
      <c r="E21" s="256"/>
      <c r="F21" s="256"/>
      <c r="G21" s="256"/>
      <c r="H21" s="256"/>
      <c r="I21" s="256"/>
      <c r="J21" s="256"/>
      <c r="K21" s="256"/>
      <c r="L21" s="256"/>
      <c r="M21" s="256"/>
      <c r="N21" s="256"/>
      <c r="O21" s="256"/>
      <c r="P21" s="256"/>
      <c r="Q21" s="256"/>
      <c r="R21" s="256"/>
      <c r="S21" s="256"/>
      <c r="T21" s="256"/>
      <c r="U21" s="256"/>
      <c r="V21" s="257"/>
    </row>
    <row r="22" spans="1:22" ht="13.5" thickBot="1">
      <c r="A22" s="322"/>
      <c r="B22" s="266" t="s">
        <v>153</v>
      </c>
      <c r="C22" s="255"/>
      <c r="D22" s="256"/>
      <c r="E22" s="256"/>
      <c r="F22" s="256"/>
      <c r="G22" s="256"/>
      <c r="H22" s="256"/>
      <c r="I22" s="256"/>
      <c r="J22" s="256"/>
      <c r="K22" s="256"/>
      <c r="L22" s="256"/>
      <c r="M22" s="256"/>
      <c r="N22" s="256"/>
      <c r="O22" s="256"/>
      <c r="P22" s="256"/>
      <c r="Q22" s="256"/>
      <c r="R22" s="256"/>
      <c r="S22" s="256"/>
      <c r="T22" s="256"/>
      <c r="U22" s="256"/>
      <c r="V22" s="257"/>
    </row>
    <row r="23" spans="1:22" ht="10.5" customHeight="1" thickBot="1">
      <c r="A23" s="322"/>
      <c r="B23" s="259"/>
      <c r="C23" s="255"/>
      <c r="D23" s="256"/>
      <c r="E23" s="256"/>
      <c r="F23" s="256"/>
      <c r="G23" s="256"/>
      <c r="H23" s="256"/>
      <c r="I23" s="256"/>
      <c r="J23" s="256"/>
      <c r="K23" s="256"/>
      <c r="L23" s="256"/>
      <c r="M23" s="256"/>
      <c r="N23" s="256"/>
      <c r="O23" s="256"/>
      <c r="P23" s="256"/>
      <c r="Q23" s="256"/>
      <c r="R23" s="256"/>
      <c r="S23" s="256"/>
      <c r="T23" s="256"/>
      <c r="U23" s="256"/>
      <c r="V23" s="257"/>
    </row>
    <row r="24" spans="1:22" ht="13.5" thickBot="1">
      <c r="A24" s="322"/>
      <c r="B24" s="267" t="s">
        <v>92</v>
      </c>
      <c r="C24" s="255"/>
      <c r="D24" s="256"/>
      <c r="E24" s="256"/>
      <c r="F24" s="256"/>
      <c r="G24" s="256"/>
      <c r="H24" s="256"/>
      <c r="I24" s="256"/>
      <c r="J24" s="256"/>
      <c r="K24" s="256"/>
      <c r="L24" s="256"/>
      <c r="M24" s="256"/>
      <c r="N24" s="256"/>
      <c r="O24" s="256"/>
      <c r="P24" s="256"/>
      <c r="Q24" s="256"/>
      <c r="R24" s="256"/>
      <c r="S24" s="256"/>
      <c r="T24" s="256"/>
      <c r="U24" s="256"/>
      <c r="V24" s="257"/>
    </row>
    <row r="25" spans="1:22" ht="26.25" thickBot="1">
      <c r="A25" s="322"/>
      <c r="B25" s="259" t="s">
        <v>154</v>
      </c>
      <c r="C25" s="255"/>
      <c r="D25" s="256"/>
      <c r="E25" s="256"/>
      <c r="F25" s="256"/>
      <c r="G25" s="256"/>
      <c r="H25" s="256"/>
      <c r="I25" s="256"/>
      <c r="J25" s="256"/>
      <c r="K25" s="256"/>
      <c r="L25" s="256"/>
      <c r="M25" s="256"/>
      <c r="N25" s="256"/>
      <c r="O25" s="256"/>
      <c r="P25" s="256"/>
      <c r="Q25" s="256"/>
      <c r="R25" s="256"/>
      <c r="S25" s="256"/>
      <c r="T25" s="256"/>
      <c r="U25" s="256"/>
      <c r="V25" s="257"/>
    </row>
    <row r="26" spans="1:22" ht="13.5" thickBot="1">
      <c r="A26" s="322"/>
      <c r="B26" s="259"/>
      <c r="C26" s="255"/>
      <c r="D26" s="256"/>
      <c r="E26" s="256"/>
      <c r="F26" s="256"/>
      <c r="G26" s="256"/>
      <c r="H26" s="256"/>
      <c r="I26" s="256"/>
      <c r="J26" s="256"/>
      <c r="K26" s="256"/>
      <c r="L26" s="256"/>
      <c r="M26" s="256"/>
      <c r="N26" s="256"/>
      <c r="O26" s="256"/>
      <c r="P26" s="256"/>
      <c r="Q26" s="256"/>
      <c r="R26" s="256"/>
      <c r="S26" s="256"/>
      <c r="T26" s="256"/>
      <c r="U26" s="256"/>
      <c r="V26" s="257"/>
    </row>
    <row r="27" spans="1:22" ht="13.5" thickBot="1">
      <c r="A27" s="322"/>
      <c r="B27" s="267" t="s">
        <v>91</v>
      </c>
      <c r="C27" s="255"/>
      <c r="D27" s="256"/>
      <c r="E27" s="256"/>
      <c r="F27" s="256"/>
      <c r="G27" s="256"/>
      <c r="H27" s="256"/>
      <c r="I27" s="256"/>
      <c r="J27" s="256"/>
      <c r="K27" s="256"/>
      <c r="L27" s="256"/>
      <c r="M27" s="256"/>
      <c r="N27" s="256"/>
      <c r="O27" s="256"/>
      <c r="P27" s="256"/>
      <c r="Q27" s="256"/>
      <c r="R27" s="256"/>
      <c r="S27" s="256"/>
      <c r="T27" s="256"/>
      <c r="U27" s="256"/>
      <c r="V27" s="257"/>
    </row>
    <row r="28" spans="1:22" ht="13.5" thickBot="1">
      <c r="A28" s="322"/>
      <c r="B28" s="259" t="s">
        <v>155</v>
      </c>
      <c r="C28" s="255"/>
      <c r="D28" s="256"/>
      <c r="E28" s="256"/>
      <c r="F28" s="256"/>
      <c r="G28" s="256"/>
      <c r="H28" s="256"/>
      <c r="I28" s="256"/>
      <c r="J28" s="256"/>
      <c r="K28" s="256"/>
      <c r="L28" s="256"/>
      <c r="M28" s="256"/>
      <c r="N28" s="256"/>
      <c r="O28" s="256"/>
      <c r="P28" s="256"/>
      <c r="Q28" s="256"/>
      <c r="R28" s="256"/>
      <c r="S28" s="256"/>
      <c r="T28" s="256"/>
      <c r="U28" s="256"/>
      <c r="V28" s="257"/>
    </row>
    <row r="29" spans="1:22" ht="6.75" customHeight="1" thickBot="1">
      <c r="A29" s="323"/>
      <c r="B29" s="268"/>
      <c r="C29" s="255"/>
      <c r="D29" s="256"/>
      <c r="E29" s="256"/>
      <c r="F29" s="256"/>
      <c r="G29" s="256"/>
      <c r="H29" s="256"/>
      <c r="I29" s="256"/>
      <c r="J29" s="256"/>
      <c r="K29" s="256"/>
      <c r="L29" s="256"/>
      <c r="M29" s="256"/>
      <c r="N29" s="256"/>
      <c r="O29" s="256"/>
      <c r="P29" s="256"/>
      <c r="Q29" s="256"/>
      <c r="R29" s="256"/>
      <c r="S29" s="256"/>
      <c r="T29" s="256"/>
      <c r="U29" s="256"/>
      <c r="V29" s="257"/>
    </row>
    <row r="30" spans="1:22" ht="17.25" thickBot="1" thickTop="1">
      <c r="A30" s="269"/>
      <c r="B30" s="270"/>
      <c r="C30" s="256"/>
      <c r="D30" s="256"/>
      <c r="E30" s="256"/>
      <c r="F30" s="256"/>
      <c r="G30" s="256"/>
      <c r="H30" s="256"/>
      <c r="I30" s="256"/>
      <c r="J30" s="256"/>
      <c r="K30" s="256"/>
      <c r="L30" s="256"/>
      <c r="M30" s="256"/>
      <c r="N30" s="256"/>
      <c r="O30" s="256"/>
      <c r="P30" s="256"/>
      <c r="Q30" s="256"/>
      <c r="R30" s="256"/>
      <c r="S30" s="256"/>
      <c r="T30" s="256"/>
      <c r="U30" s="256"/>
      <c r="V30" s="257"/>
    </row>
    <row r="31" spans="1:22" ht="52.5" thickBot="1" thickTop="1">
      <c r="A31" s="271"/>
      <c r="B31" s="370" t="s">
        <v>177</v>
      </c>
      <c r="C31" s="256"/>
      <c r="D31" s="256"/>
      <c r="E31" s="256"/>
      <c r="F31" s="256"/>
      <c r="G31" s="256"/>
      <c r="H31" s="256"/>
      <c r="I31" s="256"/>
      <c r="J31" s="256"/>
      <c r="K31" s="256"/>
      <c r="L31" s="256"/>
      <c r="M31" s="256"/>
      <c r="N31" s="256"/>
      <c r="O31" s="256"/>
      <c r="P31" s="256"/>
      <c r="Q31" s="256"/>
      <c r="R31" s="256"/>
      <c r="S31" s="256"/>
      <c r="T31" s="256"/>
      <c r="U31" s="256"/>
      <c r="V31" s="257"/>
    </row>
    <row r="32" spans="1:22" ht="14.25" thickBot="1" thickTop="1">
      <c r="A32" s="271"/>
      <c r="B32" s="272"/>
      <c r="C32" s="256"/>
      <c r="D32" s="256"/>
      <c r="E32" s="256"/>
      <c r="F32" s="256"/>
      <c r="G32" s="256"/>
      <c r="H32" s="256"/>
      <c r="I32" s="256"/>
      <c r="J32" s="256"/>
      <c r="K32" s="256"/>
      <c r="L32" s="256"/>
      <c r="M32" s="256"/>
      <c r="N32" s="256"/>
      <c r="O32" s="256"/>
      <c r="P32" s="256"/>
      <c r="Q32" s="256"/>
      <c r="R32" s="256"/>
      <c r="S32" s="256"/>
      <c r="T32" s="256"/>
      <c r="U32" s="256"/>
      <c r="V32" s="257"/>
    </row>
    <row r="33" spans="1:22" ht="14.25" thickBot="1" thickTop="1">
      <c r="A33" s="271"/>
      <c r="B33" s="272"/>
      <c r="C33" s="256"/>
      <c r="D33" s="256"/>
      <c r="E33" s="256"/>
      <c r="F33" s="256"/>
      <c r="G33" s="256"/>
      <c r="H33" s="256"/>
      <c r="I33" s="256"/>
      <c r="J33" s="256"/>
      <c r="K33" s="256"/>
      <c r="L33" s="256"/>
      <c r="M33" s="256"/>
      <c r="N33" s="256"/>
      <c r="O33" s="256"/>
      <c r="P33" s="256"/>
      <c r="Q33" s="256"/>
      <c r="R33" s="256"/>
      <c r="S33" s="256"/>
      <c r="T33" s="256"/>
      <c r="U33" s="256"/>
      <c r="V33" s="257"/>
    </row>
    <row r="34" spans="1:22" ht="14.25" thickBot="1" thickTop="1">
      <c r="A34" s="271"/>
      <c r="B34" s="272"/>
      <c r="C34" s="256"/>
      <c r="D34" s="256"/>
      <c r="E34" s="256"/>
      <c r="F34" s="256"/>
      <c r="G34" s="256"/>
      <c r="H34" s="256"/>
      <c r="I34" s="256"/>
      <c r="J34" s="256"/>
      <c r="K34" s="256"/>
      <c r="L34" s="256"/>
      <c r="M34" s="256"/>
      <c r="N34" s="256"/>
      <c r="O34" s="256"/>
      <c r="P34" s="256"/>
      <c r="Q34" s="256"/>
      <c r="R34" s="256"/>
      <c r="S34" s="256"/>
      <c r="T34" s="256"/>
      <c r="U34" s="256"/>
      <c r="V34" s="257"/>
    </row>
    <row r="35" spans="1:22" ht="14.25" thickBot="1" thickTop="1">
      <c r="A35" s="271"/>
      <c r="B35" s="272"/>
      <c r="C35" s="256"/>
      <c r="D35" s="256"/>
      <c r="E35" s="256"/>
      <c r="F35" s="256"/>
      <c r="G35" s="256"/>
      <c r="H35" s="256"/>
      <c r="I35" s="256"/>
      <c r="J35" s="256"/>
      <c r="K35" s="256"/>
      <c r="L35" s="256"/>
      <c r="M35" s="256"/>
      <c r="N35" s="256"/>
      <c r="O35" s="256"/>
      <c r="P35" s="256"/>
      <c r="Q35" s="256"/>
      <c r="R35" s="256"/>
      <c r="S35" s="256"/>
      <c r="T35" s="256"/>
      <c r="U35" s="256"/>
      <c r="V35" s="257"/>
    </row>
    <row r="36" spans="1:22" ht="14.25" thickBot="1" thickTop="1">
      <c r="A36" s="271"/>
      <c r="B36" s="272"/>
      <c r="C36" s="256"/>
      <c r="D36" s="256"/>
      <c r="E36" s="256"/>
      <c r="F36" s="256"/>
      <c r="G36" s="256"/>
      <c r="H36" s="256"/>
      <c r="I36" s="256"/>
      <c r="J36" s="256"/>
      <c r="K36" s="256"/>
      <c r="L36" s="256"/>
      <c r="M36" s="256"/>
      <c r="N36" s="256"/>
      <c r="O36" s="256"/>
      <c r="P36" s="256"/>
      <c r="Q36" s="256"/>
      <c r="R36" s="256"/>
      <c r="S36" s="256"/>
      <c r="T36" s="256"/>
      <c r="U36" s="256"/>
      <c r="V36" s="257"/>
    </row>
    <row r="37" spans="1:22" ht="14.25" thickBot="1" thickTop="1">
      <c r="A37" s="271"/>
      <c r="B37" s="272"/>
      <c r="C37" s="256"/>
      <c r="D37" s="256"/>
      <c r="E37" s="256"/>
      <c r="F37" s="256"/>
      <c r="G37" s="256"/>
      <c r="H37" s="256"/>
      <c r="I37" s="256"/>
      <c r="J37" s="256"/>
      <c r="K37" s="256"/>
      <c r="L37" s="256"/>
      <c r="M37" s="256"/>
      <c r="N37" s="256"/>
      <c r="O37" s="256"/>
      <c r="P37" s="256"/>
      <c r="Q37" s="256"/>
      <c r="R37" s="256"/>
      <c r="S37" s="256"/>
      <c r="T37" s="256"/>
      <c r="U37" s="256"/>
      <c r="V37" s="257"/>
    </row>
    <row r="38" spans="1:22" ht="14.25" thickBot="1" thickTop="1">
      <c r="A38" s="271"/>
      <c r="B38" s="272"/>
      <c r="C38" s="256"/>
      <c r="D38" s="256"/>
      <c r="E38" s="256"/>
      <c r="F38" s="256"/>
      <c r="G38" s="256"/>
      <c r="H38" s="256"/>
      <c r="I38" s="256"/>
      <c r="J38" s="256"/>
      <c r="K38" s="256"/>
      <c r="L38" s="256"/>
      <c r="M38" s="256"/>
      <c r="N38" s="256"/>
      <c r="O38" s="256"/>
      <c r="P38" s="256"/>
      <c r="Q38" s="256"/>
      <c r="R38" s="256"/>
      <c r="S38" s="256"/>
      <c r="T38" s="256"/>
      <c r="U38" s="256"/>
      <c r="V38" s="257"/>
    </row>
    <row r="39" spans="1:22" ht="14.25" thickBot="1" thickTop="1">
      <c r="A39" s="271"/>
      <c r="B39" s="272"/>
      <c r="C39" s="256"/>
      <c r="D39" s="256"/>
      <c r="E39" s="256"/>
      <c r="F39" s="256"/>
      <c r="G39" s="256"/>
      <c r="H39" s="256"/>
      <c r="I39" s="256"/>
      <c r="J39" s="256"/>
      <c r="K39" s="256"/>
      <c r="L39" s="256"/>
      <c r="M39" s="256"/>
      <c r="N39" s="256"/>
      <c r="O39" s="256"/>
      <c r="P39" s="256"/>
      <c r="Q39" s="256"/>
      <c r="R39" s="256"/>
      <c r="S39" s="256"/>
      <c r="T39" s="256"/>
      <c r="U39" s="256"/>
      <c r="V39" s="257"/>
    </row>
    <row r="40" spans="1:22" ht="14.25" thickBot="1" thickTop="1">
      <c r="A40" s="271"/>
      <c r="B40" s="272"/>
      <c r="C40" s="256"/>
      <c r="D40" s="256"/>
      <c r="E40" s="256"/>
      <c r="F40" s="256"/>
      <c r="G40" s="256"/>
      <c r="H40" s="256"/>
      <c r="I40" s="256"/>
      <c r="J40" s="256"/>
      <c r="K40" s="256"/>
      <c r="L40" s="256"/>
      <c r="M40" s="256"/>
      <c r="N40" s="256"/>
      <c r="O40" s="256"/>
      <c r="P40" s="256"/>
      <c r="Q40" s="256"/>
      <c r="R40" s="256"/>
      <c r="S40" s="256"/>
      <c r="T40" s="256"/>
      <c r="U40" s="256"/>
      <c r="V40" s="257"/>
    </row>
    <row r="41" spans="1:22" ht="14.25" thickBot="1" thickTop="1">
      <c r="A41" s="271"/>
      <c r="B41" s="272"/>
      <c r="C41" s="256"/>
      <c r="D41" s="256"/>
      <c r="E41" s="256"/>
      <c r="F41" s="256"/>
      <c r="G41" s="256"/>
      <c r="H41" s="256"/>
      <c r="I41" s="256"/>
      <c r="J41" s="256"/>
      <c r="K41" s="256"/>
      <c r="L41" s="256"/>
      <c r="M41" s="256"/>
      <c r="N41" s="256"/>
      <c r="O41" s="256"/>
      <c r="P41" s="256"/>
      <c r="Q41" s="256"/>
      <c r="R41" s="256"/>
      <c r="S41" s="256"/>
      <c r="T41" s="256"/>
      <c r="U41" s="256"/>
      <c r="V41" s="257"/>
    </row>
    <row r="42" spans="1:22" ht="14.25" thickBot="1" thickTop="1">
      <c r="A42" s="271"/>
      <c r="B42" s="272"/>
      <c r="C42" s="256"/>
      <c r="D42" s="256"/>
      <c r="E42" s="256"/>
      <c r="F42" s="256"/>
      <c r="G42" s="256"/>
      <c r="H42" s="256"/>
      <c r="I42" s="256"/>
      <c r="J42" s="256"/>
      <c r="K42" s="256"/>
      <c r="L42" s="256"/>
      <c r="M42" s="256"/>
      <c r="N42" s="256"/>
      <c r="O42" s="256"/>
      <c r="P42" s="256"/>
      <c r="Q42" s="256"/>
      <c r="R42" s="256"/>
      <c r="S42" s="256"/>
      <c r="T42" s="256"/>
      <c r="U42" s="256"/>
      <c r="V42" s="257"/>
    </row>
    <row r="43" spans="1:22" ht="14.25" thickBot="1" thickTop="1">
      <c r="A43" s="271"/>
      <c r="B43" s="272"/>
      <c r="C43" s="256"/>
      <c r="D43" s="256"/>
      <c r="E43" s="256"/>
      <c r="F43" s="256"/>
      <c r="G43" s="256"/>
      <c r="H43" s="256"/>
      <c r="I43" s="256"/>
      <c r="J43" s="256"/>
      <c r="K43" s="256"/>
      <c r="L43" s="256"/>
      <c r="M43" s="256"/>
      <c r="N43" s="256"/>
      <c r="O43" s="256"/>
      <c r="P43" s="256"/>
      <c r="Q43" s="256"/>
      <c r="R43" s="256"/>
      <c r="S43" s="256"/>
      <c r="T43" s="256"/>
      <c r="U43" s="256"/>
      <c r="V43" s="257"/>
    </row>
    <row r="44" spans="1:22" ht="14.25" thickBot="1" thickTop="1">
      <c r="A44" s="271"/>
      <c r="B44" s="272"/>
      <c r="C44" s="256"/>
      <c r="D44" s="256"/>
      <c r="E44" s="256"/>
      <c r="F44" s="256"/>
      <c r="G44" s="256"/>
      <c r="H44" s="256"/>
      <c r="I44" s="256"/>
      <c r="J44" s="256"/>
      <c r="K44" s="256"/>
      <c r="L44" s="256"/>
      <c r="M44" s="256"/>
      <c r="N44" s="256"/>
      <c r="O44" s="256"/>
      <c r="P44" s="256"/>
      <c r="Q44" s="256"/>
      <c r="R44" s="256"/>
      <c r="S44" s="256"/>
      <c r="T44" s="256"/>
      <c r="U44" s="256"/>
      <c r="V44" s="257"/>
    </row>
    <row r="45" spans="1:22" ht="14.25" thickBot="1" thickTop="1">
      <c r="A45" s="271"/>
      <c r="B45" s="272"/>
      <c r="C45" s="256"/>
      <c r="D45" s="256"/>
      <c r="E45" s="256"/>
      <c r="F45" s="256"/>
      <c r="G45" s="256"/>
      <c r="H45" s="256"/>
      <c r="I45" s="256"/>
      <c r="J45" s="256"/>
      <c r="K45" s="256"/>
      <c r="L45" s="256"/>
      <c r="M45" s="256"/>
      <c r="N45" s="256"/>
      <c r="O45" s="256"/>
      <c r="P45" s="256"/>
      <c r="Q45" s="256"/>
      <c r="R45" s="256"/>
      <c r="S45" s="256"/>
      <c r="T45" s="256"/>
      <c r="U45" s="256"/>
      <c r="V45" s="257"/>
    </row>
    <row r="46" spans="1:22" ht="14.25" thickBot="1" thickTop="1">
      <c r="A46" s="271"/>
      <c r="B46" s="272"/>
      <c r="C46" s="256"/>
      <c r="D46" s="256"/>
      <c r="E46" s="256"/>
      <c r="F46" s="256"/>
      <c r="G46" s="256"/>
      <c r="H46" s="256"/>
      <c r="I46" s="256"/>
      <c r="J46" s="256"/>
      <c r="K46" s="256"/>
      <c r="L46" s="256"/>
      <c r="M46" s="256"/>
      <c r="N46" s="256"/>
      <c r="O46" s="256"/>
      <c r="P46" s="256"/>
      <c r="Q46" s="256"/>
      <c r="R46" s="256"/>
      <c r="S46" s="256"/>
      <c r="T46" s="256"/>
      <c r="U46" s="256"/>
      <c r="V46" s="257"/>
    </row>
    <row r="47" spans="1:22" ht="14.25" thickBot="1" thickTop="1">
      <c r="A47" s="271"/>
      <c r="B47" s="272"/>
      <c r="C47" s="256"/>
      <c r="D47" s="256"/>
      <c r="E47" s="256"/>
      <c r="F47" s="256"/>
      <c r="G47" s="256"/>
      <c r="H47" s="256"/>
      <c r="I47" s="256"/>
      <c r="J47" s="256"/>
      <c r="K47" s="256"/>
      <c r="L47" s="256"/>
      <c r="M47" s="256"/>
      <c r="N47" s="256"/>
      <c r="O47" s="256"/>
      <c r="P47" s="256"/>
      <c r="Q47" s="256"/>
      <c r="R47" s="256"/>
      <c r="S47" s="256"/>
      <c r="T47" s="256"/>
      <c r="U47" s="256"/>
      <c r="V47" s="257"/>
    </row>
    <row r="48" spans="1:22" ht="14.25" thickBot="1" thickTop="1">
      <c r="A48" s="271"/>
      <c r="B48" s="272"/>
      <c r="C48" s="256"/>
      <c r="D48" s="256"/>
      <c r="E48" s="256"/>
      <c r="F48" s="256"/>
      <c r="G48" s="256"/>
      <c r="H48" s="256"/>
      <c r="I48" s="256"/>
      <c r="J48" s="256"/>
      <c r="K48" s="256"/>
      <c r="L48" s="256"/>
      <c r="M48" s="256"/>
      <c r="N48" s="256"/>
      <c r="O48" s="256"/>
      <c r="P48" s="256"/>
      <c r="Q48" s="256"/>
      <c r="R48" s="256"/>
      <c r="S48" s="256"/>
      <c r="T48" s="256"/>
      <c r="U48" s="256"/>
      <c r="V48" s="257"/>
    </row>
    <row r="49" spans="1:22" ht="14.25" thickBot="1" thickTop="1">
      <c r="A49" s="271"/>
      <c r="B49" s="272"/>
      <c r="C49" s="256"/>
      <c r="D49" s="256"/>
      <c r="E49" s="256"/>
      <c r="F49" s="256"/>
      <c r="G49" s="256"/>
      <c r="H49" s="256"/>
      <c r="I49" s="256"/>
      <c r="J49" s="256"/>
      <c r="K49" s="256"/>
      <c r="L49" s="256"/>
      <c r="M49" s="256"/>
      <c r="N49" s="256"/>
      <c r="O49" s="256"/>
      <c r="P49" s="256"/>
      <c r="Q49" s="256"/>
      <c r="R49" s="256"/>
      <c r="S49" s="256"/>
      <c r="T49" s="256"/>
      <c r="U49" s="256"/>
      <c r="V49" s="257"/>
    </row>
    <row r="50" spans="1:22" ht="14.25" thickBot="1" thickTop="1">
      <c r="A50" s="271"/>
      <c r="B50" s="272"/>
      <c r="C50" s="256"/>
      <c r="D50" s="256"/>
      <c r="E50" s="256"/>
      <c r="F50" s="256"/>
      <c r="G50" s="256"/>
      <c r="H50" s="256"/>
      <c r="I50" s="256"/>
      <c r="J50" s="256"/>
      <c r="K50" s="256"/>
      <c r="L50" s="256"/>
      <c r="M50" s="256"/>
      <c r="N50" s="256"/>
      <c r="O50" s="256"/>
      <c r="P50" s="256"/>
      <c r="Q50" s="256"/>
      <c r="R50" s="256"/>
      <c r="S50" s="256"/>
      <c r="T50" s="256"/>
      <c r="U50" s="256"/>
      <c r="V50" s="257"/>
    </row>
    <row r="51" spans="1:22" ht="14.25" thickBot="1" thickTop="1">
      <c r="A51" s="271"/>
      <c r="B51" s="272"/>
      <c r="C51" s="256"/>
      <c r="D51" s="256"/>
      <c r="E51" s="256"/>
      <c r="F51" s="256"/>
      <c r="G51" s="256"/>
      <c r="H51" s="256"/>
      <c r="I51" s="256"/>
      <c r="J51" s="256"/>
      <c r="K51" s="256"/>
      <c r="L51" s="256"/>
      <c r="M51" s="256"/>
      <c r="N51" s="256"/>
      <c r="O51" s="256"/>
      <c r="P51" s="256"/>
      <c r="Q51" s="256"/>
      <c r="R51" s="256"/>
      <c r="S51" s="256"/>
      <c r="T51" s="256"/>
      <c r="U51" s="256"/>
      <c r="V51" s="257"/>
    </row>
    <row r="52" spans="1:22" ht="14.25" thickBot="1" thickTop="1">
      <c r="A52" s="271"/>
      <c r="B52" s="272"/>
      <c r="C52" s="256"/>
      <c r="D52" s="256"/>
      <c r="E52" s="256"/>
      <c r="F52" s="256"/>
      <c r="G52" s="256"/>
      <c r="H52" s="256"/>
      <c r="I52" s="256"/>
      <c r="J52" s="256"/>
      <c r="K52" s="256"/>
      <c r="L52" s="256"/>
      <c r="M52" s="256"/>
      <c r="N52" s="256"/>
      <c r="O52" s="256"/>
      <c r="P52" s="256"/>
      <c r="Q52" s="256"/>
      <c r="R52" s="256"/>
      <c r="S52" s="256"/>
      <c r="T52" s="256"/>
      <c r="U52" s="256"/>
      <c r="V52" s="257"/>
    </row>
    <row r="53" spans="1:22" ht="14.25" thickBot="1" thickTop="1">
      <c r="A53" s="271"/>
      <c r="B53" s="272"/>
      <c r="C53" s="256"/>
      <c r="D53" s="256"/>
      <c r="E53" s="256"/>
      <c r="F53" s="256"/>
      <c r="G53" s="256"/>
      <c r="H53" s="256"/>
      <c r="I53" s="256"/>
      <c r="J53" s="256"/>
      <c r="K53" s="256"/>
      <c r="L53" s="256"/>
      <c r="M53" s="256"/>
      <c r="N53" s="256"/>
      <c r="O53" s="256"/>
      <c r="P53" s="256"/>
      <c r="Q53" s="256"/>
      <c r="R53" s="256"/>
      <c r="S53" s="256"/>
      <c r="T53" s="256"/>
      <c r="U53" s="256"/>
      <c r="V53" s="257"/>
    </row>
    <row r="54" spans="1:22" ht="14.25" thickBot="1" thickTop="1">
      <c r="A54" s="271"/>
      <c r="B54" s="272"/>
      <c r="C54" s="256"/>
      <c r="D54" s="256"/>
      <c r="E54" s="256"/>
      <c r="F54" s="256"/>
      <c r="G54" s="256"/>
      <c r="H54" s="256"/>
      <c r="I54" s="256"/>
      <c r="J54" s="256"/>
      <c r="K54" s="256"/>
      <c r="L54" s="256"/>
      <c r="M54" s="256"/>
      <c r="N54" s="256"/>
      <c r="O54" s="256"/>
      <c r="P54" s="256"/>
      <c r="Q54" s="256"/>
      <c r="R54" s="256"/>
      <c r="S54" s="256"/>
      <c r="T54" s="256"/>
      <c r="U54" s="256"/>
      <c r="V54" s="257"/>
    </row>
    <row r="55" spans="1:22" ht="14.25" thickBot="1" thickTop="1">
      <c r="A55" s="271"/>
      <c r="B55" s="272"/>
      <c r="C55" s="256"/>
      <c r="D55" s="256"/>
      <c r="E55" s="256"/>
      <c r="F55" s="256"/>
      <c r="G55" s="256"/>
      <c r="H55" s="256"/>
      <c r="I55" s="256"/>
      <c r="J55" s="256"/>
      <c r="K55" s="256"/>
      <c r="L55" s="256"/>
      <c r="M55" s="256"/>
      <c r="N55" s="256"/>
      <c r="O55" s="256"/>
      <c r="P55" s="256"/>
      <c r="Q55" s="256"/>
      <c r="R55" s="256"/>
      <c r="S55" s="256"/>
      <c r="T55" s="256"/>
      <c r="U55" s="256"/>
      <c r="V55" s="257"/>
    </row>
    <row r="56" spans="1:22" ht="14.25" thickBot="1" thickTop="1">
      <c r="A56" s="271"/>
      <c r="B56" s="272"/>
      <c r="C56" s="256"/>
      <c r="D56" s="256"/>
      <c r="E56" s="256"/>
      <c r="F56" s="256"/>
      <c r="G56" s="256"/>
      <c r="H56" s="256"/>
      <c r="I56" s="256"/>
      <c r="J56" s="256"/>
      <c r="K56" s="256"/>
      <c r="L56" s="256"/>
      <c r="M56" s="256"/>
      <c r="N56" s="256"/>
      <c r="O56" s="256"/>
      <c r="P56" s="256"/>
      <c r="Q56" s="256"/>
      <c r="R56" s="256"/>
      <c r="S56" s="256"/>
      <c r="T56" s="256"/>
      <c r="U56" s="256"/>
      <c r="V56" s="257"/>
    </row>
    <row r="57" spans="1:22" ht="14.25" thickBot="1" thickTop="1">
      <c r="A57" s="271"/>
      <c r="B57" s="272"/>
      <c r="C57" s="256"/>
      <c r="D57" s="256"/>
      <c r="E57" s="256"/>
      <c r="F57" s="256"/>
      <c r="G57" s="256"/>
      <c r="H57" s="256"/>
      <c r="I57" s="256"/>
      <c r="J57" s="256"/>
      <c r="K57" s="256"/>
      <c r="L57" s="256"/>
      <c r="M57" s="256"/>
      <c r="N57" s="256"/>
      <c r="O57" s="256"/>
      <c r="P57" s="256"/>
      <c r="Q57" s="256"/>
      <c r="R57" s="256"/>
      <c r="S57" s="256"/>
      <c r="T57" s="256"/>
      <c r="U57" s="256"/>
      <c r="V57" s="257"/>
    </row>
    <row r="58" spans="1:22" ht="14.25" thickBot="1" thickTop="1">
      <c r="A58" s="271"/>
      <c r="B58" s="272"/>
      <c r="C58" s="256"/>
      <c r="D58" s="256"/>
      <c r="E58" s="256"/>
      <c r="F58" s="256"/>
      <c r="G58" s="256"/>
      <c r="H58" s="256"/>
      <c r="I58" s="256"/>
      <c r="J58" s="256"/>
      <c r="K58" s="256"/>
      <c r="L58" s="256"/>
      <c r="M58" s="256"/>
      <c r="N58" s="256"/>
      <c r="O58" s="256"/>
      <c r="P58" s="256"/>
      <c r="Q58" s="256"/>
      <c r="R58" s="256"/>
      <c r="S58" s="256"/>
      <c r="T58" s="256"/>
      <c r="U58" s="256"/>
      <c r="V58" s="257"/>
    </row>
    <row r="59" spans="1:22" ht="14.25" thickBot="1" thickTop="1">
      <c r="A59" s="271"/>
      <c r="B59" s="272"/>
      <c r="C59" s="256"/>
      <c r="D59" s="256"/>
      <c r="E59" s="256"/>
      <c r="F59" s="256"/>
      <c r="G59" s="256"/>
      <c r="H59" s="256"/>
      <c r="I59" s="256"/>
      <c r="J59" s="256"/>
      <c r="K59" s="256"/>
      <c r="L59" s="256"/>
      <c r="M59" s="256"/>
      <c r="N59" s="256"/>
      <c r="O59" s="256"/>
      <c r="P59" s="256"/>
      <c r="Q59" s="256"/>
      <c r="R59" s="256"/>
      <c r="S59" s="256"/>
      <c r="T59" s="256"/>
      <c r="U59" s="256"/>
      <c r="V59" s="257"/>
    </row>
    <row r="60" spans="1:22" ht="14.25" thickBot="1" thickTop="1">
      <c r="A60" s="271"/>
      <c r="B60" s="272"/>
      <c r="C60" s="256"/>
      <c r="D60" s="256"/>
      <c r="E60" s="256"/>
      <c r="F60" s="256"/>
      <c r="G60" s="256"/>
      <c r="H60" s="256"/>
      <c r="I60" s="256"/>
      <c r="J60" s="256"/>
      <c r="K60" s="256"/>
      <c r="L60" s="256"/>
      <c r="M60" s="256"/>
      <c r="N60" s="256"/>
      <c r="O60" s="256"/>
      <c r="P60" s="256"/>
      <c r="Q60" s="256"/>
      <c r="R60" s="256"/>
      <c r="S60" s="256"/>
      <c r="T60" s="256"/>
      <c r="U60" s="256"/>
      <c r="V60" s="257"/>
    </row>
    <row r="61" spans="1:22" ht="14.25" thickBot="1" thickTop="1">
      <c r="A61" s="271"/>
      <c r="B61" s="272"/>
      <c r="C61" s="256"/>
      <c r="D61" s="256"/>
      <c r="E61" s="256"/>
      <c r="F61" s="256"/>
      <c r="G61" s="256"/>
      <c r="H61" s="256"/>
      <c r="I61" s="256"/>
      <c r="J61" s="256"/>
      <c r="K61" s="256"/>
      <c r="L61" s="256"/>
      <c r="M61" s="256"/>
      <c r="N61" s="256"/>
      <c r="O61" s="256"/>
      <c r="P61" s="256"/>
      <c r="Q61" s="256"/>
      <c r="R61" s="256"/>
      <c r="S61" s="256"/>
      <c r="T61" s="256"/>
      <c r="U61" s="256"/>
      <c r="V61" s="257"/>
    </row>
    <row r="62" spans="1:22" ht="14.25" thickBot="1" thickTop="1">
      <c r="A62" s="271"/>
      <c r="B62" s="272"/>
      <c r="C62" s="256"/>
      <c r="D62" s="256"/>
      <c r="E62" s="256"/>
      <c r="F62" s="256"/>
      <c r="G62" s="256"/>
      <c r="H62" s="256"/>
      <c r="I62" s="256"/>
      <c r="J62" s="256"/>
      <c r="K62" s="256"/>
      <c r="L62" s="256"/>
      <c r="M62" s="256"/>
      <c r="N62" s="256"/>
      <c r="O62" s="256"/>
      <c r="P62" s="256"/>
      <c r="Q62" s="256"/>
      <c r="R62" s="256"/>
      <c r="S62" s="256"/>
      <c r="T62" s="256"/>
      <c r="U62" s="256"/>
      <c r="V62" s="257"/>
    </row>
    <row r="63" spans="1:22" ht="14.25" thickBot="1" thickTop="1">
      <c r="A63" s="271"/>
      <c r="B63" s="272"/>
      <c r="C63" s="256"/>
      <c r="D63" s="256"/>
      <c r="E63" s="256"/>
      <c r="F63" s="256"/>
      <c r="G63" s="256"/>
      <c r="H63" s="256"/>
      <c r="I63" s="256"/>
      <c r="J63" s="256"/>
      <c r="K63" s="256"/>
      <c r="L63" s="256"/>
      <c r="M63" s="256"/>
      <c r="N63" s="256"/>
      <c r="O63" s="256"/>
      <c r="P63" s="256"/>
      <c r="Q63" s="256"/>
      <c r="R63" s="256"/>
      <c r="S63" s="256"/>
      <c r="T63" s="256"/>
      <c r="U63" s="256"/>
      <c r="V63" s="257"/>
    </row>
    <row r="64" spans="1:22" ht="14.25" thickBot="1" thickTop="1">
      <c r="A64" s="271"/>
      <c r="B64" s="272"/>
      <c r="C64" s="256"/>
      <c r="D64" s="256"/>
      <c r="E64" s="256"/>
      <c r="F64" s="256"/>
      <c r="G64" s="256"/>
      <c r="H64" s="256"/>
      <c r="I64" s="256"/>
      <c r="J64" s="256"/>
      <c r="K64" s="256"/>
      <c r="L64" s="256"/>
      <c r="M64" s="256"/>
      <c r="N64" s="256"/>
      <c r="O64" s="256"/>
      <c r="P64" s="256"/>
      <c r="Q64" s="256"/>
      <c r="R64" s="256"/>
      <c r="S64" s="256"/>
      <c r="T64" s="256"/>
      <c r="U64" s="256"/>
      <c r="V64" s="257"/>
    </row>
    <row r="65" spans="1:22" ht="14.25" thickBot="1" thickTop="1">
      <c r="A65" s="271"/>
      <c r="B65" s="272"/>
      <c r="C65" s="256"/>
      <c r="D65" s="256"/>
      <c r="E65" s="256"/>
      <c r="F65" s="256"/>
      <c r="G65" s="256"/>
      <c r="H65" s="256"/>
      <c r="I65" s="256"/>
      <c r="J65" s="256"/>
      <c r="K65" s="256"/>
      <c r="L65" s="256"/>
      <c r="M65" s="256"/>
      <c r="N65" s="256"/>
      <c r="O65" s="256"/>
      <c r="P65" s="256"/>
      <c r="Q65" s="256"/>
      <c r="R65" s="256"/>
      <c r="S65" s="256"/>
      <c r="T65" s="256"/>
      <c r="U65" s="256"/>
      <c r="V65" s="257"/>
    </row>
    <row r="66" spans="1:22" ht="14.25" thickBot="1" thickTop="1">
      <c r="A66" s="271"/>
      <c r="B66" s="272"/>
      <c r="C66" s="256"/>
      <c r="D66" s="256"/>
      <c r="E66" s="256"/>
      <c r="F66" s="256"/>
      <c r="G66" s="256"/>
      <c r="H66" s="256"/>
      <c r="I66" s="256"/>
      <c r="J66" s="256"/>
      <c r="K66" s="256"/>
      <c r="L66" s="256"/>
      <c r="M66" s="256"/>
      <c r="N66" s="256"/>
      <c r="O66" s="256"/>
      <c r="P66" s="256"/>
      <c r="Q66" s="256"/>
      <c r="R66" s="256"/>
      <c r="S66" s="256"/>
      <c r="T66" s="256"/>
      <c r="U66" s="256"/>
      <c r="V66" s="257"/>
    </row>
    <row r="67" spans="1:22" ht="14.25" thickBot="1" thickTop="1">
      <c r="A67" s="271"/>
      <c r="B67" s="272"/>
      <c r="C67" s="256"/>
      <c r="D67" s="256"/>
      <c r="E67" s="256"/>
      <c r="F67" s="256"/>
      <c r="G67" s="256"/>
      <c r="H67" s="256"/>
      <c r="I67" s="256"/>
      <c r="J67" s="256"/>
      <c r="K67" s="256"/>
      <c r="L67" s="256"/>
      <c r="M67" s="256"/>
      <c r="N67" s="256"/>
      <c r="O67" s="256"/>
      <c r="P67" s="256"/>
      <c r="Q67" s="256"/>
      <c r="R67" s="256"/>
      <c r="S67" s="256"/>
      <c r="T67" s="256"/>
      <c r="U67" s="256"/>
      <c r="V67" s="257"/>
    </row>
    <row r="68" spans="1:22" ht="14.25" thickBot="1" thickTop="1">
      <c r="A68" s="271"/>
      <c r="B68" s="272"/>
      <c r="C68" s="256"/>
      <c r="D68" s="256"/>
      <c r="E68" s="256"/>
      <c r="F68" s="256"/>
      <c r="G68" s="256"/>
      <c r="H68" s="256"/>
      <c r="I68" s="256"/>
      <c r="J68" s="256"/>
      <c r="K68" s="256"/>
      <c r="L68" s="256"/>
      <c r="M68" s="256"/>
      <c r="N68" s="256"/>
      <c r="O68" s="256"/>
      <c r="P68" s="256"/>
      <c r="Q68" s="256"/>
      <c r="R68" s="256"/>
      <c r="S68" s="256"/>
      <c r="T68" s="256"/>
      <c r="U68" s="256"/>
      <c r="V68" s="257"/>
    </row>
    <row r="69" spans="1:22" ht="14.25" thickBot="1" thickTop="1">
      <c r="A69" s="271"/>
      <c r="B69" s="272"/>
      <c r="C69" s="256"/>
      <c r="D69" s="256"/>
      <c r="E69" s="256"/>
      <c r="F69" s="256"/>
      <c r="G69" s="256"/>
      <c r="H69" s="256"/>
      <c r="I69" s="256"/>
      <c r="J69" s="256"/>
      <c r="K69" s="256"/>
      <c r="L69" s="256"/>
      <c r="M69" s="256"/>
      <c r="N69" s="256"/>
      <c r="O69" s="256"/>
      <c r="P69" s="256"/>
      <c r="Q69" s="256"/>
      <c r="R69" s="256"/>
      <c r="S69" s="256"/>
      <c r="T69" s="256"/>
      <c r="U69" s="256"/>
      <c r="V69" s="257"/>
    </row>
    <row r="70" spans="1:22" ht="14.25" thickBot="1" thickTop="1">
      <c r="A70" s="271"/>
      <c r="B70" s="272"/>
      <c r="C70" s="256"/>
      <c r="D70" s="256"/>
      <c r="E70" s="256"/>
      <c r="F70" s="256"/>
      <c r="G70" s="256"/>
      <c r="H70" s="256"/>
      <c r="I70" s="256"/>
      <c r="J70" s="256"/>
      <c r="K70" s="256"/>
      <c r="L70" s="256"/>
      <c r="M70" s="256"/>
      <c r="N70" s="256"/>
      <c r="O70" s="256"/>
      <c r="P70" s="256"/>
      <c r="Q70" s="256"/>
      <c r="R70" s="256"/>
      <c r="S70" s="256"/>
      <c r="T70" s="256"/>
      <c r="U70" s="256"/>
      <c r="V70" s="257"/>
    </row>
    <row r="71" spans="1:22" ht="14.25" thickBot="1" thickTop="1">
      <c r="A71" s="271"/>
      <c r="B71" s="272"/>
      <c r="C71" s="256"/>
      <c r="D71" s="256"/>
      <c r="E71" s="256"/>
      <c r="F71" s="256"/>
      <c r="G71" s="256"/>
      <c r="H71" s="256"/>
      <c r="I71" s="256"/>
      <c r="J71" s="256"/>
      <c r="K71" s="256"/>
      <c r="L71" s="256"/>
      <c r="M71" s="256"/>
      <c r="N71" s="256"/>
      <c r="O71" s="256"/>
      <c r="P71" s="256"/>
      <c r="Q71" s="256"/>
      <c r="R71" s="256"/>
      <c r="S71" s="256"/>
      <c r="T71" s="256"/>
      <c r="U71" s="256"/>
      <c r="V71" s="257"/>
    </row>
    <row r="72" spans="1:22" ht="14.25" thickBot="1" thickTop="1">
      <c r="A72" s="271"/>
      <c r="B72" s="272"/>
      <c r="C72" s="256"/>
      <c r="D72" s="256"/>
      <c r="E72" s="256"/>
      <c r="F72" s="256"/>
      <c r="G72" s="256"/>
      <c r="H72" s="256"/>
      <c r="I72" s="256"/>
      <c r="J72" s="256"/>
      <c r="K72" s="256"/>
      <c r="L72" s="256"/>
      <c r="M72" s="256"/>
      <c r="N72" s="256"/>
      <c r="O72" s="256"/>
      <c r="P72" s="256"/>
      <c r="Q72" s="256"/>
      <c r="R72" s="256"/>
      <c r="S72" s="256"/>
      <c r="T72" s="256"/>
      <c r="U72" s="256"/>
      <c r="V72" s="257"/>
    </row>
    <row r="73" spans="1:22" ht="14.25" thickBot="1" thickTop="1">
      <c r="A73" s="271"/>
      <c r="B73" s="272"/>
      <c r="C73" s="256"/>
      <c r="D73" s="256"/>
      <c r="E73" s="256"/>
      <c r="F73" s="256"/>
      <c r="G73" s="256"/>
      <c r="H73" s="256"/>
      <c r="I73" s="256"/>
      <c r="J73" s="256"/>
      <c r="K73" s="256"/>
      <c r="L73" s="256"/>
      <c r="M73" s="256"/>
      <c r="N73" s="256"/>
      <c r="O73" s="256"/>
      <c r="P73" s="256"/>
      <c r="Q73" s="256"/>
      <c r="R73" s="256"/>
      <c r="S73" s="256"/>
      <c r="T73" s="256"/>
      <c r="U73" s="256"/>
      <c r="V73" s="257"/>
    </row>
    <row r="74" spans="1:22" ht="14.25" thickBot="1" thickTop="1">
      <c r="A74" s="271"/>
      <c r="B74" s="272"/>
      <c r="C74" s="256"/>
      <c r="D74" s="256"/>
      <c r="E74" s="256"/>
      <c r="F74" s="256"/>
      <c r="G74" s="256"/>
      <c r="H74" s="256"/>
      <c r="I74" s="256"/>
      <c r="J74" s="256"/>
      <c r="K74" s="256"/>
      <c r="L74" s="256"/>
      <c r="M74" s="256"/>
      <c r="N74" s="256"/>
      <c r="O74" s="256"/>
      <c r="P74" s="256"/>
      <c r="Q74" s="256"/>
      <c r="R74" s="256"/>
      <c r="S74" s="256"/>
      <c r="T74" s="256"/>
      <c r="U74" s="256"/>
      <c r="V74" s="257"/>
    </row>
    <row r="75" spans="1:22" ht="14.25" thickBot="1" thickTop="1">
      <c r="A75" s="271"/>
      <c r="B75" s="272"/>
      <c r="C75" s="256"/>
      <c r="D75" s="256"/>
      <c r="E75" s="256"/>
      <c r="F75" s="256"/>
      <c r="G75" s="256"/>
      <c r="H75" s="256"/>
      <c r="I75" s="256"/>
      <c r="J75" s="256"/>
      <c r="K75" s="256"/>
      <c r="L75" s="256"/>
      <c r="M75" s="256"/>
      <c r="N75" s="256"/>
      <c r="O75" s="256"/>
      <c r="P75" s="256"/>
      <c r="Q75" s="256"/>
      <c r="R75" s="256"/>
      <c r="S75" s="256"/>
      <c r="T75" s="256"/>
      <c r="U75" s="256"/>
      <c r="V75" s="257"/>
    </row>
    <row r="76" spans="1:22" ht="14.25" thickBot="1" thickTop="1">
      <c r="A76" s="271"/>
      <c r="B76" s="272"/>
      <c r="C76" s="256"/>
      <c r="D76" s="256"/>
      <c r="E76" s="256"/>
      <c r="F76" s="256"/>
      <c r="G76" s="256"/>
      <c r="H76" s="256"/>
      <c r="I76" s="256"/>
      <c r="J76" s="256"/>
      <c r="K76" s="256"/>
      <c r="L76" s="256"/>
      <c r="M76" s="256"/>
      <c r="N76" s="256"/>
      <c r="O76" s="256"/>
      <c r="P76" s="256"/>
      <c r="Q76" s="256"/>
      <c r="R76" s="256"/>
      <c r="S76" s="256"/>
      <c r="T76" s="256"/>
      <c r="U76" s="256"/>
      <c r="V76" s="257"/>
    </row>
    <row r="77" spans="1:22" ht="14.25" thickBot="1" thickTop="1">
      <c r="A77" s="271"/>
      <c r="B77" s="272"/>
      <c r="C77" s="256"/>
      <c r="D77" s="256"/>
      <c r="E77" s="256"/>
      <c r="F77" s="256"/>
      <c r="G77" s="256"/>
      <c r="H77" s="256"/>
      <c r="I77" s="256"/>
      <c r="J77" s="256"/>
      <c r="K77" s="256"/>
      <c r="L77" s="256"/>
      <c r="M77" s="256"/>
      <c r="N77" s="256"/>
      <c r="O77" s="256"/>
      <c r="P77" s="256"/>
      <c r="Q77" s="256"/>
      <c r="R77" s="256"/>
      <c r="S77" s="256"/>
      <c r="T77" s="256"/>
      <c r="U77" s="256"/>
      <c r="V77" s="257"/>
    </row>
    <row r="78" spans="1:22" ht="14.25" thickBot="1" thickTop="1">
      <c r="A78" s="271"/>
      <c r="B78" s="272"/>
      <c r="C78" s="256"/>
      <c r="D78" s="256"/>
      <c r="E78" s="256"/>
      <c r="F78" s="256"/>
      <c r="G78" s="256"/>
      <c r="H78" s="256"/>
      <c r="I78" s="256"/>
      <c r="J78" s="256"/>
      <c r="K78" s="256"/>
      <c r="L78" s="256"/>
      <c r="M78" s="256"/>
      <c r="N78" s="256"/>
      <c r="O78" s="256"/>
      <c r="P78" s="256"/>
      <c r="Q78" s="256"/>
      <c r="R78" s="256"/>
      <c r="S78" s="256"/>
      <c r="T78" s="256"/>
      <c r="U78" s="256"/>
      <c r="V78" s="257"/>
    </row>
    <row r="79" spans="1:22" ht="14.25" thickBot="1" thickTop="1">
      <c r="A79" s="271"/>
      <c r="B79" s="272"/>
      <c r="C79" s="256"/>
      <c r="D79" s="256"/>
      <c r="E79" s="256"/>
      <c r="F79" s="256"/>
      <c r="G79" s="256"/>
      <c r="H79" s="256"/>
      <c r="I79" s="256"/>
      <c r="J79" s="256"/>
      <c r="K79" s="256"/>
      <c r="L79" s="256"/>
      <c r="M79" s="256"/>
      <c r="N79" s="256"/>
      <c r="O79" s="256"/>
      <c r="P79" s="256"/>
      <c r="Q79" s="256"/>
      <c r="R79" s="256"/>
      <c r="S79" s="256"/>
      <c r="T79" s="256"/>
      <c r="U79" s="256"/>
      <c r="V79" s="257"/>
    </row>
    <row r="80" spans="1:22" ht="14.25" thickBot="1" thickTop="1">
      <c r="A80" s="271"/>
      <c r="B80" s="272"/>
      <c r="C80" s="256"/>
      <c r="D80" s="256"/>
      <c r="E80" s="256"/>
      <c r="F80" s="256"/>
      <c r="G80" s="256"/>
      <c r="H80" s="256"/>
      <c r="I80" s="256"/>
      <c r="J80" s="256"/>
      <c r="K80" s="256"/>
      <c r="L80" s="256"/>
      <c r="M80" s="256"/>
      <c r="N80" s="256"/>
      <c r="O80" s="256"/>
      <c r="P80" s="256"/>
      <c r="Q80" s="256"/>
      <c r="R80" s="256"/>
      <c r="S80" s="256"/>
      <c r="T80" s="256"/>
      <c r="U80" s="256"/>
      <c r="V80" s="257"/>
    </row>
    <row r="81" spans="1:22" ht="14.25" thickBot="1" thickTop="1">
      <c r="A81" s="271"/>
      <c r="B81" s="272"/>
      <c r="C81" s="256"/>
      <c r="D81" s="256"/>
      <c r="E81" s="256"/>
      <c r="F81" s="256"/>
      <c r="G81" s="256"/>
      <c r="H81" s="256"/>
      <c r="I81" s="256"/>
      <c r="J81" s="256"/>
      <c r="K81" s="256"/>
      <c r="L81" s="256"/>
      <c r="M81" s="256"/>
      <c r="N81" s="256"/>
      <c r="O81" s="256"/>
      <c r="P81" s="256"/>
      <c r="Q81" s="256"/>
      <c r="R81" s="256"/>
      <c r="S81" s="256"/>
      <c r="T81" s="256"/>
      <c r="U81" s="256"/>
      <c r="V81" s="257"/>
    </row>
    <row r="82" spans="1:22" ht="14.25" thickBot="1" thickTop="1">
      <c r="A82" s="271"/>
      <c r="B82" s="272"/>
      <c r="C82" s="256"/>
      <c r="D82" s="256"/>
      <c r="E82" s="256"/>
      <c r="F82" s="256"/>
      <c r="G82" s="256"/>
      <c r="H82" s="256"/>
      <c r="I82" s="256"/>
      <c r="J82" s="256"/>
      <c r="K82" s="256"/>
      <c r="L82" s="256"/>
      <c r="M82" s="256"/>
      <c r="N82" s="256"/>
      <c r="O82" s="256"/>
      <c r="P82" s="256"/>
      <c r="Q82" s="256"/>
      <c r="R82" s="256"/>
      <c r="S82" s="256"/>
      <c r="T82" s="256"/>
      <c r="U82" s="256"/>
      <c r="V82" s="257"/>
    </row>
    <row r="83" spans="1:22" ht="14.25" thickBot="1" thickTop="1">
      <c r="A83" s="271"/>
      <c r="B83" s="272"/>
      <c r="C83" s="256"/>
      <c r="D83" s="256"/>
      <c r="E83" s="256"/>
      <c r="F83" s="256"/>
      <c r="G83" s="256"/>
      <c r="H83" s="256"/>
      <c r="I83" s="256"/>
      <c r="J83" s="256"/>
      <c r="K83" s="256"/>
      <c r="L83" s="256"/>
      <c r="M83" s="256"/>
      <c r="N83" s="256"/>
      <c r="O83" s="256"/>
      <c r="P83" s="256"/>
      <c r="Q83" s="256"/>
      <c r="R83" s="256"/>
      <c r="S83" s="256"/>
      <c r="T83" s="256"/>
      <c r="U83" s="256"/>
      <c r="V83" s="257"/>
    </row>
    <row r="84" spans="1:22" ht="14.25" thickBot="1" thickTop="1">
      <c r="A84" s="271"/>
      <c r="B84" s="272"/>
      <c r="C84" s="256"/>
      <c r="D84" s="256"/>
      <c r="E84" s="256"/>
      <c r="F84" s="256"/>
      <c r="G84" s="256"/>
      <c r="H84" s="256"/>
      <c r="I84" s="256"/>
      <c r="J84" s="256"/>
      <c r="K84" s="256"/>
      <c r="L84" s="256"/>
      <c r="M84" s="256"/>
      <c r="N84" s="256"/>
      <c r="O84" s="256"/>
      <c r="P84" s="256"/>
      <c r="Q84" s="256"/>
      <c r="R84" s="256"/>
      <c r="S84" s="256"/>
      <c r="T84" s="256"/>
      <c r="U84" s="256"/>
      <c r="V84" s="257"/>
    </row>
    <row r="85" spans="1:22" ht="14.25" thickBot="1" thickTop="1">
      <c r="A85" s="271"/>
      <c r="B85" s="272"/>
      <c r="C85" s="256"/>
      <c r="D85" s="256"/>
      <c r="E85" s="256"/>
      <c r="F85" s="256"/>
      <c r="G85" s="256"/>
      <c r="H85" s="256"/>
      <c r="I85" s="256"/>
      <c r="J85" s="256"/>
      <c r="K85" s="256"/>
      <c r="L85" s="256"/>
      <c r="M85" s="256"/>
      <c r="N85" s="256"/>
      <c r="O85" s="256"/>
      <c r="P85" s="256"/>
      <c r="Q85" s="256"/>
      <c r="R85" s="256"/>
      <c r="S85" s="256"/>
      <c r="T85" s="256"/>
      <c r="U85" s="256"/>
      <c r="V85" s="257"/>
    </row>
    <row r="86" spans="1:22" ht="14.25" thickBot="1" thickTop="1">
      <c r="A86" s="271"/>
      <c r="B86" s="273"/>
      <c r="C86" s="256"/>
      <c r="D86" s="256"/>
      <c r="E86" s="256"/>
      <c r="F86" s="256"/>
      <c r="G86" s="256"/>
      <c r="H86" s="256"/>
      <c r="I86" s="256"/>
      <c r="J86" s="256"/>
      <c r="K86" s="256"/>
      <c r="L86" s="256"/>
      <c r="M86" s="256"/>
      <c r="N86" s="256"/>
      <c r="O86" s="256"/>
      <c r="P86" s="256"/>
      <c r="Q86" s="256"/>
      <c r="R86" s="256"/>
      <c r="S86" s="256"/>
      <c r="T86" s="256"/>
      <c r="U86" s="256"/>
      <c r="V86" s="257"/>
    </row>
    <row r="87" spans="1:22" ht="14.25" thickBot="1" thickTop="1">
      <c r="A87" s="271"/>
      <c r="B87" s="274"/>
      <c r="C87" s="275"/>
      <c r="D87" s="276"/>
      <c r="E87" s="276"/>
      <c r="F87" s="276"/>
      <c r="G87" s="276"/>
      <c r="H87" s="276"/>
      <c r="I87" s="276"/>
      <c r="J87" s="276"/>
      <c r="K87" s="276"/>
      <c r="L87" s="276"/>
      <c r="M87" s="276"/>
      <c r="N87" s="276"/>
      <c r="O87" s="276"/>
      <c r="P87" s="276"/>
      <c r="Q87" s="276"/>
      <c r="R87" s="276"/>
      <c r="S87" s="276"/>
      <c r="T87" s="276"/>
      <c r="U87" s="276"/>
      <c r="V87" s="277"/>
    </row>
    <row r="88" spans="1:2" ht="14.25" thickBot="1" thickTop="1">
      <c r="A88" s="271"/>
      <c r="B88" s="274"/>
    </row>
    <row r="89" spans="1:2" ht="14.25" thickBot="1" thickTop="1">
      <c r="A89" s="271"/>
      <c r="B89" s="274"/>
    </row>
    <row r="90" spans="1:2" ht="14.25" thickBot="1" thickTop="1">
      <c r="A90" s="271"/>
      <c r="B90" s="274"/>
    </row>
    <row r="91" spans="1:2" ht="14.25" thickBot="1" thickTop="1">
      <c r="A91" s="271"/>
      <c r="B91" s="274"/>
    </row>
    <row r="92" spans="1:2" ht="14.25" thickBot="1" thickTop="1">
      <c r="A92" s="271"/>
      <c r="B92" s="274"/>
    </row>
    <row r="93" spans="1:2" ht="14.25" thickBot="1" thickTop="1">
      <c r="A93" s="271"/>
      <c r="B93" s="274"/>
    </row>
    <row r="94" spans="1:2" ht="14.25" thickBot="1" thickTop="1">
      <c r="A94" s="271"/>
      <c r="B94" s="274"/>
    </row>
    <row r="95" spans="1:2" ht="14.25" thickBot="1" thickTop="1">
      <c r="A95" s="271"/>
      <c r="B95" s="274"/>
    </row>
    <row r="96" spans="1:2" ht="14.25" thickBot="1" thickTop="1">
      <c r="A96" s="271"/>
      <c r="B96" s="274"/>
    </row>
    <row r="97" spans="1:2" ht="14.25" thickBot="1" thickTop="1">
      <c r="A97" s="271"/>
      <c r="B97" s="274"/>
    </row>
    <row r="98" spans="1:2" ht="14.25" thickBot="1" thickTop="1">
      <c r="A98" s="271"/>
      <c r="B98" s="274"/>
    </row>
    <row r="99" spans="1:2" ht="14.25" thickBot="1" thickTop="1">
      <c r="A99" s="271"/>
      <c r="B99" s="274"/>
    </row>
    <row r="100" spans="1:2" ht="14.25" thickBot="1" thickTop="1">
      <c r="A100" s="271"/>
      <c r="B100" s="274"/>
    </row>
    <row r="101" spans="1:2" ht="14.25" thickBot="1" thickTop="1">
      <c r="A101" s="271"/>
      <c r="B101" s="274"/>
    </row>
    <row r="102" spans="1:2" ht="14.25" thickBot="1" thickTop="1">
      <c r="A102" s="271"/>
      <c r="B102" s="274"/>
    </row>
    <row r="103" spans="1:2" ht="14.25" thickBot="1" thickTop="1">
      <c r="A103" s="271"/>
      <c r="B103" s="274"/>
    </row>
    <row r="104" spans="1:2" ht="14.25" thickBot="1" thickTop="1">
      <c r="A104" s="271"/>
      <c r="B104" s="274"/>
    </row>
    <row r="105" spans="1:2" ht="14.25" thickBot="1" thickTop="1">
      <c r="A105" s="271"/>
      <c r="B105" s="274"/>
    </row>
    <row r="106" spans="1:2" ht="14.25" thickBot="1" thickTop="1">
      <c r="A106" s="271"/>
      <c r="B106" s="274"/>
    </row>
    <row r="107" spans="1:2" ht="14.25" thickBot="1" thickTop="1">
      <c r="A107" s="271"/>
      <c r="B107" s="274"/>
    </row>
    <row r="108" spans="1:2" ht="14.25" thickBot="1" thickTop="1">
      <c r="A108" s="271"/>
      <c r="B108" s="274"/>
    </row>
    <row r="109" spans="1:2" ht="14.25" thickBot="1" thickTop="1">
      <c r="A109" s="271"/>
      <c r="B109" s="274"/>
    </row>
    <row r="110" spans="1:2" ht="14.25" thickBot="1" thickTop="1">
      <c r="A110" s="271"/>
      <c r="B110" s="274"/>
    </row>
    <row r="111" spans="1:2" ht="14.25" thickBot="1" thickTop="1">
      <c r="A111" s="271"/>
      <c r="B111" s="274"/>
    </row>
    <row r="112" spans="1:2" ht="14.25" thickBot="1" thickTop="1">
      <c r="A112" s="271"/>
      <c r="B112" s="274"/>
    </row>
    <row r="113" spans="1:2" ht="14.25" thickBot="1" thickTop="1">
      <c r="A113" s="271"/>
      <c r="B113" s="274"/>
    </row>
    <row r="114" spans="1:2" ht="14.25" thickBot="1" thickTop="1">
      <c r="A114" s="271"/>
      <c r="B114" s="274"/>
    </row>
    <row r="115" spans="1:2" ht="14.25" thickBot="1" thickTop="1">
      <c r="A115" s="271"/>
      <c r="B115" s="274"/>
    </row>
    <row r="116" spans="1:2" ht="14.25" thickBot="1" thickTop="1">
      <c r="A116" s="271"/>
      <c r="B116" s="274"/>
    </row>
    <row r="117" spans="1:2" ht="14.25" thickBot="1" thickTop="1">
      <c r="A117" s="271"/>
      <c r="B117" s="274"/>
    </row>
    <row r="118" spans="1:2" ht="14.25" thickBot="1" thickTop="1">
      <c r="A118" s="271"/>
      <c r="B118" s="274"/>
    </row>
    <row r="119" spans="1:2" ht="14.25" thickBot="1" thickTop="1">
      <c r="A119" s="271"/>
      <c r="B119" s="274"/>
    </row>
    <row r="120" spans="1:2" ht="14.25" thickBot="1" thickTop="1">
      <c r="A120" s="271"/>
      <c r="B120" s="274"/>
    </row>
    <row r="121" spans="1:2" ht="14.25" thickBot="1" thickTop="1">
      <c r="A121" s="271"/>
      <c r="B121" s="274"/>
    </row>
    <row r="122" spans="1:2" ht="14.25" thickBot="1" thickTop="1">
      <c r="A122" s="271"/>
      <c r="B122" s="274"/>
    </row>
    <row r="123" spans="1:2" ht="14.25" thickBot="1" thickTop="1">
      <c r="A123" s="271"/>
      <c r="B123" s="274"/>
    </row>
    <row r="124" spans="1:2" ht="14.25" thickBot="1" thickTop="1">
      <c r="A124" s="271"/>
      <c r="B124" s="274"/>
    </row>
    <row r="125" spans="1:2" ht="14.25" thickBot="1" thickTop="1">
      <c r="A125" s="271"/>
      <c r="B125" s="274"/>
    </row>
    <row r="126" spans="1:2" ht="14.25" thickBot="1" thickTop="1">
      <c r="A126" s="271"/>
      <c r="B126" s="274"/>
    </row>
    <row r="127" spans="1:2" ht="14.25" thickBot="1" thickTop="1">
      <c r="A127" s="271"/>
      <c r="B127" s="274"/>
    </row>
    <row r="128" spans="1:2" ht="14.25" thickBot="1" thickTop="1">
      <c r="A128" s="271"/>
      <c r="B128" s="274"/>
    </row>
    <row r="129" spans="1:2" ht="14.25" thickBot="1" thickTop="1">
      <c r="A129" s="271"/>
      <c r="B129" s="274"/>
    </row>
    <row r="130" spans="1:2" ht="14.25" thickBot="1" thickTop="1">
      <c r="A130" s="271"/>
      <c r="B130" s="274"/>
    </row>
    <row r="131" spans="1:2" ht="14.25" thickBot="1" thickTop="1">
      <c r="A131" s="271"/>
      <c r="B131" s="274"/>
    </row>
    <row r="132" spans="1:2" ht="14.25" thickBot="1" thickTop="1">
      <c r="A132" s="271"/>
      <c r="B132" s="274"/>
    </row>
    <row r="133" spans="1:2" ht="14.25" thickBot="1" thickTop="1">
      <c r="A133" s="271"/>
      <c r="B133" s="274"/>
    </row>
    <row r="134" spans="1:2" ht="14.25" thickBot="1" thickTop="1">
      <c r="A134" s="271"/>
      <c r="B134" s="274"/>
    </row>
    <row r="135" spans="1:2" ht="14.25" thickBot="1" thickTop="1">
      <c r="A135" s="271"/>
      <c r="B135" s="274"/>
    </row>
    <row r="136" spans="1:2" ht="14.25" thickBot="1" thickTop="1">
      <c r="A136" s="271"/>
      <c r="B136" s="274"/>
    </row>
    <row r="137" spans="1:2" ht="14.25" thickBot="1" thickTop="1">
      <c r="A137" s="271"/>
      <c r="B137" s="274"/>
    </row>
    <row r="138" spans="1:2" ht="14.25" thickBot="1" thickTop="1">
      <c r="A138" s="271"/>
      <c r="B138" s="274"/>
    </row>
    <row r="139" spans="1:2" ht="14.25" thickBot="1" thickTop="1">
      <c r="A139" s="271"/>
      <c r="B139" s="274"/>
    </row>
    <row r="140" spans="1:2" ht="14.25" thickBot="1" thickTop="1">
      <c r="A140" s="271"/>
      <c r="B140" s="274"/>
    </row>
    <row r="141" spans="1:2" ht="14.25" thickBot="1" thickTop="1">
      <c r="A141" s="271"/>
      <c r="B141" s="274"/>
    </row>
    <row r="142" spans="1:2" ht="14.25" thickBot="1" thickTop="1">
      <c r="A142" s="271"/>
      <c r="B142" s="274"/>
    </row>
    <row r="143" spans="1:2" ht="14.25" thickBot="1" thickTop="1">
      <c r="A143" s="271"/>
      <c r="B143" s="274"/>
    </row>
    <row r="144" spans="1:2" ht="14.25" thickBot="1" thickTop="1">
      <c r="A144" s="271"/>
      <c r="B144" s="274"/>
    </row>
    <row r="145" spans="1:2" ht="14.25" thickBot="1" thickTop="1">
      <c r="A145" s="271"/>
      <c r="B145" s="274"/>
    </row>
    <row r="146" spans="1:2" ht="14.25" thickBot="1" thickTop="1">
      <c r="A146" s="271"/>
      <c r="B146" s="274"/>
    </row>
    <row r="147" spans="1:2" ht="14.25" thickBot="1" thickTop="1">
      <c r="A147" s="271"/>
      <c r="B147" s="274"/>
    </row>
    <row r="148" spans="1:2" ht="14.25" thickBot="1" thickTop="1">
      <c r="A148" s="271"/>
      <c r="B148" s="274"/>
    </row>
    <row r="149" spans="1:2" ht="14.25" thickBot="1" thickTop="1">
      <c r="A149" s="271"/>
      <c r="B149" s="274"/>
    </row>
    <row r="150" spans="1:2" ht="14.25" thickBot="1" thickTop="1">
      <c r="A150" s="271"/>
      <c r="B150" s="274"/>
    </row>
    <row r="151" spans="1:2" ht="14.25" thickBot="1" thickTop="1">
      <c r="A151" s="271"/>
      <c r="B151" s="274"/>
    </row>
    <row r="152" spans="1:2" ht="14.25" thickBot="1" thickTop="1">
      <c r="A152" s="271"/>
      <c r="B152" s="274"/>
    </row>
    <row r="153" spans="1:2" ht="14.25" thickBot="1" thickTop="1">
      <c r="A153" s="271"/>
      <c r="B153" s="274"/>
    </row>
    <row r="154" spans="1:2" ht="14.25" thickBot="1" thickTop="1">
      <c r="A154" s="271"/>
      <c r="B154" s="274"/>
    </row>
    <row r="155" spans="1:2" ht="14.25" thickBot="1" thickTop="1">
      <c r="A155" s="271"/>
      <c r="B155" s="274"/>
    </row>
    <row r="156" spans="1:2" ht="14.25" thickBot="1" thickTop="1">
      <c r="A156" s="271"/>
      <c r="B156" s="274"/>
    </row>
    <row r="157" spans="1:2" ht="14.25" thickBot="1" thickTop="1">
      <c r="A157" s="271"/>
      <c r="B157" s="274"/>
    </row>
    <row r="158" spans="1:2" ht="14.25" thickBot="1" thickTop="1">
      <c r="A158" s="271"/>
      <c r="B158" s="274"/>
    </row>
    <row r="159" spans="1:2" ht="14.25" thickBot="1" thickTop="1">
      <c r="A159" s="271"/>
      <c r="B159" s="274"/>
    </row>
    <row r="160" spans="1:2" ht="14.25" thickBot="1" thickTop="1">
      <c r="A160" s="271"/>
      <c r="B160" s="274"/>
    </row>
    <row r="161" spans="1:2" ht="14.25" thickBot="1" thickTop="1">
      <c r="A161" s="271"/>
      <c r="B161" s="274"/>
    </row>
    <row r="162" spans="1:2" ht="14.25" thickBot="1" thickTop="1">
      <c r="A162" s="271"/>
      <c r="B162" s="274"/>
    </row>
    <row r="163" spans="1:2" ht="14.25" thickBot="1" thickTop="1">
      <c r="A163" s="271"/>
      <c r="B163" s="274"/>
    </row>
    <row r="164" spans="1:2" ht="14.25" thickBot="1" thickTop="1">
      <c r="A164" s="271"/>
      <c r="B164" s="274"/>
    </row>
    <row r="165" spans="1:2" ht="14.25" thickBot="1" thickTop="1">
      <c r="A165" s="271"/>
      <c r="B165" s="274"/>
    </row>
    <row r="166" spans="1:2" ht="14.25" thickBot="1" thickTop="1">
      <c r="A166" s="271"/>
      <c r="B166" s="274"/>
    </row>
    <row r="167" spans="1:2" ht="14.25" thickBot="1" thickTop="1">
      <c r="A167" s="271"/>
      <c r="B167" s="274"/>
    </row>
    <row r="168" spans="1:2" ht="14.25" thickBot="1" thickTop="1">
      <c r="A168" s="271"/>
      <c r="B168" s="274"/>
    </row>
    <row r="169" spans="1:2" ht="14.25" thickBot="1" thickTop="1">
      <c r="A169" s="271"/>
      <c r="B169" s="274"/>
    </row>
    <row r="170" spans="1:2" ht="14.25" thickBot="1" thickTop="1">
      <c r="A170" s="271"/>
      <c r="B170" s="274"/>
    </row>
    <row r="171" spans="1:2" ht="14.25" thickBot="1" thickTop="1">
      <c r="A171" s="271"/>
      <c r="B171" s="274"/>
    </row>
    <row r="172" spans="1:2" ht="14.25" thickBot="1" thickTop="1">
      <c r="A172" s="271"/>
      <c r="B172" s="274"/>
    </row>
    <row r="173" spans="1:2" ht="14.25" thickBot="1" thickTop="1">
      <c r="A173" s="271"/>
      <c r="B173" s="274"/>
    </row>
    <row r="174" spans="1:2" ht="14.25" thickBot="1" thickTop="1">
      <c r="A174" s="271"/>
      <c r="B174" s="274"/>
    </row>
    <row r="175" spans="1:2" ht="14.25" thickBot="1" thickTop="1">
      <c r="A175" s="271"/>
      <c r="B175" s="274"/>
    </row>
    <row r="176" spans="1:2" ht="14.25" thickBot="1" thickTop="1">
      <c r="A176" s="271"/>
      <c r="B176" s="274"/>
    </row>
    <row r="177" spans="1:2" ht="14.25" thickBot="1" thickTop="1">
      <c r="A177" s="271"/>
      <c r="B177" s="274"/>
    </row>
    <row r="178" spans="1:2" ht="14.25" thickBot="1" thickTop="1">
      <c r="A178" s="271"/>
      <c r="B178" s="274"/>
    </row>
    <row r="179" spans="1:2" ht="14.25" thickBot="1" thickTop="1">
      <c r="A179" s="271"/>
      <c r="B179" s="274"/>
    </row>
    <row r="180" spans="1:2" ht="14.25" thickBot="1" thickTop="1">
      <c r="A180" s="271"/>
      <c r="B180" s="274"/>
    </row>
    <row r="181" spans="1:2" ht="14.25" thickBot="1" thickTop="1">
      <c r="A181" s="271"/>
      <c r="B181" s="274"/>
    </row>
    <row r="182" spans="1:2" ht="14.25" thickBot="1" thickTop="1">
      <c r="A182" s="271"/>
      <c r="B182" s="274"/>
    </row>
    <row r="183" spans="1:2" ht="14.25" thickBot="1" thickTop="1">
      <c r="A183" s="271"/>
      <c r="B183" s="274"/>
    </row>
    <row r="184" spans="1:2" ht="14.25" thickBot="1" thickTop="1">
      <c r="A184" s="271"/>
      <c r="B184" s="274"/>
    </row>
    <row r="185" spans="1:2" ht="14.25" thickBot="1" thickTop="1">
      <c r="A185" s="271"/>
      <c r="B185" s="274"/>
    </row>
    <row r="186" spans="1:2" ht="14.25" thickBot="1" thickTop="1">
      <c r="A186" s="271"/>
      <c r="B186" s="274"/>
    </row>
    <row r="187" spans="1:2" ht="14.25" thickBot="1" thickTop="1">
      <c r="A187" s="271"/>
      <c r="B187" s="274"/>
    </row>
    <row r="188" spans="1:2" ht="14.25" thickBot="1" thickTop="1">
      <c r="A188" s="271"/>
      <c r="B188" s="274"/>
    </row>
    <row r="189" spans="1:2" ht="14.25" thickBot="1" thickTop="1">
      <c r="A189" s="271"/>
      <c r="B189" s="274"/>
    </row>
    <row r="190" spans="1:2" ht="14.25" thickBot="1" thickTop="1">
      <c r="A190" s="271"/>
      <c r="B190" s="274"/>
    </row>
    <row r="191" spans="1:2" ht="14.25" thickBot="1" thickTop="1">
      <c r="A191" s="271"/>
      <c r="B191" s="274"/>
    </row>
    <row r="192" spans="1:2" ht="14.25" thickBot="1" thickTop="1">
      <c r="A192" s="271"/>
      <c r="B192" s="274"/>
    </row>
    <row r="193" spans="1:2" ht="14.25" thickBot="1" thickTop="1">
      <c r="A193" s="271"/>
      <c r="B193" s="274"/>
    </row>
    <row r="194" spans="1:2" ht="14.25" thickBot="1" thickTop="1">
      <c r="A194" s="271"/>
      <c r="B194" s="274"/>
    </row>
    <row r="195" spans="1:2" ht="14.25" thickBot="1" thickTop="1">
      <c r="A195" s="271"/>
      <c r="B195" s="274"/>
    </row>
    <row r="196" spans="1:2" ht="14.25" thickBot="1" thickTop="1">
      <c r="A196" s="271"/>
      <c r="B196" s="274"/>
    </row>
    <row r="197" spans="1:2" ht="14.25" thickBot="1" thickTop="1">
      <c r="A197" s="271"/>
      <c r="B197" s="274"/>
    </row>
    <row r="198" spans="1:2" ht="14.25" thickBot="1" thickTop="1">
      <c r="A198" s="271"/>
      <c r="B198" s="274"/>
    </row>
    <row r="199" spans="1:2" ht="14.25" thickBot="1" thickTop="1">
      <c r="A199" s="271"/>
      <c r="B199" s="274"/>
    </row>
    <row r="200" spans="1:2" ht="14.25" thickBot="1" thickTop="1">
      <c r="A200" s="271"/>
      <c r="B200" s="274"/>
    </row>
    <row r="201" spans="1:2" ht="14.25" thickBot="1" thickTop="1">
      <c r="A201" s="271"/>
      <c r="B201" s="274"/>
    </row>
    <row r="202" spans="1:2" ht="14.25" thickBot="1" thickTop="1">
      <c r="A202" s="271"/>
      <c r="B202" s="274"/>
    </row>
    <row r="203" spans="1:2" ht="13.5" thickTop="1">
      <c r="A203" s="278"/>
      <c r="B203" s="279"/>
    </row>
  </sheetData>
  <mergeCells count="3">
    <mergeCell ref="A17:A29"/>
    <mergeCell ref="B2:B6"/>
    <mergeCell ref="A13:A14"/>
  </mergeCells>
  <hyperlinks>
    <hyperlink ref="B18" location="'Project Description'!A1" display="Project Description"/>
    <hyperlink ref="B27" location="'Land Data'!A1" display="Land Data"/>
    <hyperlink ref="B24" location="'Property Regularization'!A1" display="Property Regularization"/>
    <hyperlink ref="B21" location="'ERR &amp; Sensitivity Analysis'!A1" display="ERR &amp; Sensitivty Analysi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L29"/>
  <sheetViews>
    <sheetView showGridLines="0" tabSelected="1" workbookViewId="0" topLeftCell="A1">
      <selection activeCell="A1" sqref="A1"/>
    </sheetView>
  </sheetViews>
  <sheetFormatPr defaultColWidth="9.140625" defaultRowHeight="12.75"/>
  <cols>
    <col min="1" max="1" width="5.7109375" style="282" customWidth="1"/>
    <col min="2" max="2" width="106.421875" style="284" customWidth="1"/>
    <col min="3" max="16384" width="9.140625" style="284" customWidth="1"/>
  </cols>
  <sheetData>
    <row r="1" spans="1:2" s="281" customFormat="1" ht="12.75">
      <c r="A1" s="280"/>
      <c r="B1" s="253" t="s">
        <v>144</v>
      </c>
    </row>
    <row r="2" spans="2:3" ht="20.25">
      <c r="B2" s="283" t="s">
        <v>127</v>
      </c>
      <c r="C2" s="282"/>
    </row>
    <row r="4" spans="2:4" ht="18">
      <c r="B4" s="327" t="s">
        <v>90</v>
      </c>
      <c r="C4" s="327"/>
      <c r="D4" s="327"/>
    </row>
    <row r="5" ht="12.75">
      <c r="B5" s="285"/>
    </row>
    <row r="6" ht="51">
      <c r="B6" s="370" t="s">
        <v>177</v>
      </c>
    </row>
    <row r="7" ht="12.75">
      <c r="B7" s="285"/>
    </row>
    <row r="8" spans="2:3" ht="12.75">
      <c r="B8" s="328" t="s">
        <v>94</v>
      </c>
      <c r="C8" s="328"/>
    </row>
    <row r="9" spans="2:12" ht="76.5">
      <c r="B9" s="246" t="s">
        <v>173</v>
      </c>
      <c r="C9" s="247"/>
      <c r="D9" s="247"/>
      <c r="E9" s="247"/>
      <c r="F9" s="247"/>
      <c r="G9" s="247"/>
      <c r="H9" s="247"/>
      <c r="I9" s="247"/>
      <c r="J9" s="247"/>
      <c r="K9" s="247"/>
      <c r="L9" s="248"/>
    </row>
    <row r="10" spans="2:12" ht="89.25">
      <c r="B10" s="317" t="s">
        <v>172</v>
      </c>
      <c r="C10" s="247"/>
      <c r="D10" s="247"/>
      <c r="E10" s="247"/>
      <c r="F10" s="247"/>
      <c r="G10" s="247"/>
      <c r="H10" s="247"/>
      <c r="I10" s="247"/>
      <c r="J10" s="247"/>
      <c r="K10" s="247"/>
      <c r="L10" s="248"/>
    </row>
    <row r="12" spans="1:2" ht="12.75">
      <c r="A12" s="248"/>
      <c r="B12" s="286" t="s">
        <v>95</v>
      </c>
    </row>
    <row r="13" spans="1:2" ht="12.75">
      <c r="A13" s="248"/>
      <c r="B13" s="286"/>
    </row>
    <row r="14" spans="1:2" ht="25.5">
      <c r="A14" s="248"/>
      <c r="B14" s="284" t="s">
        <v>158</v>
      </c>
    </row>
    <row r="15" ht="6.75" customHeight="1">
      <c r="A15" s="248"/>
    </row>
    <row r="16" ht="29.25" customHeight="1">
      <c r="B16" s="284" t="s">
        <v>159</v>
      </c>
    </row>
    <row r="17" ht="29.25" customHeight="1">
      <c r="B17" s="284" t="s">
        <v>160</v>
      </c>
    </row>
    <row r="18" ht="18.75" customHeight="1">
      <c r="B18" s="284" t="s">
        <v>161</v>
      </c>
    </row>
    <row r="19" ht="30.75" customHeight="1">
      <c r="B19" s="284" t="s">
        <v>162</v>
      </c>
    </row>
    <row r="20" ht="42" customHeight="1">
      <c r="B20" s="284" t="s">
        <v>163</v>
      </c>
    </row>
    <row r="21" ht="30" customHeight="1">
      <c r="B21" s="284" t="s">
        <v>164</v>
      </c>
    </row>
    <row r="23" ht="12.75">
      <c r="B23" s="286" t="s">
        <v>96</v>
      </c>
    </row>
    <row r="25" ht="81" customHeight="1">
      <c r="B25" s="249" t="s">
        <v>174</v>
      </c>
    </row>
    <row r="26" ht="124.5" customHeight="1">
      <c r="B26" s="249" t="s">
        <v>166</v>
      </c>
    </row>
    <row r="27" ht="12.75" customHeight="1">
      <c r="B27" s="287"/>
    </row>
    <row r="28" ht="12.75" customHeight="1"/>
    <row r="29" ht="12.75" customHeight="1">
      <c r="B29" s="253" t="s">
        <v>144</v>
      </c>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2">
    <mergeCell ref="B4:D4"/>
    <mergeCell ref="B8:C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2:R105"/>
  <sheetViews>
    <sheetView showGridLines="0" workbookViewId="0" topLeftCell="A1">
      <selection activeCell="A1" sqref="A1"/>
    </sheetView>
  </sheetViews>
  <sheetFormatPr defaultColWidth="9.140625" defaultRowHeight="12.75"/>
  <cols>
    <col min="1" max="1" width="5.7109375" style="115" customWidth="1"/>
    <col min="2" max="2" width="18.28125" style="111" customWidth="1"/>
    <col min="3" max="3" width="56.00390625" style="111" customWidth="1"/>
    <col min="4" max="7" width="15.421875" style="111" customWidth="1"/>
    <col min="8" max="8" width="5.421875" style="111" customWidth="1"/>
    <col min="9" max="9" width="19.28125" style="111" customWidth="1"/>
    <col min="10" max="16384" width="9.140625" style="111" customWidth="1"/>
  </cols>
  <sheetData>
    <row r="1" s="216" customFormat="1" ht="12.75"/>
    <row r="2" spans="2:5" s="216" customFormat="1" ht="22.5" customHeight="1">
      <c r="B2" s="330" t="s">
        <v>127</v>
      </c>
      <c r="C2" s="330"/>
      <c r="D2" s="245"/>
      <c r="E2" s="245"/>
    </row>
    <row r="3" spans="2:5" s="216" customFormat="1" ht="12" customHeight="1">
      <c r="B3" s="218"/>
      <c r="C3" s="218"/>
      <c r="D3" s="245"/>
      <c r="E3" s="245"/>
    </row>
    <row r="4" spans="2:14" ht="18">
      <c r="B4" s="251" t="s">
        <v>111</v>
      </c>
      <c r="G4" s="217" t="s">
        <v>145</v>
      </c>
      <c r="N4" s="116"/>
    </row>
    <row r="5" ht="12.75">
      <c r="N5" s="116"/>
    </row>
    <row r="6" spans="2:14" ht="40.5" customHeight="1">
      <c r="B6" s="334" t="s">
        <v>120</v>
      </c>
      <c r="C6" s="334"/>
      <c r="D6" s="334"/>
      <c r="E6" s="334"/>
      <c r="F6" s="334"/>
      <c r="G6" s="334"/>
      <c r="N6" s="116"/>
    </row>
    <row r="7" spans="3:14" ht="12.75">
      <c r="C7" s="117"/>
      <c r="D7" s="117"/>
      <c r="E7" s="117"/>
      <c r="F7" s="117"/>
      <c r="G7" s="117"/>
      <c r="H7" s="117"/>
      <c r="N7" s="116"/>
    </row>
    <row r="8" spans="2:14" ht="15.75">
      <c r="B8" s="335" t="s">
        <v>121</v>
      </c>
      <c r="C8" s="332" t="s">
        <v>104</v>
      </c>
      <c r="D8" s="333" t="s">
        <v>105</v>
      </c>
      <c r="E8" s="333"/>
      <c r="F8" s="333"/>
      <c r="G8" s="333"/>
      <c r="N8" s="116"/>
    </row>
    <row r="9" spans="2:14" ht="38.25">
      <c r="B9" s="336"/>
      <c r="C9" s="332"/>
      <c r="D9" s="141" t="s">
        <v>106</v>
      </c>
      <c r="E9" s="142" t="s">
        <v>107</v>
      </c>
      <c r="F9" s="142" t="s">
        <v>108</v>
      </c>
      <c r="G9" s="142" t="s">
        <v>109</v>
      </c>
      <c r="I9" s="168" t="s">
        <v>116</v>
      </c>
      <c r="N9" s="116"/>
    </row>
    <row r="10" spans="2:14" ht="33" customHeight="1">
      <c r="B10" s="138" t="s">
        <v>94</v>
      </c>
      <c r="C10" s="143" t="s">
        <v>103</v>
      </c>
      <c r="D10" s="157">
        <v>1</v>
      </c>
      <c r="E10" s="145">
        <v>1</v>
      </c>
      <c r="F10" s="119" t="s">
        <v>128</v>
      </c>
      <c r="G10" s="147">
        <f>IF(D10&gt;=0,D10,0)</f>
        <v>1</v>
      </c>
      <c r="I10" s="96" t="str">
        <f>IF(D10=E10,IF(D11=E11,"Y","N"),"N")</f>
        <v>Y</v>
      </c>
      <c r="N10" s="116"/>
    </row>
    <row r="11" spans="2:14" ht="33" customHeight="1">
      <c r="B11" s="139" t="s">
        <v>94</v>
      </c>
      <c r="C11" s="148" t="s">
        <v>102</v>
      </c>
      <c r="D11" s="158">
        <v>1</v>
      </c>
      <c r="E11" s="149">
        <v>1</v>
      </c>
      <c r="F11" s="150" t="s">
        <v>128</v>
      </c>
      <c r="G11" s="151">
        <f>IF(D11&gt;=0,D11,0)</f>
        <v>1</v>
      </c>
      <c r="I11" s="166" t="str">
        <f>IF(D13=E13,IF(D14=E14,IF(D15=E15,IF(D16=E16,IF(D17=E17,IF(D18=E18,"Y","N"),"N"),"N"),"N"),"N"),"N")</f>
        <v>Y</v>
      </c>
      <c r="N11" s="116"/>
    </row>
    <row r="12" spans="3:14" ht="12.75">
      <c r="C12" s="118"/>
      <c r="D12" s="159"/>
      <c r="E12" s="156"/>
      <c r="F12" s="156"/>
      <c r="G12" s="156"/>
      <c r="N12" s="116"/>
    </row>
    <row r="13" spans="2:14" ht="33" customHeight="1">
      <c r="B13" s="137" t="s">
        <v>117</v>
      </c>
      <c r="C13" s="152" t="s">
        <v>124</v>
      </c>
      <c r="D13" s="160">
        <v>0.2228</v>
      </c>
      <c r="E13" s="153">
        <v>0.2228</v>
      </c>
      <c r="F13" s="154" t="s">
        <v>146</v>
      </c>
      <c r="G13" s="155">
        <f aca="true" t="shared" si="0" ref="G13:G18">IF($I$10="Y",D13,E13)</f>
        <v>0.2228</v>
      </c>
      <c r="I13" s="250" t="s">
        <v>113</v>
      </c>
      <c r="N13" s="116"/>
    </row>
    <row r="14" spans="2:18" ht="33" customHeight="1">
      <c r="B14" s="138" t="s">
        <v>117</v>
      </c>
      <c r="C14" s="165" t="s">
        <v>122</v>
      </c>
      <c r="D14" s="161">
        <v>18000</v>
      </c>
      <c r="E14" s="146">
        <v>18000</v>
      </c>
      <c r="F14" s="122" t="s">
        <v>147</v>
      </c>
      <c r="G14" s="294">
        <f t="shared" si="0"/>
        <v>18000</v>
      </c>
      <c r="I14" s="94" t="s">
        <v>114</v>
      </c>
      <c r="N14" s="116"/>
      <c r="O14" s="121"/>
      <c r="P14" s="116"/>
      <c r="Q14" s="116"/>
      <c r="R14" s="116"/>
    </row>
    <row r="15" spans="2:18" ht="33" customHeight="1">
      <c r="B15" s="138" t="s">
        <v>117</v>
      </c>
      <c r="C15" s="144" t="s">
        <v>123</v>
      </c>
      <c r="D15" s="161">
        <v>21000</v>
      </c>
      <c r="E15" s="146">
        <v>21000</v>
      </c>
      <c r="F15" s="122" t="s">
        <v>148</v>
      </c>
      <c r="G15" s="294">
        <f t="shared" si="0"/>
        <v>21000</v>
      </c>
      <c r="I15" s="95" t="s">
        <v>115</v>
      </c>
      <c r="N15" s="116"/>
      <c r="O15" s="121"/>
      <c r="P15" s="116"/>
      <c r="Q15" s="116"/>
      <c r="R15" s="116"/>
    </row>
    <row r="16" spans="2:18" ht="33" customHeight="1">
      <c r="B16" s="138" t="s">
        <v>117</v>
      </c>
      <c r="C16" s="144" t="s">
        <v>125</v>
      </c>
      <c r="D16" s="292">
        <v>25</v>
      </c>
      <c r="E16" s="293">
        <v>25</v>
      </c>
      <c r="F16" s="120" t="s">
        <v>149</v>
      </c>
      <c r="G16" s="295">
        <f t="shared" si="0"/>
        <v>25</v>
      </c>
      <c r="N16" s="116"/>
      <c r="O16" s="116"/>
      <c r="P16" s="116"/>
      <c r="Q16" s="116"/>
      <c r="R16" s="116"/>
    </row>
    <row r="17" spans="2:18" ht="33" customHeight="1">
      <c r="B17" s="138" t="s">
        <v>117</v>
      </c>
      <c r="C17" s="144" t="s">
        <v>126</v>
      </c>
      <c r="D17" s="292">
        <v>409</v>
      </c>
      <c r="E17" s="293">
        <v>409</v>
      </c>
      <c r="F17" s="120" t="s">
        <v>150</v>
      </c>
      <c r="G17" s="295">
        <f t="shared" si="0"/>
        <v>409</v>
      </c>
      <c r="N17" s="116"/>
      <c r="O17" s="116"/>
      <c r="P17" s="116"/>
      <c r="Q17" s="116"/>
      <c r="R17" s="116"/>
    </row>
    <row r="18" spans="2:18" ht="33" customHeight="1">
      <c r="B18" s="139" t="s">
        <v>117</v>
      </c>
      <c r="C18" s="167" t="s">
        <v>167</v>
      </c>
      <c r="D18" s="290">
        <v>14.25</v>
      </c>
      <c r="E18" s="291">
        <v>14.25</v>
      </c>
      <c r="F18" s="140" t="s">
        <v>151</v>
      </c>
      <c r="G18" s="296">
        <f t="shared" si="0"/>
        <v>14.25</v>
      </c>
      <c r="N18" s="116"/>
      <c r="O18" s="116"/>
      <c r="P18" s="116"/>
      <c r="Q18" s="116"/>
      <c r="R18" s="116"/>
    </row>
    <row r="19" spans="3:18" ht="12.75">
      <c r="C19" s="169"/>
      <c r="D19" s="170"/>
      <c r="E19" s="113"/>
      <c r="F19" s="114"/>
      <c r="G19" s="113"/>
      <c r="N19" s="116"/>
      <c r="O19" s="116"/>
      <c r="P19" s="116"/>
      <c r="Q19" s="116"/>
      <c r="R19" s="116"/>
    </row>
    <row r="20" spans="2:18" ht="33" customHeight="1">
      <c r="B20" s="337">
        <f>IF(I10="N",IF(I11="N","Reminder: Please reset all summary parameters to original values before changing specific parameters.  Specific parameters will only be used in ERR computation when all summary parameters are set to initial values.",0),0)</f>
        <v>0</v>
      </c>
      <c r="C20" s="337"/>
      <c r="D20" s="337"/>
      <c r="E20" s="337"/>
      <c r="F20" s="337"/>
      <c r="G20" s="337"/>
      <c r="N20" s="116"/>
      <c r="O20" s="116"/>
      <c r="P20" s="116"/>
      <c r="Q20" s="116"/>
      <c r="R20" s="116"/>
    </row>
    <row r="21" spans="2:18" ht="12.75">
      <c r="B21" s="123"/>
      <c r="C21" s="123"/>
      <c r="D21" s="123"/>
      <c r="E21" s="123"/>
      <c r="F21" s="123"/>
      <c r="G21" s="123"/>
      <c r="I21" s="112"/>
      <c r="N21" s="116"/>
      <c r="O21" s="116"/>
      <c r="P21" s="116"/>
      <c r="Q21" s="116"/>
      <c r="R21" s="116"/>
    </row>
    <row r="22" spans="3:18" ht="12.75">
      <c r="C22" s="124" t="s">
        <v>110</v>
      </c>
      <c r="D22" s="162">
        <f>'Property Regularization'!C59</f>
        <v>0.2901988000627718</v>
      </c>
      <c r="N22" s="116"/>
      <c r="O22" s="116"/>
      <c r="P22" s="116"/>
      <c r="Q22" s="116"/>
      <c r="R22" s="116"/>
    </row>
    <row r="23" spans="3:14" ht="12.75">
      <c r="C23" s="124"/>
      <c r="D23" s="163"/>
      <c r="N23" s="116"/>
    </row>
    <row r="24" spans="3:14" ht="12.75">
      <c r="C24" s="124" t="s">
        <v>169</v>
      </c>
      <c r="D24" s="164">
        <v>0.29</v>
      </c>
      <c r="N24" s="116"/>
    </row>
    <row r="25" ht="12.75">
      <c r="N25" s="116"/>
    </row>
    <row r="26" ht="12.75">
      <c r="N26" s="116"/>
    </row>
    <row r="27" ht="12.75">
      <c r="N27" s="116"/>
    </row>
    <row r="28" ht="12.75">
      <c r="N28" s="116"/>
    </row>
    <row r="29" ht="12.75">
      <c r="N29" s="116"/>
    </row>
    <row r="30" spans="4:14" ht="12.75">
      <c r="D30" s="125"/>
      <c r="N30" s="116"/>
    </row>
    <row r="31" spans="4:14" ht="12.75">
      <c r="D31" s="125"/>
      <c r="N31" s="116"/>
    </row>
    <row r="32" spans="4:14" ht="12.75">
      <c r="D32" s="125"/>
      <c r="N32" s="116"/>
    </row>
    <row r="33" spans="4:14" ht="12.75">
      <c r="D33" s="125"/>
      <c r="N33" s="116"/>
    </row>
    <row r="34" spans="4:14" ht="12.75">
      <c r="D34" s="125"/>
      <c r="N34" s="116"/>
    </row>
    <row r="35" spans="4:14" ht="12.75">
      <c r="D35" s="125"/>
      <c r="N35" s="116"/>
    </row>
    <row r="36" spans="4:14" ht="12.75">
      <c r="D36" s="125"/>
      <c r="N36" s="116"/>
    </row>
    <row r="37" spans="4:14" ht="12.75">
      <c r="D37" s="125"/>
      <c r="N37" s="116"/>
    </row>
    <row r="38" spans="4:14" ht="12.75">
      <c r="D38" s="125"/>
      <c r="N38" s="116"/>
    </row>
    <row r="39" spans="4:14" ht="12.75">
      <c r="D39" s="125"/>
      <c r="N39" s="116"/>
    </row>
    <row r="40" ht="12.75">
      <c r="N40" s="116"/>
    </row>
    <row r="41" ht="12.75">
      <c r="N41" s="116"/>
    </row>
    <row r="42" ht="12.75">
      <c r="N42" s="116"/>
    </row>
    <row r="43" ht="12.75">
      <c r="N43" s="116"/>
    </row>
    <row r="44" spans="3:14" ht="15.75">
      <c r="C44" s="338"/>
      <c r="D44" s="338"/>
      <c r="N44" s="116"/>
    </row>
    <row r="45" ht="12.75">
      <c r="N45" s="116"/>
    </row>
    <row r="46" ht="12.75">
      <c r="N46" s="116"/>
    </row>
    <row r="47" ht="12.75">
      <c r="N47" s="116"/>
    </row>
    <row r="48" ht="12.75">
      <c r="N48" s="116"/>
    </row>
    <row r="49" spans="9:14" ht="12.75">
      <c r="I49" s="116"/>
      <c r="N49" s="116"/>
    </row>
    <row r="50" spans="3:14" ht="12.75">
      <c r="C50" s="331"/>
      <c r="D50" s="331"/>
      <c r="E50" s="331"/>
      <c r="F50" s="116"/>
      <c r="G50" s="116"/>
      <c r="H50" s="116"/>
      <c r="I50" s="116"/>
      <c r="J50" s="116"/>
      <c r="K50" s="116"/>
      <c r="L50" s="116"/>
      <c r="M50" s="116"/>
      <c r="N50" s="116"/>
    </row>
    <row r="51" spans="3:14" ht="12.75">
      <c r="C51" s="116"/>
      <c r="D51" s="116"/>
      <c r="E51" s="116"/>
      <c r="F51" s="116"/>
      <c r="G51" s="116"/>
      <c r="H51" s="116"/>
      <c r="I51" s="116"/>
      <c r="J51" s="116"/>
      <c r="K51" s="116"/>
      <c r="L51" s="116"/>
      <c r="M51" s="116"/>
      <c r="N51" s="116"/>
    </row>
    <row r="52" spans="3:14" ht="12.75">
      <c r="C52" s="116"/>
      <c r="D52" s="116"/>
      <c r="E52" s="116"/>
      <c r="F52" s="116"/>
      <c r="G52" s="116"/>
      <c r="H52" s="116"/>
      <c r="I52" s="116"/>
      <c r="J52" s="116"/>
      <c r="K52" s="116"/>
      <c r="L52" s="116"/>
      <c r="M52" s="116"/>
      <c r="N52" s="116"/>
    </row>
    <row r="53" spans="3:14" ht="12.75">
      <c r="C53" s="116"/>
      <c r="D53" s="116"/>
      <c r="E53" s="116"/>
      <c r="F53" s="116"/>
      <c r="G53" s="116"/>
      <c r="H53" s="116"/>
      <c r="I53" s="116"/>
      <c r="J53" s="116"/>
      <c r="K53" s="116"/>
      <c r="L53" s="116"/>
      <c r="M53" s="116"/>
      <c r="N53" s="116"/>
    </row>
    <row r="54" spans="3:14" ht="12.75">
      <c r="C54" s="116"/>
      <c r="D54" s="116"/>
      <c r="E54" s="126"/>
      <c r="F54" s="116"/>
      <c r="G54" s="116"/>
      <c r="H54" s="116"/>
      <c r="I54" s="116"/>
      <c r="J54" s="116"/>
      <c r="K54" s="116"/>
      <c r="L54" s="116"/>
      <c r="M54" s="116"/>
      <c r="N54" s="116"/>
    </row>
    <row r="55" spans="3:14" ht="12.75">
      <c r="C55" s="116"/>
      <c r="D55" s="116"/>
      <c r="E55" s="116"/>
      <c r="F55" s="116"/>
      <c r="G55" s="116"/>
      <c r="H55" s="116"/>
      <c r="I55" s="116"/>
      <c r="J55" s="116"/>
      <c r="K55" s="116"/>
      <c r="L55" s="116"/>
      <c r="M55" s="116"/>
      <c r="N55" s="116"/>
    </row>
    <row r="56" spans="3:14" ht="12.75">
      <c r="C56" s="116"/>
      <c r="D56" s="116"/>
      <c r="E56" s="126"/>
      <c r="F56" s="116"/>
      <c r="G56" s="116"/>
      <c r="H56" s="116"/>
      <c r="I56" s="116"/>
      <c r="J56" s="116"/>
      <c r="K56" s="116"/>
      <c r="L56" s="116"/>
      <c r="M56" s="116"/>
      <c r="N56" s="116"/>
    </row>
    <row r="57" spans="3:14" ht="12.75">
      <c r="C57" s="116"/>
      <c r="D57" s="116"/>
      <c r="E57" s="116"/>
      <c r="F57" s="116"/>
      <c r="G57" s="116"/>
      <c r="H57" s="116"/>
      <c r="I57" s="116"/>
      <c r="J57" s="116"/>
      <c r="K57" s="116"/>
      <c r="L57" s="116"/>
      <c r="M57" s="116"/>
      <c r="N57" s="116"/>
    </row>
    <row r="58" spans="3:14" ht="12.75">
      <c r="C58" s="116"/>
      <c r="D58" s="116"/>
      <c r="E58" s="116"/>
      <c r="F58" s="116"/>
      <c r="G58" s="116"/>
      <c r="H58" s="116"/>
      <c r="I58" s="127"/>
      <c r="J58" s="116"/>
      <c r="K58" s="116"/>
      <c r="L58" s="116"/>
      <c r="M58" s="116"/>
      <c r="N58" s="116"/>
    </row>
    <row r="59" spans="3:14" ht="12.75">
      <c r="C59" s="128"/>
      <c r="D59" s="128"/>
      <c r="E59" s="127"/>
      <c r="F59" s="127"/>
      <c r="G59" s="127"/>
      <c r="H59" s="127"/>
      <c r="I59" s="121"/>
      <c r="J59" s="127"/>
      <c r="K59" s="127"/>
      <c r="L59" s="127"/>
      <c r="M59" s="127"/>
      <c r="N59" s="127"/>
    </row>
    <row r="60" spans="3:14" ht="12.75">
      <c r="C60" s="116"/>
      <c r="D60" s="116"/>
      <c r="E60" s="121"/>
      <c r="F60" s="121"/>
      <c r="G60" s="121"/>
      <c r="H60" s="121"/>
      <c r="I60" s="121"/>
      <c r="J60" s="121"/>
      <c r="K60" s="121"/>
      <c r="L60" s="121"/>
      <c r="M60" s="121"/>
      <c r="N60" s="121"/>
    </row>
    <row r="61" spans="3:14" ht="12.75">
      <c r="C61" s="116"/>
      <c r="D61" s="116"/>
      <c r="E61" s="121"/>
      <c r="F61" s="121"/>
      <c r="G61" s="121"/>
      <c r="H61" s="121"/>
      <c r="I61" s="129"/>
      <c r="J61" s="121"/>
      <c r="K61" s="121"/>
      <c r="L61" s="121"/>
      <c r="M61" s="121"/>
      <c r="N61" s="121"/>
    </row>
    <row r="62" spans="3:14" ht="12.75">
      <c r="C62" s="116"/>
      <c r="D62" s="116"/>
      <c r="E62" s="130"/>
      <c r="F62" s="130"/>
      <c r="G62" s="129"/>
      <c r="H62" s="129"/>
      <c r="I62" s="129"/>
      <c r="J62" s="121"/>
      <c r="K62" s="121"/>
      <c r="L62" s="121"/>
      <c r="M62" s="121"/>
      <c r="N62" s="121"/>
    </row>
    <row r="63" spans="3:14" ht="12.75">
      <c r="C63" s="116"/>
      <c r="D63" s="116"/>
      <c r="E63" s="131"/>
      <c r="F63" s="131"/>
      <c r="G63" s="131"/>
      <c r="H63" s="131"/>
      <c r="I63" s="121"/>
      <c r="J63" s="121"/>
      <c r="K63" s="121"/>
      <c r="L63" s="121"/>
      <c r="M63" s="121"/>
      <c r="N63" s="121"/>
    </row>
    <row r="64" spans="3:14" ht="12.75">
      <c r="C64" s="116"/>
      <c r="D64" s="116"/>
      <c r="E64" s="121"/>
      <c r="F64" s="121"/>
      <c r="G64" s="121"/>
      <c r="H64" s="121"/>
      <c r="I64" s="116"/>
      <c r="J64" s="121"/>
      <c r="K64" s="121"/>
      <c r="L64" s="121"/>
      <c r="M64" s="121"/>
      <c r="N64" s="121"/>
    </row>
    <row r="65" spans="3:14" ht="12.75">
      <c r="C65" s="116"/>
      <c r="D65" s="116"/>
      <c r="E65" s="132"/>
      <c r="F65" s="116"/>
      <c r="G65" s="116"/>
      <c r="H65" s="116"/>
      <c r="I65" s="116"/>
      <c r="J65" s="116"/>
      <c r="K65" s="116"/>
      <c r="L65" s="116"/>
      <c r="M65" s="116"/>
      <c r="N65" s="116"/>
    </row>
    <row r="66" spans="3:14" ht="12.75">
      <c r="C66" s="116"/>
      <c r="D66" s="116"/>
      <c r="E66" s="116"/>
      <c r="F66" s="133"/>
      <c r="G66" s="116"/>
      <c r="H66" s="116"/>
      <c r="I66" s="121"/>
      <c r="J66" s="116"/>
      <c r="K66" s="116"/>
      <c r="L66" s="116"/>
      <c r="M66" s="116"/>
      <c r="N66" s="116"/>
    </row>
    <row r="67" spans="3:15" ht="12.75">
      <c r="C67" s="116"/>
      <c r="D67" s="116"/>
      <c r="E67" s="121"/>
      <c r="F67" s="121"/>
      <c r="G67" s="121"/>
      <c r="H67" s="121"/>
      <c r="I67" s="134"/>
      <c r="J67" s="121"/>
      <c r="K67" s="121"/>
      <c r="L67" s="121"/>
      <c r="M67" s="121"/>
      <c r="N67" s="121"/>
      <c r="O67" s="121"/>
    </row>
    <row r="68" spans="3:14" ht="12.75">
      <c r="C68" s="116"/>
      <c r="D68" s="116"/>
      <c r="E68" s="134"/>
      <c r="F68" s="134"/>
      <c r="G68" s="134"/>
      <c r="H68" s="134"/>
      <c r="I68" s="134"/>
      <c r="J68" s="134"/>
      <c r="K68" s="134"/>
      <c r="L68" s="134"/>
      <c r="M68" s="134"/>
      <c r="N68" s="134"/>
    </row>
    <row r="69" spans="3:14" ht="28.5" customHeight="1">
      <c r="C69" s="329" t="s">
        <v>168</v>
      </c>
      <c r="D69" s="329"/>
      <c r="E69" s="329"/>
      <c r="F69" s="329"/>
      <c r="G69" s="134"/>
      <c r="H69" s="134"/>
      <c r="I69" s="116"/>
      <c r="J69" s="134"/>
      <c r="K69" s="134"/>
      <c r="L69" s="134"/>
      <c r="M69" s="134"/>
      <c r="N69" s="134"/>
    </row>
    <row r="70" spans="3:14" ht="15">
      <c r="C70" s="116"/>
      <c r="D70" s="116"/>
      <c r="E70" s="116"/>
      <c r="F70" s="116"/>
      <c r="G70" s="116"/>
      <c r="H70" s="116"/>
      <c r="I70" s="135"/>
      <c r="J70" s="116"/>
      <c r="K70" s="116"/>
      <c r="L70" s="116"/>
      <c r="M70" s="116"/>
      <c r="N70" s="116"/>
    </row>
    <row r="71" spans="3:14" ht="15">
      <c r="C71" s="135"/>
      <c r="D71" s="135"/>
      <c r="E71" s="135"/>
      <c r="F71" s="135"/>
      <c r="G71" s="135"/>
      <c r="H71" s="135"/>
      <c r="I71" s="116"/>
      <c r="J71" s="135"/>
      <c r="K71" s="135"/>
      <c r="L71" s="135"/>
      <c r="M71" s="135"/>
      <c r="N71" s="135"/>
    </row>
    <row r="72" spans="3:14" ht="12.75">
      <c r="C72" s="116"/>
      <c r="D72" s="116"/>
      <c r="E72" s="116"/>
      <c r="F72" s="116"/>
      <c r="G72" s="116"/>
      <c r="H72" s="116"/>
      <c r="I72" s="127"/>
      <c r="J72" s="116"/>
      <c r="K72" s="116"/>
      <c r="L72" s="116"/>
      <c r="M72" s="116"/>
      <c r="N72" s="116"/>
    </row>
    <row r="73" spans="3:14" ht="12.75">
      <c r="C73" s="128"/>
      <c r="D73" s="128"/>
      <c r="E73" s="127"/>
      <c r="F73" s="127"/>
      <c r="G73" s="127"/>
      <c r="H73" s="127"/>
      <c r="I73" s="121"/>
      <c r="J73" s="127"/>
      <c r="K73" s="127"/>
      <c r="L73" s="127"/>
      <c r="M73" s="127"/>
      <c r="N73" s="127"/>
    </row>
    <row r="74" spans="3:14" ht="12.75">
      <c r="C74" s="116"/>
      <c r="D74" s="116"/>
      <c r="E74" s="121"/>
      <c r="F74" s="121"/>
      <c r="G74" s="121"/>
      <c r="H74" s="121"/>
      <c r="I74" s="121"/>
      <c r="J74" s="121"/>
      <c r="K74" s="121"/>
      <c r="L74" s="121"/>
      <c r="M74" s="121"/>
      <c r="N74" s="121"/>
    </row>
    <row r="75" spans="3:14" ht="12.75">
      <c r="C75" s="116"/>
      <c r="D75" s="116"/>
      <c r="E75" s="121"/>
      <c r="F75" s="121"/>
      <c r="G75" s="121"/>
      <c r="H75" s="121"/>
      <c r="I75" s="121"/>
      <c r="J75" s="121"/>
      <c r="K75" s="121"/>
      <c r="L75" s="121"/>
      <c r="M75" s="121"/>
      <c r="N75" s="121"/>
    </row>
    <row r="76" spans="3:14" ht="12.75">
      <c r="C76" s="116"/>
      <c r="D76" s="116"/>
      <c r="E76" s="121"/>
      <c r="F76" s="121"/>
      <c r="G76" s="121"/>
      <c r="H76" s="121"/>
      <c r="I76" s="121"/>
      <c r="J76" s="121"/>
      <c r="K76" s="121"/>
      <c r="L76" s="121"/>
      <c r="M76" s="121"/>
      <c r="N76" s="121"/>
    </row>
    <row r="77" spans="3:14" ht="12.75">
      <c r="C77" s="116"/>
      <c r="D77" s="116"/>
      <c r="E77" s="121"/>
      <c r="F77" s="121"/>
      <c r="G77" s="121"/>
      <c r="H77" s="121"/>
      <c r="I77" s="116"/>
      <c r="J77" s="121"/>
      <c r="K77" s="121"/>
      <c r="L77" s="121"/>
      <c r="M77" s="121"/>
      <c r="N77" s="121"/>
    </row>
    <row r="78" spans="3:14" ht="12.75">
      <c r="C78" s="116"/>
      <c r="D78" s="116"/>
      <c r="E78" s="132"/>
      <c r="F78" s="116"/>
      <c r="G78" s="116"/>
      <c r="H78" s="116"/>
      <c r="I78" s="116"/>
      <c r="J78" s="116"/>
      <c r="K78" s="116"/>
      <c r="L78" s="116"/>
      <c r="M78" s="116"/>
      <c r="N78" s="116"/>
    </row>
    <row r="79" spans="3:14" ht="12.75">
      <c r="C79" s="116"/>
      <c r="D79" s="116"/>
      <c r="E79" s="116"/>
      <c r="F79" s="116"/>
      <c r="G79" s="116"/>
      <c r="H79" s="116"/>
      <c r="I79" s="116"/>
      <c r="J79" s="116"/>
      <c r="K79" s="116"/>
      <c r="L79" s="116"/>
      <c r="M79" s="116"/>
      <c r="N79" s="116"/>
    </row>
    <row r="80" spans="3:14" ht="12.75">
      <c r="C80" s="116"/>
      <c r="D80" s="116"/>
      <c r="E80" s="116"/>
      <c r="F80" s="116"/>
      <c r="G80" s="116"/>
      <c r="H80" s="116"/>
      <c r="I80" s="127"/>
      <c r="J80" s="116"/>
      <c r="K80" s="116"/>
      <c r="L80" s="116"/>
      <c r="M80" s="116"/>
      <c r="N80" s="116"/>
    </row>
    <row r="81" spans="3:14" ht="12.75">
      <c r="C81" s="128"/>
      <c r="D81" s="128"/>
      <c r="E81" s="127"/>
      <c r="F81" s="127"/>
      <c r="G81" s="127"/>
      <c r="H81" s="127"/>
      <c r="I81" s="121"/>
      <c r="J81" s="127"/>
      <c r="K81" s="127"/>
      <c r="L81" s="127"/>
      <c r="M81" s="127"/>
      <c r="N81" s="127"/>
    </row>
    <row r="82" spans="3:14" ht="12.75">
      <c r="C82" s="116"/>
      <c r="D82" s="116"/>
      <c r="E82" s="121"/>
      <c r="F82" s="121"/>
      <c r="G82" s="121"/>
      <c r="H82" s="121"/>
      <c r="I82" s="121"/>
      <c r="J82" s="121"/>
      <c r="K82" s="121"/>
      <c r="L82" s="121"/>
      <c r="M82" s="121"/>
      <c r="N82" s="121"/>
    </row>
    <row r="83" spans="3:14" ht="12.75">
      <c r="C83" s="116"/>
      <c r="D83" s="116"/>
      <c r="E83" s="121"/>
      <c r="F83" s="121"/>
      <c r="G83" s="121"/>
      <c r="H83" s="121"/>
      <c r="I83" s="121"/>
      <c r="J83" s="121"/>
      <c r="K83" s="121"/>
      <c r="L83" s="121"/>
      <c r="M83" s="121"/>
      <c r="N83" s="121"/>
    </row>
    <row r="84" spans="3:14" ht="12.75">
      <c r="C84" s="116"/>
      <c r="D84" s="116"/>
      <c r="E84" s="121"/>
      <c r="F84" s="121"/>
      <c r="G84" s="121"/>
      <c r="H84" s="121"/>
      <c r="I84" s="121"/>
      <c r="J84" s="121"/>
      <c r="K84" s="121"/>
      <c r="L84" s="121"/>
      <c r="M84" s="121"/>
      <c r="N84" s="121"/>
    </row>
    <row r="85" spans="3:14" ht="12.75">
      <c r="C85" s="116"/>
      <c r="D85" s="116"/>
      <c r="E85" s="121"/>
      <c r="F85" s="121"/>
      <c r="G85" s="121"/>
      <c r="H85" s="121"/>
      <c r="I85" s="116"/>
      <c r="J85" s="121"/>
      <c r="K85" s="121"/>
      <c r="L85" s="121"/>
      <c r="M85" s="121"/>
      <c r="N85" s="121"/>
    </row>
    <row r="86" spans="3:14" ht="12.75">
      <c r="C86" s="116"/>
      <c r="D86" s="116"/>
      <c r="E86" s="132"/>
      <c r="F86" s="116"/>
      <c r="G86" s="116"/>
      <c r="H86" s="116"/>
      <c r="J86" s="116"/>
      <c r="K86" s="116"/>
      <c r="L86" s="116"/>
      <c r="M86" s="116"/>
      <c r="N86" s="116"/>
    </row>
    <row r="90" spans="4:14" ht="12.75">
      <c r="D90" s="125"/>
      <c r="N90" s="125"/>
    </row>
    <row r="92" spans="4:9" ht="12.75">
      <c r="D92" s="130"/>
      <c r="E92" s="130"/>
      <c r="F92" s="129"/>
      <c r="G92" s="129"/>
      <c r="H92" s="129"/>
      <c r="I92" s="125"/>
    </row>
    <row r="93" spans="4:13" ht="12.75">
      <c r="D93" s="125"/>
      <c r="E93" s="125"/>
      <c r="F93" s="125"/>
      <c r="G93" s="125"/>
      <c r="H93" s="125"/>
      <c r="J93" s="125"/>
      <c r="K93" s="125"/>
      <c r="L93" s="125"/>
      <c r="M93" s="125"/>
    </row>
    <row r="94" ht="12.75">
      <c r="D94" s="136"/>
    </row>
    <row r="101" ht="13.5" customHeight="1"/>
    <row r="103" ht="12.75">
      <c r="C103" s="136"/>
    </row>
    <row r="105" ht="12.75">
      <c r="C105" s="136"/>
    </row>
  </sheetData>
  <mergeCells count="9">
    <mergeCell ref="C69:F69"/>
    <mergeCell ref="B2:C2"/>
    <mergeCell ref="C50:E50"/>
    <mergeCell ref="C8:C9"/>
    <mergeCell ref="D8:G8"/>
    <mergeCell ref="B6:G6"/>
    <mergeCell ref="B8:B9"/>
    <mergeCell ref="B20:G20"/>
    <mergeCell ref="C44:D44"/>
  </mergeCells>
  <conditionalFormatting sqref="B20:B21">
    <cfRule type="cellIs" priority="1" dxfId="0" operator="equal" stopIfTrue="1">
      <formula>0</formula>
    </cfRule>
    <cfRule type="cellIs" priority="2" dxfId="1" operator="notEqual" stopIfTrue="1">
      <formula>0</formula>
    </cfRule>
  </conditionalFormatting>
  <hyperlinks>
    <hyperlink ref="I14" location="'Project Description'!A1" display="Project Description"/>
    <hyperlink ref="I15" location="'User''s Guide'!A1" display="User's Guide"/>
  </hyperlink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5"/>
  <dimension ref="A2:N92"/>
  <sheetViews>
    <sheetView showGridLines="0" workbookViewId="0" topLeftCell="A1">
      <selection activeCell="A1" sqref="A1"/>
    </sheetView>
  </sheetViews>
  <sheetFormatPr defaultColWidth="9.140625" defaultRowHeight="12.75"/>
  <cols>
    <col min="1" max="1" width="35.7109375" style="15" customWidth="1"/>
    <col min="2" max="2" width="14.8515625" style="15" bestFit="1" customWidth="1"/>
    <col min="3" max="3" width="10.28125" style="15" bestFit="1" customWidth="1"/>
    <col min="4" max="4" width="17.28125" style="15" customWidth="1"/>
    <col min="5" max="5" width="11.140625" style="15" customWidth="1"/>
    <col min="6" max="16384" width="9.140625" style="15" customWidth="1"/>
  </cols>
  <sheetData>
    <row r="2" spans="1:5" ht="18">
      <c r="A2" s="297" t="s">
        <v>130</v>
      </c>
      <c r="E2" s="217" t="s">
        <v>144</v>
      </c>
    </row>
    <row r="3" spans="1:7" ht="15" customHeight="1">
      <c r="A3" s="337">
        <f>IF('ERR &amp; Sensitivity Analysis'!$I$10="N","Note: Current calculations are based on user input and are not the original MCC estimates.",IF('ERR &amp; Sensitivity Analysis'!$I$11="N","Note: Current calculations are based on user input and are not the original MCC estimates.",0))</f>
        <v>0</v>
      </c>
      <c r="B3" s="337"/>
      <c r="C3" s="337"/>
      <c r="D3" s="337"/>
      <c r="E3" s="337"/>
      <c r="F3" s="337"/>
      <c r="G3" s="337"/>
    </row>
    <row r="5" spans="1:5" ht="13.5" thickBot="1">
      <c r="A5" s="356" t="s">
        <v>24</v>
      </c>
      <c r="B5" s="356"/>
      <c r="C5" s="356"/>
      <c r="D5" s="356"/>
      <c r="E5" s="356"/>
    </row>
    <row r="6" spans="1:5" ht="25.5">
      <c r="A6" s="16"/>
      <c r="B6" s="17"/>
      <c r="C6" s="17" t="s">
        <v>25</v>
      </c>
      <c r="D6" s="17" t="s">
        <v>26</v>
      </c>
      <c r="E6" s="17" t="s">
        <v>27</v>
      </c>
    </row>
    <row r="7" spans="1:8" ht="12.75">
      <c r="A7" s="18" t="s">
        <v>28</v>
      </c>
      <c r="B7" s="19" t="s">
        <v>29</v>
      </c>
      <c r="C7" s="20">
        <v>4807</v>
      </c>
      <c r="D7" s="20">
        <v>964</v>
      </c>
      <c r="E7" s="21">
        <v>0.2005</v>
      </c>
      <c r="H7" s="22"/>
    </row>
    <row r="8" spans="1:5" ht="12.75">
      <c r="A8" s="23"/>
      <c r="B8" s="24" t="s">
        <v>30</v>
      </c>
      <c r="C8" s="26">
        <v>17804</v>
      </c>
      <c r="D8" s="26">
        <v>1335</v>
      </c>
      <c r="E8" s="27">
        <v>0.075</v>
      </c>
    </row>
    <row r="9" spans="1:5" ht="12.75">
      <c r="A9" s="28"/>
      <c r="B9" s="29"/>
      <c r="C9" s="29"/>
      <c r="D9" s="29"/>
      <c r="E9" s="29"/>
    </row>
    <row r="10" spans="1:5" ht="12.75">
      <c r="A10" s="18" t="s">
        <v>31</v>
      </c>
      <c r="B10" s="19" t="s">
        <v>32</v>
      </c>
      <c r="C10" s="20">
        <v>2481</v>
      </c>
      <c r="D10" s="20">
        <v>361</v>
      </c>
      <c r="E10" s="21">
        <v>0.1455</v>
      </c>
    </row>
    <row r="11" spans="1:5" ht="12.75">
      <c r="A11" s="23"/>
      <c r="B11" s="24" t="s">
        <v>33</v>
      </c>
      <c r="C11" s="26">
        <v>12028</v>
      </c>
      <c r="D11" s="26">
        <v>1733</v>
      </c>
      <c r="E11" s="27">
        <v>0.1441</v>
      </c>
    </row>
    <row r="12" spans="1:5" ht="13.5" thickBot="1">
      <c r="A12" s="346" t="s">
        <v>34</v>
      </c>
      <c r="B12" s="347"/>
      <c r="C12" s="347"/>
      <c r="D12" s="347"/>
      <c r="E12" s="357"/>
    </row>
    <row r="13" spans="1:5" ht="13.5" thickBot="1">
      <c r="A13" s="14"/>
      <c r="B13" s="14"/>
      <c r="C13" s="14"/>
      <c r="D13" s="14"/>
      <c r="E13" s="14"/>
    </row>
    <row r="14" spans="1:5" ht="12.75">
      <c r="A14" s="339" t="s">
        <v>35</v>
      </c>
      <c r="B14" s="340"/>
      <c r="C14" s="340"/>
      <c r="D14" s="340"/>
      <c r="E14" s="341"/>
    </row>
    <row r="15" spans="1:5" ht="12.75">
      <c r="A15" s="28" t="s">
        <v>36</v>
      </c>
      <c r="B15" s="31"/>
      <c r="C15" s="31"/>
      <c r="D15" s="31"/>
      <c r="E15" s="32"/>
    </row>
    <row r="16" spans="1:5" ht="12.75">
      <c r="A16" s="33"/>
      <c r="B16" s="34"/>
      <c r="C16" s="34"/>
      <c r="D16" s="34"/>
      <c r="E16" s="35"/>
    </row>
    <row r="17" spans="1:5" ht="12.75">
      <c r="A17" s="33" t="s">
        <v>37</v>
      </c>
      <c r="B17" s="34"/>
      <c r="C17" s="34"/>
      <c r="D17" s="34"/>
      <c r="E17" s="219">
        <f>'ERR &amp; Sensitivity Analysis'!G13</f>
        <v>0.2228</v>
      </c>
    </row>
    <row r="18" spans="1:5" ht="13.5" thickBot="1">
      <c r="A18" s="33"/>
      <c r="B18" s="34"/>
      <c r="C18" s="34"/>
      <c r="D18" s="34"/>
      <c r="E18" s="36"/>
    </row>
    <row r="19" spans="1:5" ht="12.75">
      <c r="A19" s="72"/>
      <c r="B19" s="73"/>
      <c r="C19" s="73"/>
      <c r="D19" s="73"/>
      <c r="E19" s="85"/>
    </row>
    <row r="20" spans="1:5" ht="12.75">
      <c r="A20" s="342" t="s">
        <v>38</v>
      </c>
      <c r="B20" s="343"/>
      <c r="C20" s="343"/>
      <c r="D20" s="343"/>
      <c r="E20" s="343"/>
    </row>
    <row r="21" spans="1:3" ht="24" customHeight="1">
      <c r="A21" s="19"/>
      <c r="B21" s="318" t="s">
        <v>39</v>
      </c>
      <c r="C21" s="319"/>
    </row>
    <row r="22" spans="1:3" ht="12.75">
      <c r="A22" s="24"/>
      <c r="B22" s="46" t="s">
        <v>40</v>
      </c>
      <c r="C22" s="37" t="s">
        <v>41</v>
      </c>
    </row>
    <row r="23" spans="1:3" ht="12.75">
      <c r="A23" s="28" t="s">
        <v>42</v>
      </c>
      <c r="B23" s="38">
        <v>6032</v>
      </c>
      <c r="C23" s="39">
        <v>423</v>
      </c>
    </row>
    <row r="24" spans="1:3" ht="12.75">
      <c r="A24" s="25" t="s">
        <v>43</v>
      </c>
      <c r="B24" s="40">
        <v>5752</v>
      </c>
      <c r="C24" s="41">
        <v>404</v>
      </c>
    </row>
    <row r="25" spans="1:3" ht="12.75">
      <c r="A25" s="50" t="s">
        <v>44</v>
      </c>
      <c r="B25" s="42">
        <v>7395</v>
      </c>
      <c r="C25" s="43">
        <v>519</v>
      </c>
    </row>
    <row r="26" spans="1:3" ht="13.5" thickBot="1">
      <c r="A26" s="84" t="s">
        <v>45</v>
      </c>
      <c r="B26" s="44">
        <v>7485</v>
      </c>
      <c r="C26" s="45">
        <v>525</v>
      </c>
    </row>
    <row r="27" spans="1:3" ht="13.5" thickBot="1">
      <c r="A27" s="31"/>
      <c r="B27" s="46"/>
      <c r="C27" s="46"/>
    </row>
    <row r="28" spans="1:6" ht="13.5" thickBot="1">
      <c r="A28" s="173" t="s">
        <v>23</v>
      </c>
      <c r="B28" s="174"/>
      <c r="C28" s="175">
        <f>'ERR &amp; Sensitivity Analysis'!G18</f>
        <v>14.25</v>
      </c>
      <c r="D28" s="46"/>
      <c r="E28" s="46"/>
      <c r="F28" s="34"/>
    </row>
    <row r="29" spans="1:5" ht="13.5" thickBot="1">
      <c r="A29" s="28"/>
      <c r="B29" s="31"/>
      <c r="C29" s="31"/>
      <c r="D29" s="31"/>
      <c r="E29" s="31"/>
    </row>
    <row r="30" spans="1:6" ht="12.75">
      <c r="A30" s="89" t="s">
        <v>46</v>
      </c>
      <c r="B30" s="90"/>
      <c r="C30" s="31"/>
      <c r="D30" s="31"/>
      <c r="E30" s="31"/>
      <c r="F30" s="34"/>
    </row>
    <row r="31" spans="1:6" ht="12.75">
      <c r="A31" s="49" t="s">
        <v>47</v>
      </c>
      <c r="B31" s="51">
        <v>434219.72</v>
      </c>
      <c r="E31" s="31"/>
      <c r="F31" s="34"/>
    </row>
    <row r="32" spans="1:6" ht="13.5" thickBot="1">
      <c r="A32" s="18" t="s">
        <v>48</v>
      </c>
      <c r="B32" s="39">
        <v>2147</v>
      </c>
      <c r="E32" s="31"/>
      <c r="F32" s="34"/>
    </row>
    <row r="33" spans="1:5" ht="12.75">
      <c r="A33" s="47"/>
      <c r="B33" s="48"/>
      <c r="C33" s="48"/>
      <c r="D33" s="52" t="s">
        <v>40</v>
      </c>
      <c r="E33" s="53" t="s">
        <v>41</v>
      </c>
    </row>
    <row r="34" spans="1:5" ht="12.75">
      <c r="A34" s="351" t="s">
        <v>49</v>
      </c>
      <c r="B34" s="352"/>
      <c r="C34" s="353"/>
      <c r="D34" s="54">
        <f>+B31*B24</f>
        <v>2497631829.44</v>
      </c>
      <c r="E34" s="55">
        <f>+D34/$C$28</f>
        <v>175272409.0835088</v>
      </c>
    </row>
    <row r="35" spans="1:7" ht="12.75">
      <c r="A35" s="354" t="s">
        <v>50</v>
      </c>
      <c r="B35" s="355"/>
      <c r="C35" s="25"/>
      <c r="D35" s="103">
        <f>+D34*E17</f>
        <v>556472371.599232</v>
      </c>
      <c r="E35" s="56">
        <f>+D35/$C$28</f>
        <v>39050692.74380575</v>
      </c>
      <c r="G35" s="57"/>
    </row>
    <row r="36" spans="1:5" ht="12.75">
      <c r="A36" s="28"/>
      <c r="B36" s="31"/>
      <c r="C36" s="31"/>
      <c r="D36" s="29"/>
      <c r="E36" s="32"/>
    </row>
    <row r="37" spans="1:5" ht="12.75">
      <c r="A37" s="351" t="s">
        <v>51</v>
      </c>
      <c r="B37" s="352"/>
      <c r="C37" s="353"/>
      <c r="D37" s="54">
        <f>+B32*B25</f>
        <v>15877065</v>
      </c>
      <c r="E37" s="55">
        <f>+D37/$C$28</f>
        <v>1114180</v>
      </c>
    </row>
    <row r="38" spans="1:5" ht="13.5" thickBot="1">
      <c r="A38" s="346" t="s">
        <v>50</v>
      </c>
      <c r="B38" s="347"/>
      <c r="C38" s="30"/>
      <c r="D38" s="104">
        <f>+D37*E17</f>
        <v>3537410.082</v>
      </c>
      <c r="E38" s="58">
        <f>+D38/$C$28</f>
        <v>248239.304</v>
      </c>
    </row>
    <row r="39" spans="1:5" ht="12.75">
      <c r="A39" s="14"/>
      <c r="B39" s="14"/>
      <c r="C39" s="14"/>
      <c r="D39" s="14"/>
      <c r="E39" s="14"/>
    </row>
    <row r="40" ht="13.5" thickBot="1"/>
    <row r="41" spans="1:13" ht="13.5" thickBot="1">
      <c r="A41" s="348" t="s">
        <v>176</v>
      </c>
      <c r="B41" s="349"/>
      <c r="C41" s="350"/>
      <c r="D41" s="34"/>
      <c r="E41" s="34"/>
      <c r="F41" s="34"/>
      <c r="G41" s="34"/>
      <c r="H41" s="34"/>
      <c r="I41" s="34"/>
      <c r="J41" s="34"/>
      <c r="K41" s="34"/>
      <c r="L41" s="34"/>
      <c r="M41" s="34"/>
    </row>
    <row r="42" spans="1:13" ht="12.75">
      <c r="A42" s="33"/>
      <c r="B42" s="34" t="s">
        <v>47</v>
      </c>
      <c r="C42" s="171">
        <f>'ERR &amp; Sensitivity Analysis'!G15</f>
        <v>21000</v>
      </c>
      <c r="D42" s="34"/>
      <c r="E42" s="34"/>
      <c r="F42" s="34"/>
      <c r="G42" s="34"/>
      <c r="H42" s="34"/>
      <c r="I42" s="34"/>
      <c r="J42" s="34"/>
      <c r="K42" s="34"/>
      <c r="L42" s="34"/>
      <c r="M42" s="34"/>
    </row>
    <row r="43" spans="1:13" ht="12.75">
      <c r="A43" s="33"/>
      <c r="B43" s="34" t="s">
        <v>48</v>
      </c>
      <c r="C43" s="171">
        <f>'ERR &amp; Sensitivity Analysis'!G14</f>
        <v>18000</v>
      </c>
      <c r="D43" s="34"/>
      <c r="E43" s="59"/>
      <c r="F43" s="34"/>
      <c r="G43" s="34"/>
      <c r="H43" s="34"/>
      <c r="I43" s="34"/>
      <c r="J43" s="34"/>
      <c r="K43" s="34"/>
      <c r="L43" s="34"/>
      <c r="M43" s="34"/>
    </row>
    <row r="44" spans="1:13" ht="13.5" thickBot="1">
      <c r="A44" s="33"/>
      <c r="B44" s="34"/>
      <c r="C44" s="60"/>
      <c r="D44" s="34"/>
      <c r="E44" s="34"/>
      <c r="F44" s="34"/>
      <c r="G44" s="34"/>
      <c r="H44" s="34"/>
      <c r="I44" s="34"/>
      <c r="J44" s="34"/>
      <c r="K44" s="34"/>
      <c r="L44" s="34"/>
      <c r="M44" s="34"/>
    </row>
    <row r="45" spans="1:13" ht="13.5" thickBot="1">
      <c r="A45" s="348" t="s">
        <v>175</v>
      </c>
      <c r="B45" s="349"/>
      <c r="C45" s="350"/>
      <c r="D45" s="34"/>
      <c r="E45" s="34"/>
      <c r="F45" s="34"/>
      <c r="G45" s="34"/>
      <c r="H45" s="34"/>
      <c r="I45" s="34"/>
      <c r="J45" s="34"/>
      <c r="K45" s="34"/>
      <c r="L45" s="34"/>
      <c r="M45" s="34"/>
    </row>
    <row r="46" spans="1:13" ht="12.75">
      <c r="A46" s="33"/>
      <c r="B46" s="34" t="s">
        <v>47</v>
      </c>
      <c r="C46" s="172">
        <f>'ERR &amp; Sensitivity Analysis'!G17</f>
        <v>409</v>
      </c>
      <c r="D46" s="34"/>
      <c r="E46" s="34"/>
      <c r="F46" s="34"/>
      <c r="G46" s="34"/>
      <c r="H46" s="34"/>
      <c r="I46" s="34"/>
      <c r="J46" s="34"/>
      <c r="K46" s="34"/>
      <c r="L46" s="34"/>
      <c r="M46" s="34"/>
    </row>
    <row r="47" spans="1:13" ht="12.75">
      <c r="A47" s="33"/>
      <c r="B47" s="34" t="s">
        <v>48</v>
      </c>
      <c r="C47" s="172">
        <f>'ERR &amp; Sensitivity Analysis'!G16</f>
        <v>25</v>
      </c>
      <c r="D47" s="34"/>
      <c r="E47" s="34"/>
      <c r="F47" s="34"/>
      <c r="G47" s="34"/>
      <c r="H47" s="34"/>
      <c r="I47" s="34"/>
      <c r="J47" s="34"/>
      <c r="K47" s="34"/>
      <c r="L47" s="34"/>
      <c r="M47" s="34"/>
    </row>
    <row r="48" spans="1:13" ht="12.75">
      <c r="A48" s="33"/>
      <c r="B48" s="34"/>
      <c r="C48" s="60"/>
      <c r="D48" s="34"/>
      <c r="E48" s="34"/>
      <c r="F48" s="34"/>
      <c r="G48" s="34"/>
      <c r="H48" s="34"/>
      <c r="I48" s="34"/>
      <c r="J48" s="34"/>
      <c r="K48" s="34"/>
      <c r="L48" s="34"/>
      <c r="M48" s="34"/>
    </row>
    <row r="49" spans="2:13" ht="12.75">
      <c r="B49" s="34" t="s">
        <v>52</v>
      </c>
      <c r="C49" s="87">
        <f>E17</f>
        <v>0.2228</v>
      </c>
      <c r="D49" s="34"/>
      <c r="E49" s="34"/>
      <c r="F49" s="34"/>
      <c r="G49" s="34"/>
      <c r="H49" s="34"/>
      <c r="I49" s="34"/>
      <c r="J49" s="34"/>
      <c r="K49" s="34"/>
      <c r="L49" s="34"/>
      <c r="M49" s="34"/>
    </row>
    <row r="50" spans="2:13" ht="12.75">
      <c r="B50" s="34" t="s">
        <v>53</v>
      </c>
      <c r="C50" s="60">
        <v>10</v>
      </c>
      <c r="D50" s="34"/>
      <c r="E50" s="34"/>
      <c r="F50" s="34"/>
      <c r="G50" s="34"/>
      <c r="H50" s="34"/>
      <c r="I50" s="34"/>
      <c r="J50" s="34"/>
      <c r="K50" s="34"/>
      <c r="L50" s="34"/>
      <c r="M50" s="34"/>
    </row>
    <row r="51" spans="1:13" ht="13.5" thickBot="1">
      <c r="A51" s="70"/>
      <c r="B51" s="70" t="s">
        <v>54</v>
      </c>
      <c r="C51" s="86">
        <f>+(1+C49)^(1/C50)-1</f>
        <v>0.020317987439793184</v>
      </c>
      <c r="D51" s="34"/>
      <c r="E51" s="34"/>
      <c r="F51" s="34"/>
      <c r="G51" s="34"/>
      <c r="H51" s="34"/>
      <c r="I51" s="34"/>
      <c r="J51" s="34"/>
      <c r="K51" s="34"/>
      <c r="L51" s="34"/>
      <c r="M51" s="34"/>
    </row>
    <row r="52" ht="12.75">
      <c r="A52" s="102">
        <f>IF('ERR &amp; Sensitivity Analysis'!$I$10="y",IF('ERR &amp; Sensitivity Analysis'!$I$11="y","","Note:Current calculations are based on user input and are not the original MCC estimates"),"Note:Current calculations are based on user input and are not the original MCC estimates")</f>
      </c>
    </row>
    <row r="53" ht="13.5" thickBot="1">
      <c r="A53" s="15" t="s">
        <v>112</v>
      </c>
    </row>
    <row r="54" spans="1:12" ht="12.75">
      <c r="A54" s="63" t="s">
        <v>55</v>
      </c>
      <c r="B54" s="64">
        <v>2005</v>
      </c>
      <c r="C54" s="66">
        <v>2006</v>
      </c>
      <c r="D54" s="66">
        <f>C54+1</f>
        <v>2007</v>
      </c>
      <c r="E54" s="66">
        <f>D54+1</f>
        <v>2008</v>
      </c>
      <c r="F54" s="66">
        <f aca="true" t="shared" si="0" ref="F54:L54">E54+1</f>
        <v>2009</v>
      </c>
      <c r="G54" s="66">
        <f t="shared" si="0"/>
        <v>2010</v>
      </c>
      <c r="H54" s="66">
        <f t="shared" si="0"/>
        <v>2011</v>
      </c>
      <c r="I54" s="66">
        <f t="shared" si="0"/>
        <v>2012</v>
      </c>
      <c r="J54" s="66">
        <f t="shared" si="0"/>
        <v>2013</v>
      </c>
      <c r="K54" s="66">
        <f t="shared" si="0"/>
        <v>2014</v>
      </c>
      <c r="L54" s="91">
        <f t="shared" si="0"/>
        <v>2015</v>
      </c>
    </row>
    <row r="55" spans="1:12" ht="12.75">
      <c r="A55" s="33" t="s">
        <v>56</v>
      </c>
      <c r="B55" s="34"/>
      <c r="C55" s="67">
        <f>(+D61-C61)*J69</f>
        <v>3.5838205015466826</v>
      </c>
      <c r="D55" s="67">
        <f>(+E61-D61)*J69</f>
        <v>3.656636521483591</v>
      </c>
      <c r="E55" s="67">
        <f>(+F61-E61)*J69</f>
        <v>3.730932016398981</v>
      </c>
      <c r="F55" s="67">
        <f>(+G61-F61)*J69</f>
        <v>3.8067370462469228</v>
      </c>
      <c r="G55" s="67">
        <f>(+H61-G61)*J69</f>
        <v>3.8840822817391256</v>
      </c>
      <c r="H55" s="67">
        <f>(+I61-H61)*J69</f>
        <v>3.962999016754651</v>
      </c>
      <c r="I55" s="67">
        <f>(+J61-I61)*J69</f>
        <v>4.04351918100096</v>
      </c>
      <c r="J55" s="67">
        <f>(+K61-J61)*J69</f>
        <v>4.125675352933143</v>
      </c>
      <c r="K55" s="67">
        <f>(+L61-K61)*J69</f>
        <v>4.209500772934689</v>
      </c>
      <c r="L55" s="92">
        <f>(+M61-L61)*J69</f>
        <v>4.295029356766946</v>
      </c>
    </row>
    <row r="56" spans="1:12" ht="12.75">
      <c r="A56" s="33" t="s">
        <v>57</v>
      </c>
      <c r="B56" s="34"/>
      <c r="C56" s="59"/>
      <c r="D56" s="59"/>
      <c r="E56" s="59"/>
      <c r="F56" s="59"/>
      <c r="G56" s="59">
        <f>(+($C$42*$C$46+$C$43*$C$47)/1000000)*J69</f>
        <v>9.039</v>
      </c>
      <c r="H56" s="59"/>
      <c r="I56" s="59"/>
      <c r="J56" s="59"/>
      <c r="K56" s="59"/>
      <c r="L56" s="80">
        <f>(+($C$42*$C$46+$C$43*$C$47)/1000000)*J69</f>
        <v>9.039</v>
      </c>
    </row>
    <row r="57" spans="1:12" ht="12.75">
      <c r="A57" s="33" t="s">
        <v>58</v>
      </c>
      <c r="B57" s="34"/>
      <c r="C57" s="109">
        <f>-6.43*J66</f>
        <v>-6.43</v>
      </c>
      <c r="D57" s="109">
        <f>-9.95*J66</f>
        <v>-9.95</v>
      </c>
      <c r="E57" s="110">
        <f>-6.46*J66</f>
        <v>-6.46</v>
      </c>
      <c r="F57" s="110">
        <f>-3.41*J66</f>
        <v>-3.41</v>
      </c>
      <c r="G57" s="110">
        <f>-0.16*J66</f>
        <v>-0.16</v>
      </c>
      <c r="H57" s="59"/>
      <c r="I57" s="59"/>
      <c r="J57" s="59"/>
      <c r="K57" s="59"/>
      <c r="L57" s="80"/>
    </row>
    <row r="58" spans="1:12" ht="13.5" thickBot="1">
      <c r="A58" s="220" t="s">
        <v>143</v>
      </c>
      <c r="B58" s="221"/>
      <c r="C58" s="67">
        <f>SUM(C55:C57)</f>
        <v>-2.846179498453317</v>
      </c>
      <c r="D58" s="83">
        <f aca="true" t="shared" si="1" ref="D58:L58">SUM(D55:D57)</f>
        <v>-6.293363478516408</v>
      </c>
      <c r="E58" s="83">
        <f t="shared" si="1"/>
        <v>-2.729067983601019</v>
      </c>
      <c r="F58" s="83">
        <f t="shared" si="1"/>
        <v>0.39673704624692263</v>
      </c>
      <c r="G58" s="83">
        <f t="shared" si="1"/>
        <v>12.763082281739125</v>
      </c>
      <c r="H58" s="83">
        <f t="shared" si="1"/>
        <v>3.962999016754651</v>
      </c>
      <c r="I58" s="83">
        <f t="shared" si="1"/>
        <v>4.04351918100096</v>
      </c>
      <c r="J58" s="83">
        <f t="shared" si="1"/>
        <v>4.125675352933143</v>
      </c>
      <c r="K58" s="83">
        <f t="shared" si="1"/>
        <v>4.209500772934689</v>
      </c>
      <c r="L58" s="88">
        <f t="shared" si="1"/>
        <v>13.334029356766946</v>
      </c>
    </row>
    <row r="59" spans="1:12" ht="13.5" thickBot="1">
      <c r="A59" s="298" t="s">
        <v>131</v>
      </c>
      <c r="B59" s="299"/>
      <c r="C59" s="300">
        <f>IRR(C58:L58)</f>
        <v>0.2901988000627718</v>
      </c>
      <c r="D59" s="70"/>
      <c r="E59" s="70"/>
      <c r="F59" s="70"/>
      <c r="G59" s="70"/>
      <c r="H59" s="70"/>
      <c r="I59" s="70"/>
      <c r="J59" s="70"/>
      <c r="K59" s="70"/>
      <c r="L59" s="62"/>
    </row>
    <row r="60" spans="1:12" ht="13.5" thickBot="1">
      <c r="A60" s="33"/>
      <c r="B60" s="34"/>
      <c r="C60" s="34"/>
      <c r="D60" s="71"/>
      <c r="E60" s="34"/>
      <c r="F60" s="34"/>
      <c r="G60" s="34"/>
      <c r="H60" s="34"/>
      <c r="I60" s="34"/>
      <c r="J60" s="34"/>
      <c r="K60" s="34"/>
      <c r="L60" s="60"/>
    </row>
    <row r="61" spans="1:13" ht="12.75">
      <c r="A61" s="72" t="s">
        <v>59</v>
      </c>
      <c r="B61" s="73"/>
      <c r="C61" s="74">
        <f>+(($E$34+$E$37)/1000000)*(1+$C$51)^(B54-2005)</f>
        <v>176.3865890835088</v>
      </c>
      <c r="D61" s="74">
        <f>+(($E$34+$E$37)/1000000)*(1+$C$51)^(C54-2005)</f>
        <v>179.97040958505548</v>
      </c>
      <c r="E61" s="74">
        <f aca="true" t="shared" si="2" ref="E61:M61">+(($E$34+$E$37)/1000000)*(1+$C$51)^(D54-2005)</f>
        <v>183.62704610653907</v>
      </c>
      <c r="F61" s="74">
        <f t="shared" si="2"/>
        <v>187.35797812293805</v>
      </c>
      <c r="G61" s="74">
        <f t="shared" si="2"/>
        <v>191.16471516918497</v>
      </c>
      <c r="H61" s="74">
        <f t="shared" si="2"/>
        <v>195.0487974509241</v>
      </c>
      <c r="I61" s="74">
        <f t="shared" si="2"/>
        <v>199.01179646767875</v>
      </c>
      <c r="J61" s="74">
        <f t="shared" si="2"/>
        <v>203.0553156486797</v>
      </c>
      <c r="K61" s="74">
        <f t="shared" si="2"/>
        <v>207.18099100161285</v>
      </c>
      <c r="L61" s="74">
        <f t="shared" si="2"/>
        <v>211.39049177454754</v>
      </c>
      <c r="M61" s="93">
        <f t="shared" si="2"/>
        <v>215.6855211313145</v>
      </c>
    </row>
    <row r="62" spans="1:12" ht="12.75">
      <c r="A62" s="33" t="s">
        <v>60</v>
      </c>
      <c r="B62" s="34"/>
      <c r="C62" s="75">
        <f>C24</f>
        <v>404</v>
      </c>
      <c r="D62" s="75">
        <f aca="true" t="shared" si="3" ref="D62:L62">C62*(1+$C$51)</f>
        <v>412.2084669256764</v>
      </c>
      <c r="E62" s="75">
        <f t="shared" si="3"/>
        <v>420.5837133792487</v>
      </c>
      <c r="F62" s="75">
        <f t="shared" si="3"/>
        <v>429.1291279850699</v>
      </c>
      <c r="G62" s="75">
        <f t="shared" si="3"/>
        <v>437.8481682175199</v>
      </c>
      <c r="H62" s="75">
        <f t="shared" si="3"/>
        <v>446.74436179989993</v>
      </c>
      <c r="I62" s="75">
        <f t="shared" si="3"/>
        <v>455.8213081317487</v>
      </c>
      <c r="J62" s="75">
        <f t="shared" si="3"/>
        <v>465.0826797451597</v>
      </c>
      <c r="K62" s="75">
        <f t="shared" si="3"/>
        <v>474.53222379068717</v>
      </c>
      <c r="L62" s="76">
        <f t="shared" si="3"/>
        <v>484.1737635534435</v>
      </c>
    </row>
    <row r="63" spans="1:12" ht="13.5" thickBot="1">
      <c r="A63" s="61" t="s">
        <v>61</v>
      </c>
      <c r="B63" s="70"/>
      <c r="C63" s="77">
        <f>C25</f>
        <v>519</v>
      </c>
      <c r="D63" s="77">
        <f aca="true" t="shared" si="4" ref="D63:L63">C63*(1+$C$51)</f>
        <v>529.5450354812526</v>
      </c>
      <c r="E63" s="77">
        <f t="shared" si="4"/>
        <v>540.3043248609656</v>
      </c>
      <c r="F63" s="77">
        <f t="shared" si="4"/>
        <v>551.2822213471567</v>
      </c>
      <c r="G63" s="77">
        <f t="shared" si="4"/>
        <v>562.4831665962695</v>
      </c>
      <c r="H63" s="77">
        <f t="shared" si="4"/>
        <v>573.9116925102676</v>
      </c>
      <c r="I63" s="77">
        <f t="shared" si="4"/>
        <v>585.5724230702416</v>
      </c>
      <c r="J63" s="77">
        <f t="shared" si="4"/>
        <v>597.470076207272</v>
      </c>
      <c r="K63" s="77">
        <f t="shared" si="4"/>
        <v>609.6094657113036</v>
      </c>
      <c r="L63" s="78">
        <f t="shared" si="4"/>
        <v>621.9955031788049</v>
      </c>
    </row>
    <row r="64" spans="1:12" ht="13.5" thickBot="1">
      <c r="A64" s="105"/>
      <c r="B64" s="106"/>
      <c r="C64" s="107"/>
      <c r="D64" s="107"/>
      <c r="E64" s="107"/>
      <c r="F64" s="107"/>
      <c r="G64" s="107"/>
      <c r="H64" s="107"/>
      <c r="I64" s="107"/>
      <c r="J64" s="108"/>
      <c r="K64" s="75"/>
      <c r="L64" s="75"/>
    </row>
    <row r="65" spans="1:12" ht="12.75">
      <c r="A65" s="304" t="s">
        <v>118</v>
      </c>
      <c r="B65" s="305"/>
      <c r="C65" s="305"/>
      <c r="D65" s="305"/>
      <c r="E65" s="305"/>
      <c r="F65" s="305"/>
      <c r="G65" s="305"/>
      <c r="H65" s="305"/>
      <c r="I65" s="305"/>
      <c r="J65" s="306"/>
      <c r="K65" s="75"/>
      <c r="L65" s="75"/>
    </row>
    <row r="66" spans="1:12" ht="12.75">
      <c r="A66" s="307" t="s">
        <v>103</v>
      </c>
      <c r="B66" s="301"/>
      <c r="C66" s="301"/>
      <c r="D66" s="301"/>
      <c r="E66" s="301"/>
      <c r="F66" s="301"/>
      <c r="G66" s="301"/>
      <c r="H66" s="301"/>
      <c r="I66" s="301"/>
      <c r="J66" s="308">
        <f>'ERR &amp; Sensitivity Analysis'!D10</f>
        <v>1</v>
      </c>
      <c r="K66" s="75"/>
      <c r="L66" s="75"/>
    </row>
    <row r="67" spans="1:12" ht="12.75">
      <c r="A67" s="309"/>
      <c r="B67" s="302"/>
      <c r="C67" s="97"/>
      <c r="D67" s="97"/>
      <c r="E67" s="97"/>
      <c r="F67" s="97"/>
      <c r="G67" s="97"/>
      <c r="H67" s="97"/>
      <c r="I67" s="97"/>
      <c r="J67" s="310"/>
      <c r="K67" s="75"/>
      <c r="L67" s="75"/>
    </row>
    <row r="68" spans="1:12" ht="12.75">
      <c r="A68" s="311" t="s">
        <v>119</v>
      </c>
      <c r="B68" s="98"/>
      <c r="C68" s="303"/>
      <c r="D68" s="303"/>
      <c r="E68" s="303"/>
      <c r="F68" s="303"/>
      <c r="G68" s="303"/>
      <c r="H68" s="303"/>
      <c r="I68" s="303"/>
      <c r="J68" s="312"/>
      <c r="K68" s="75"/>
      <c r="L68" s="75"/>
    </row>
    <row r="69" spans="1:12" ht="13.5" thickBot="1">
      <c r="A69" s="313" t="s">
        <v>102</v>
      </c>
      <c r="B69" s="314"/>
      <c r="C69" s="314"/>
      <c r="D69" s="314"/>
      <c r="E69" s="314"/>
      <c r="F69" s="314"/>
      <c r="G69" s="314"/>
      <c r="H69" s="314"/>
      <c r="I69" s="314"/>
      <c r="J69" s="315">
        <f>'ERR &amp; Sensitivity Analysis'!D11</f>
        <v>1</v>
      </c>
      <c r="K69" s="75"/>
      <c r="L69" s="75"/>
    </row>
    <row r="70" spans="8:12" ht="12.75">
      <c r="H70" s="75"/>
      <c r="I70" s="75"/>
      <c r="J70" s="75"/>
      <c r="K70" s="75"/>
      <c r="L70" s="75"/>
    </row>
    <row r="72" spans="1:12" ht="12.75">
      <c r="A72" s="34"/>
      <c r="B72" s="34"/>
      <c r="C72" s="75"/>
      <c r="D72" s="75"/>
      <c r="E72" s="75"/>
      <c r="F72" s="75"/>
      <c r="G72" s="75"/>
      <c r="H72" s="75"/>
      <c r="I72" s="75"/>
      <c r="J72" s="75"/>
      <c r="K72" s="75"/>
      <c r="L72" s="75"/>
    </row>
    <row r="73" spans="1:12" ht="12.75">
      <c r="A73" s="34"/>
      <c r="B73" s="34"/>
      <c r="C73" s="75"/>
      <c r="D73" s="75"/>
      <c r="E73" s="75"/>
      <c r="F73" s="75"/>
      <c r="G73" s="75"/>
      <c r="H73" s="75"/>
      <c r="I73" s="75"/>
      <c r="J73" s="75"/>
      <c r="K73" s="75"/>
      <c r="L73" s="75"/>
    </row>
    <row r="74" spans="1:12" ht="12.75">
      <c r="A74" s="34"/>
      <c r="B74" s="34"/>
      <c r="C74" s="75"/>
      <c r="D74" s="75"/>
      <c r="E74" s="75"/>
      <c r="F74" s="75"/>
      <c r="G74" s="75"/>
      <c r="H74" s="75"/>
      <c r="I74" s="75"/>
      <c r="J74" s="75"/>
      <c r="K74" s="75"/>
      <c r="L74" s="75"/>
    </row>
    <row r="75" spans="13:14" ht="13.5" thickBot="1">
      <c r="M75" s="15">
        <f>+M61/C61</f>
        <v>1.2227999999999997</v>
      </c>
      <c r="N75" s="15" t="s">
        <v>62</v>
      </c>
    </row>
    <row r="76" spans="1:12" ht="15">
      <c r="A76" s="320" t="s">
        <v>132</v>
      </c>
      <c r="B76" s="344"/>
      <c r="C76" s="344"/>
      <c r="D76" s="344"/>
      <c r="E76" s="344"/>
      <c r="F76" s="344"/>
      <c r="G76" s="344"/>
      <c r="H76" s="344"/>
      <c r="I76" s="344"/>
      <c r="J76" s="344"/>
      <c r="K76" s="344"/>
      <c r="L76" s="345"/>
    </row>
    <row r="77" spans="1:12" ht="13.5" thickBot="1">
      <c r="A77" s="33" t="s">
        <v>63</v>
      </c>
      <c r="B77" s="34"/>
      <c r="C77" s="34"/>
      <c r="D77" s="34"/>
      <c r="E77" s="34"/>
      <c r="F77" s="34"/>
      <c r="G77" s="34"/>
      <c r="H77" s="34"/>
      <c r="I77" s="34"/>
      <c r="J77" s="34"/>
      <c r="K77" s="34"/>
      <c r="L77" s="60"/>
    </row>
    <row r="78" spans="1:12" ht="12.75">
      <c r="A78" s="63"/>
      <c r="B78" s="64"/>
      <c r="C78" s="65">
        <f aca="true" t="shared" si="5" ref="C78:L78">C54</f>
        <v>2006</v>
      </c>
      <c r="D78" s="65">
        <f t="shared" si="5"/>
        <v>2007</v>
      </c>
      <c r="E78" s="65">
        <f t="shared" si="5"/>
        <v>2008</v>
      </c>
      <c r="F78" s="65">
        <f t="shared" si="5"/>
        <v>2009</v>
      </c>
      <c r="G78" s="65">
        <f t="shared" si="5"/>
        <v>2010</v>
      </c>
      <c r="H78" s="65">
        <f t="shared" si="5"/>
        <v>2011</v>
      </c>
      <c r="I78" s="65">
        <f t="shared" si="5"/>
        <v>2012</v>
      </c>
      <c r="J78" s="65">
        <f t="shared" si="5"/>
        <v>2013</v>
      </c>
      <c r="K78" s="65">
        <f t="shared" si="5"/>
        <v>2014</v>
      </c>
      <c r="L78" s="79">
        <f t="shared" si="5"/>
        <v>2015</v>
      </c>
    </row>
    <row r="79" spans="1:12" ht="12.75">
      <c r="A79" s="33" t="s">
        <v>133</v>
      </c>
      <c r="B79" s="34"/>
      <c r="C79" s="59">
        <f aca="true" t="shared" si="6" ref="C79:L79">C55*0.9</f>
        <v>3.2254384513920145</v>
      </c>
      <c r="D79" s="59">
        <f t="shared" si="6"/>
        <v>3.2909728693352323</v>
      </c>
      <c r="E79" s="59">
        <f t="shared" si="6"/>
        <v>3.357838814759083</v>
      </c>
      <c r="F79" s="59">
        <f t="shared" si="6"/>
        <v>3.4260633416222306</v>
      </c>
      <c r="G79" s="59">
        <f t="shared" si="6"/>
        <v>3.4956740535652133</v>
      </c>
      <c r="H79" s="59">
        <f t="shared" si="6"/>
        <v>3.566699115079186</v>
      </c>
      <c r="I79" s="59">
        <f t="shared" si="6"/>
        <v>3.639167262900864</v>
      </c>
      <c r="J79" s="59">
        <f t="shared" si="6"/>
        <v>3.713107817639829</v>
      </c>
      <c r="K79" s="59">
        <f t="shared" si="6"/>
        <v>3.78855069564122</v>
      </c>
      <c r="L79" s="80">
        <f t="shared" si="6"/>
        <v>3.8655264210902516</v>
      </c>
    </row>
    <row r="80" spans="1:12" ht="12.75">
      <c r="A80" s="33" t="s">
        <v>57</v>
      </c>
      <c r="B80" s="34"/>
      <c r="C80" s="59"/>
      <c r="D80" s="59"/>
      <c r="E80" s="59"/>
      <c r="F80" s="59"/>
      <c r="G80" s="59">
        <f>+($C$42*$C$46+$C$43*$C$47)/1000000*0.9</f>
        <v>8.1351</v>
      </c>
      <c r="H80" s="59"/>
      <c r="I80" s="59"/>
      <c r="J80" s="59"/>
      <c r="K80" s="59"/>
      <c r="L80" s="80">
        <f>+($C$42*$C$46+$C$43*$C$47)/1000000</f>
        <v>9.039</v>
      </c>
    </row>
    <row r="81" spans="1:12" ht="12.75">
      <c r="A81" s="33" t="s">
        <v>58</v>
      </c>
      <c r="B81" s="34"/>
      <c r="C81" s="59">
        <f aca="true" t="shared" si="7" ref="C81:L81">C57*1.1</f>
        <v>-7.073</v>
      </c>
      <c r="D81" s="59">
        <f t="shared" si="7"/>
        <v>-10.945</v>
      </c>
      <c r="E81" s="59">
        <f t="shared" si="7"/>
        <v>-7.106000000000001</v>
      </c>
      <c r="F81" s="59">
        <f t="shared" si="7"/>
        <v>-3.7510000000000003</v>
      </c>
      <c r="G81" s="59">
        <f t="shared" si="7"/>
        <v>-0.17600000000000002</v>
      </c>
      <c r="H81" s="59">
        <f t="shared" si="7"/>
        <v>0</v>
      </c>
      <c r="I81" s="59">
        <f t="shared" si="7"/>
        <v>0</v>
      </c>
      <c r="J81" s="59">
        <f t="shared" si="7"/>
        <v>0</v>
      </c>
      <c r="K81" s="59">
        <f t="shared" si="7"/>
        <v>0</v>
      </c>
      <c r="L81" s="80">
        <f t="shared" si="7"/>
        <v>0</v>
      </c>
    </row>
    <row r="82" spans="1:12" ht="12.75">
      <c r="A82" s="81" t="s">
        <v>14</v>
      </c>
      <c r="B82" s="82"/>
      <c r="C82" s="83">
        <f aca="true" t="shared" si="8" ref="C82:L82">SUM(C79:C81)</f>
        <v>-3.847561548607986</v>
      </c>
      <c r="D82" s="83">
        <f t="shared" si="8"/>
        <v>-7.654027130664768</v>
      </c>
      <c r="E82" s="83">
        <f t="shared" si="8"/>
        <v>-3.748161185240918</v>
      </c>
      <c r="F82" s="83">
        <f t="shared" si="8"/>
        <v>-0.32493665837776975</v>
      </c>
      <c r="G82" s="83">
        <f t="shared" si="8"/>
        <v>11.454774053565213</v>
      </c>
      <c r="H82" s="83">
        <f t="shared" si="8"/>
        <v>3.566699115079186</v>
      </c>
      <c r="I82" s="83">
        <f t="shared" si="8"/>
        <v>3.639167262900864</v>
      </c>
      <c r="J82" s="83">
        <f t="shared" si="8"/>
        <v>3.713107817639829</v>
      </c>
      <c r="K82" s="83">
        <f t="shared" si="8"/>
        <v>3.78855069564122</v>
      </c>
      <c r="L82" s="88">
        <f t="shared" si="8"/>
        <v>12.904526421090251</v>
      </c>
    </row>
    <row r="83" spans="1:12" ht="13.5" thickBot="1">
      <c r="A83" s="61" t="s">
        <v>134</v>
      </c>
      <c r="B83" s="68"/>
      <c r="C83" s="69">
        <f>IRR(C82:L82)</f>
        <v>0.19195911879209712</v>
      </c>
      <c r="D83" s="70"/>
      <c r="E83" s="70"/>
      <c r="F83" s="70"/>
      <c r="G83" s="70"/>
      <c r="H83" s="70"/>
      <c r="I83" s="70"/>
      <c r="J83" s="70"/>
      <c r="K83" s="70"/>
      <c r="L83" s="62"/>
    </row>
    <row r="84" spans="1:12" ht="12.75">
      <c r="A84" s="33"/>
      <c r="B84" s="34"/>
      <c r="C84" s="34"/>
      <c r="D84" s="34"/>
      <c r="E84" s="34"/>
      <c r="F84" s="34"/>
      <c r="G84" s="34"/>
      <c r="H84" s="34"/>
      <c r="I84" s="34"/>
      <c r="J84" s="34"/>
      <c r="K84" s="34"/>
      <c r="L84" s="60"/>
    </row>
    <row r="85" spans="1:12" ht="13.5" thickBot="1">
      <c r="A85" s="33" t="s">
        <v>64</v>
      </c>
      <c r="B85" s="34"/>
      <c r="C85" s="34"/>
      <c r="D85" s="34"/>
      <c r="E85" s="34"/>
      <c r="F85" s="34"/>
      <c r="G85" s="34"/>
      <c r="H85" s="34"/>
      <c r="I85" s="34"/>
      <c r="J85" s="34"/>
      <c r="K85" s="34"/>
      <c r="L85" s="60"/>
    </row>
    <row r="86" spans="1:12" ht="12.75">
      <c r="A86" s="63"/>
      <c r="B86" s="64"/>
      <c r="C86" s="65">
        <f>C78</f>
        <v>2006</v>
      </c>
      <c r="D86" s="65">
        <f aca="true" t="shared" si="9" ref="D86:L86">D78</f>
        <v>2007</v>
      </c>
      <c r="E86" s="65">
        <f t="shared" si="9"/>
        <v>2008</v>
      </c>
      <c r="F86" s="65">
        <f t="shared" si="9"/>
        <v>2009</v>
      </c>
      <c r="G86" s="65">
        <f t="shared" si="9"/>
        <v>2010</v>
      </c>
      <c r="H86" s="65">
        <f t="shared" si="9"/>
        <v>2011</v>
      </c>
      <c r="I86" s="65">
        <f t="shared" si="9"/>
        <v>2012</v>
      </c>
      <c r="J86" s="65">
        <f t="shared" si="9"/>
        <v>2013</v>
      </c>
      <c r="K86" s="65">
        <f t="shared" si="9"/>
        <v>2014</v>
      </c>
      <c r="L86" s="79">
        <f t="shared" si="9"/>
        <v>2015</v>
      </c>
    </row>
    <row r="87" spans="1:12" ht="12.75">
      <c r="A87" s="33" t="str">
        <f>A79</f>
        <v>Rise in Property Values </v>
      </c>
      <c r="B87" s="34"/>
      <c r="C87" s="59">
        <f aca="true" t="shared" si="10" ref="C87:L87">C55*1.1</f>
        <v>3.9422025517013513</v>
      </c>
      <c r="D87" s="59">
        <f t="shared" si="10"/>
        <v>4.022300173631951</v>
      </c>
      <c r="E87" s="59">
        <f t="shared" si="10"/>
        <v>4.104025218038879</v>
      </c>
      <c r="F87" s="59">
        <f t="shared" si="10"/>
        <v>4.187410750871615</v>
      </c>
      <c r="G87" s="59">
        <f t="shared" si="10"/>
        <v>4.272490509913038</v>
      </c>
      <c r="H87" s="59">
        <f t="shared" si="10"/>
        <v>4.359298918430117</v>
      </c>
      <c r="I87" s="59">
        <f t="shared" si="10"/>
        <v>4.447871099101056</v>
      </c>
      <c r="J87" s="59">
        <f t="shared" si="10"/>
        <v>4.538242888226458</v>
      </c>
      <c r="K87" s="59">
        <f t="shared" si="10"/>
        <v>4.630450850228158</v>
      </c>
      <c r="L87" s="80">
        <f t="shared" si="10"/>
        <v>4.724532292443641</v>
      </c>
    </row>
    <row r="88" spans="1:12" ht="12.75">
      <c r="A88" s="33" t="s">
        <v>57</v>
      </c>
      <c r="B88" s="34"/>
      <c r="C88" s="59"/>
      <c r="D88" s="59"/>
      <c r="E88" s="59"/>
      <c r="F88" s="59"/>
      <c r="G88" s="59">
        <f>+($C$42*$C$46+$C$43*$C$47)/1000000*1.1</f>
        <v>9.9429</v>
      </c>
      <c r="H88" s="59"/>
      <c r="I88" s="59"/>
      <c r="J88" s="59"/>
      <c r="K88" s="59"/>
      <c r="L88" s="80">
        <f>+($C$42*$C$46+$C$43*$C$47)/1000000</f>
        <v>9.039</v>
      </c>
    </row>
    <row r="89" spans="1:12" ht="12.75">
      <c r="A89" s="33" t="s">
        <v>58</v>
      </c>
      <c r="B89" s="34"/>
      <c r="C89" s="59">
        <f aca="true" t="shared" si="11" ref="C89:L89">C57*0.9</f>
        <v>-5.787</v>
      </c>
      <c r="D89" s="59">
        <f t="shared" si="11"/>
        <v>-8.955</v>
      </c>
      <c r="E89" s="59">
        <f t="shared" si="11"/>
        <v>-5.814</v>
      </c>
      <c r="F89" s="59">
        <f t="shared" si="11"/>
        <v>-3.0690000000000004</v>
      </c>
      <c r="G89" s="59">
        <f t="shared" si="11"/>
        <v>-0.14400000000000002</v>
      </c>
      <c r="H89" s="59">
        <f t="shared" si="11"/>
        <v>0</v>
      </c>
      <c r="I89" s="59">
        <f t="shared" si="11"/>
        <v>0</v>
      </c>
      <c r="J89" s="59">
        <f t="shared" si="11"/>
        <v>0</v>
      </c>
      <c r="K89" s="59">
        <f t="shared" si="11"/>
        <v>0</v>
      </c>
      <c r="L89" s="80">
        <f t="shared" si="11"/>
        <v>0</v>
      </c>
    </row>
    <row r="90" spans="1:12" ht="12.75">
      <c r="A90" s="81" t="s">
        <v>14</v>
      </c>
      <c r="B90" s="82"/>
      <c r="C90" s="83">
        <f aca="true" t="shared" si="12" ref="C90:L90">SUM(C87:C89)</f>
        <v>-1.8447974482986487</v>
      </c>
      <c r="D90" s="83">
        <f t="shared" si="12"/>
        <v>-4.932699826368049</v>
      </c>
      <c r="E90" s="83">
        <f t="shared" si="12"/>
        <v>-1.7099747819611206</v>
      </c>
      <c r="F90" s="83">
        <f t="shared" si="12"/>
        <v>1.118410750871615</v>
      </c>
      <c r="G90" s="83">
        <f t="shared" si="12"/>
        <v>14.071390509913039</v>
      </c>
      <c r="H90" s="83">
        <f t="shared" si="12"/>
        <v>4.359298918430117</v>
      </c>
      <c r="I90" s="83">
        <f t="shared" si="12"/>
        <v>4.447871099101056</v>
      </c>
      <c r="J90" s="83">
        <f t="shared" si="12"/>
        <v>4.538242888226458</v>
      </c>
      <c r="K90" s="83">
        <f t="shared" si="12"/>
        <v>4.630450850228158</v>
      </c>
      <c r="L90" s="88">
        <f t="shared" si="12"/>
        <v>13.76353229244364</v>
      </c>
    </row>
    <row r="91" spans="1:12" ht="13.5" thickBot="1">
      <c r="A91" s="61" t="s">
        <v>134</v>
      </c>
      <c r="B91" s="68"/>
      <c r="C91" s="69">
        <f>IRR(C90:L90)</f>
        <v>0.4329255665250718</v>
      </c>
      <c r="D91" s="70"/>
      <c r="E91" s="70"/>
      <c r="F91" s="70"/>
      <c r="G91" s="70"/>
      <c r="H91" s="70"/>
      <c r="I91" s="70"/>
      <c r="J91" s="70"/>
      <c r="K91" s="70"/>
      <c r="L91" s="62"/>
    </row>
    <row r="92" spans="1:10" ht="13.5" thickBot="1">
      <c r="A92" s="99"/>
      <c r="B92" s="100"/>
      <c r="C92" s="100"/>
      <c r="D92" s="100"/>
      <c r="E92" s="100"/>
      <c r="F92" s="100"/>
      <c r="G92" s="100"/>
      <c r="H92" s="100"/>
      <c r="I92" s="100"/>
      <c r="J92" s="101"/>
    </row>
  </sheetData>
  <mergeCells count="13">
    <mergeCell ref="A37:C37"/>
    <mergeCell ref="A35:B35"/>
    <mergeCell ref="A34:C34"/>
    <mergeCell ref="A5:E5"/>
    <mergeCell ref="A12:E12"/>
    <mergeCell ref="A76:L76"/>
    <mergeCell ref="A38:B38"/>
    <mergeCell ref="A41:C41"/>
    <mergeCell ref="A45:C45"/>
    <mergeCell ref="A14:E14"/>
    <mergeCell ref="A20:E20"/>
    <mergeCell ref="B21:C21"/>
    <mergeCell ref="A3:G3"/>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4"/>
  <dimension ref="A2:L46"/>
  <sheetViews>
    <sheetView workbookViewId="0" topLeftCell="A1">
      <selection activeCell="A1" sqref="A1"/>
    </sheetView>
  </sheetViews>
  <sheetFormatPr defaultColWidth="9.140625" defaultRowHeight="12.75"/>
  <cols>
    <col min="1" max="1" width="11.421875" style="13" customWidth="1"/>
    <col min="2" max="3" width="13.00390625" style="13" customWidth="1"/>
    <col min="4" max="4" width="14.00390625" style="13" customWidth="1"/>
    <col min="5" max="5" width="12.421875" style="13" customWidth="1"/>
    <col min="6" max="6" width="13.140625" style="13" customWidth="1"/>
    <col min="7" max="7" width="12.8515625" style="13" customWidth="1"/>
    <col min="8" max="8" width="13.7109375" style="13" customWidth="1"/>
    <col min="9" max="16384" width="11.421875" style="13" customWidth="1"/>
  </cols>
  <sheetData>
    <row r="2" spans="1:10" ht="18">
      <c r="A2" s="297" t="s">
        <v>91</v>
      </c>
      <c r="G2" s="217"/>
      <c r="J2" s="217" t="s">
        <v>144</v>
      </c>
    </row>
    <row r="3" ht="12.75">
      <c r="A3" s="1"/>
    </row>
    <row r="4" spans="1:10" ht="12.75">
      <c r="A4" s="1" t="s">
        <v>74</v>
      </c>
      <c r="B4" s="1"/>
      <c r="C4" s="1"/>
      <c r="D4" s="1"/>
      <c r="E4" s="1"/>
      <c r="F4" s="1"/>
      <c r="G4" s="1"/>
      <c r="H4" s="1"/>
      <c r="I4" s="1"/>
      <c r="J4" s="1"/>
    </row>
    <row r="5" spans="1:7" ht="12.75">
      <c r="A5" s="337">
        <f>IF('ERR &amp; Sensitivity Analysis'!$I$10="N","Note: Current calculations are based on user input and are not the original MCC estimates.",IF('ERR &amp; Sensitivity Analysis'!$I$11="N","Note: Current calculations are based on user input and are not the original MCC estimates.",0))</f>
        <v>0</v>
      </c>
      <c r="B5" s="337"/>
      <c r="C5" s="337"/>
      <c r="D5" s="337"/>
      <c r="E5" s="337"/>
      <c r="F5" s="337"/>
      <c r="G5" s="337"/>
    </row>
    <row r="6" ht="12.75">
      <c r="A6" s="1"/>
    </row>
    <row r="7" spans="2:8" ht="12.75">
      <c r="B7" s="360" t="s">
        <v>75</v>
      </c>
      <c r="C7" s="361"/>
      <c r="D7" s="361"/>
      <c r="E7" s="361"/>
      <c r="F7" s="361"/>
      <c r="G7" s="361"/>
      <c r="H7" s="362"/>
    </row>
    <row r="8" spans="1:10" ht="12.75">
      <c r="A8" s="2" t="s">
        <v>76</v>
      </c>
      <c r="B8" s="2" t="s">
        <v>79</v>
      </c>
      <c r="C8" s="2" t="s">
        <v>81</v>
      </c>
      <c r="D8" s="2" t="s">
        <v>83</v>
      </c>
      <c r="E8" s="2" t="s">
        <v>84</v>
      </c>
      <c r="F8" s="2" t="s">
        <v>86</v>
      </c>
      <c r="G8" s="2" t="s">
        <v>87</v>
      </c>
      <c r="H8" s="2" t="s">
        <v>6</v>
      </c>
      <c r="I8" s="2" t="s">
        <v>88</v>
      </c>
      <c r="J8" s="2" t="s">
        <v>88</v>
      </c>
    </row>
    <row r="9" spans="1:10" ht="12.75">
      <c r="A9" s="3" t="s">
        <v>8</v>
      </c>
      <c r="B9" s="3" t="s">
        <v>80</v>
      </c>
      <c r="C9" s="3" t="s">
        <v>78</v>
      </c>
      <c r="D9" s="3" t="s">
        <v>1</v>
      </c>
      <c r="E9" s="3" t="s">
        <v>85</v>
      </c>
      <c r="F9" s="3"/>
      <c r="G9" s="3"/>
      <c r="H9" s="3"/>
      <c r="I9" s="3" t="s">
        <v>89</v>
      </c>
      <c r="J9" s="3" t="s">
        <v>9</v>
      </c>
    </row>
    <row r="10" spans="1:10" ht="12.75">
      <c r="A10" s="176" t="s">
        <v>10</v>
      </c>
      <c r="B10" s="176">
        <v>45.9</v>
      </c>
      <c r="C10" s="176">
        <v>16.8</v>
      </c>
      <c r="D10" s="176">
        <v>14.3</v>
      </c>
      <c r="E10" s="176">
        <v>6.9</v>
      </c>
      <c r="F10" s="176">
        <v>3.6</v>
      </c>
      <c r="G10" s="176">
        <v>12.5</v>
      </c>
      <c r="H10" s="176">
        <f aca="true" t="shared" si="0" ref="H10:H16">SUM(B10:G10)</f>
        <v>100</v>
      </c>
      <c r="I10" s="177">
        <f>47.4*I16/100</f>
        <v>94586.226</v>
      </c>
      <c r="J10" s="177">
        <f>4.3*J16/100</f>
        <v>384205</v>
      </c>
    </row>
    <row r="11" spans="1:10" ht="12.75">
      <c r="A11" s="178" t="s">
        <v>11</v>
      </c>
      <c r="B11" s="176">
        <v>47.1</v>
      </c>
      <c r="C11" s="176">
        <v>16.2</v>
      </c>
      <c r="D11" s="176">
        <v>12.7</v>
      </c>
      <c r="E11" s="176">
        <v>12.4</v>
      </c>
      <c r="F11" s="176">
        <v>1.5</v>
      </c>
      <c r="G11" s="176">
        <v>10.1</v>
      </c>
      <c r="H11" s="176">
        <f t="shared" si="0"/>
        <v>100</v>
      </c>
      <c r="I11" s="177">
        <f>33*I16/100</f>
        <v>65851.17</v>
      </c>
      <c r="J11" s="177">
        <f>20.5*J16/100</f>
        <v>1831675</v>
      </c>
    </row>
    <row r="12" spans="1:10" ht="12.75">
      <c r="A12" s="176" t="s">
        <v>12</v>
      </c>
      <c r="B12" s="176">
        <v>57.3</v>
      </c>
      <c r="C12" s="176">
        <v>12.8</v>
      </c>
      <c r="D12" s="176">
        <v>9.3</v>
      </c>
      <c r="E12" s="176">
        <v>10.9</v>
      </c>
      <c r="F12" s="176">
        <v>1.2</v>
      </c>
      <c r="G12" s="176">
        <v>8.5</v>
      </c>
      <c r="H12" s="176">
        <f t="shared" si="0"/>
        <v>100</v>
      </c>
      <c r="I12" s="177">
        <f>16.3*I16/100</f>
        <v>32526.487</v>
      </c>
      <c r="J12" s="177">
        <f>37*J16/100</f>
        <v>3305950</v>
      </c>
    </row>
    <row r="13" spans="1:10" ht="12.75">
      <c r="A13" s="176" t="s">
        <v>13</v>
      </c>
      <c r="B13" s="176">
        <v>68</v>
      </c>
      <c r="C13" s="176">
        <v>7.9</v>
      </c>
      <c r="D13" s="176">
        <v>7.2</v>
      </c>
      <c r="E13" s="176">
        <v>6.8</v>
      </c>
      <c r="F13" s="176">
        <v>1.7</v>
      </c>
      <c r="G13" s="176">
        <v>8.4</v>
      </c>
      <c r="H13" s="176">
        <f t="shared" si="0"/>
        <v>100.00000000000001</v>
      </c>
      <c r="I13" s="177">
        <f>2.6*I16/100</f>
        <v>5188.274</v>
      </c>
      <c r="J13" s="177">
        <f>18.4*J16/100</f>
        <v>1644040</v>
      </c>
    </row>
    <row r="14" spans="1:10" ht="12.75">
      <c r="A14" s="179" t="s">
        <v>82</v>
      </c>
      <c r="B14" s="179">
        <v>72</v>
      </c>
      <c r="C14" s="179">
        <v>4.9</v>
      </c>
      <c r="D14" s="179">
        <v>5.3</v>
      </c>
      <c r="E14" s="179">
        <v>7.7</v>
      </c>
      <c r="F14" s="179">
        <v>1.1</v>
      </c>
      <c r="G14" s="179">
        <v>9</v>
      </c>
      <c r="H14" s="179">
        <f t="shared" si="0"/>
        <v>100</v>
      </c>
      <c r="I14" s="180">
        <f>0.8*I16/100</f>
        <v>1596.392</v>
      </c>
      <c r="J14" s="180">
        <f>19.8*J16/100</f>
        <v>1769130</v>
      </c>
    </row>
    <row r="15" spans="1:10" ht="12.75">
      <c r="A15" s="179" t="s">
        <v>14</v>
      </c>
      <c r="B15" s="179">
        <v>49</v>
      </c>
      <c r="C15" s="179">
        <v>15.6</v>
      </c>
      <c r="D15" s="179">
        <v>12.7</v>
      </c>
      <c r="E15" s="179">
        <v>9.3</v>
      </c>
      <c r="F15" s="179">
        <v>2.5</v>
      </c>
      <c r="G15" s="179">
        <v>10.9</v>
      </c>
      <c r="H15" s="179">
        <f t="shared" si="0"/>
        <v>100</v>
      </c>
      <c r="I15" s="179"/>
      <c r="J15" s="179"/>
    </row>
    <row r="16" spans="1:10" ht="12.75">
      <c r="A16" s="179" t="s">
        <v>2</v>
      </c>
      <c r="B16" s="179">
        <v>97567</v>
      </c>
      <c r="C16" s="179">
        <v>31238</v>
      </c>
      <c r="D16" s="179">
        <v>25369</v>
      </c>
      <c r="E16" s="179">
        <v>18631</v>
      </c>
      <c r="F16" s="179">
        <v>5024</v>
      </c>
      <c r="G16" s="179">
        <v>21720</v>
      </c>
      <c r="H16" s="179">
        <f t="shared" si="0"/>
        <v>199549</v>
      </c>
      <c r="I16" s="180">
        <v>199549</v>
      </c>
      <c r="J16" s="180">
        <v>8935000</v>
      </c>
    </row>
    <row r="17" spans="1:10" ht="12.75">
      <c r="A17" s="181" t="s">
        <v>142</v>
      </c>
      <c r="I17" s="182"/>
      <c r="J17" s="182"/>
    </row>
    <row r="20" ht="12.75">
      <c r="A20" s="1" t="s">
        <v>77</v>
      </c>
    </row>
    <row r="21" ht="13.5" thickBot="1">
      <c r="A21" s="1"/>
    </row>
    <row r="22" spans="1:9" ht="12.75">
      <c r="A22" s="183"/>
      <c r="B22" s="363" t="s">
        <v>15</v>
      </c>
      <c r="C22" s="364"/>
      <c r="D22" s="365" t="s">
        <v>98</v>
      </c>
      <c r="E22" s="365"/>
      <c r="F22" s="366" t="s">
        <v>3</v>
      </c>
      <c r="G22" s="367"/>
      <c r="H22" s="365" t="s">
        <v>16</v>
      </c>
      <c r="I22" s="364"/>
    </row>
    <row r="23" spans="1:10" ht="12.75">
      <c r="A23" s="4" t="s">
        <v>76</v>
      </c>
      <c r="B23" s="5" t="s">
        <v>7</v>
      </c>
      <c r="C23" s="6" t="s">
        <v>7</v>
      </c>
      <c r="D23" s="7" t="s">
        <v>7</v>
      </c>
      <c r="E23" s="7" t="s">
        <v>7</v>
      </c>
      <c r="F23" s="368" t="s">
        <v>17</v>
      </c>
      <c r="G23" s="358" t="s">
        <v>18</v>
      </c>
      <c r="H23" s="368" t="s">
        <v>17</v>
      </c>
      <c r="I23" s="358" t="s">
        <v>19</v>
      </c>
      <c r="J23" s="8"/>
    </row>
    <row r="24" spans="1:10" ht="28.5" customHeight="1" thickBot="1">
      <c r="A24" s="9" t="s">
        <v>8</v>
      </c>
      <c r="B24" s="10" t="s">
        <v>89</v>
      </c>
      <c r="C24" s="11" t="s">
        <v>20</v>
      </c>
      <c r="D24" s="12" t="s">
        <v>89</v>
      </c>
      <c r="E24" s="12" t="s">
        <v>21</v>
      </c>
      <c r="F24" s="369"/>
      <c r="G24" s="359"/>
      <c r="H24" s="369"/>
      <c r="I24" s="359"/>
      <c r="J24" s="8"/>
    </row>
    <row r="25" spans="1:10" ht="12.75">
      <c r="A25" s="184" t="s">
        <v>10</v>
      </c>
      <c r="B25" s="185">
        <v>0.473</v>
      </c>
      <c r="C25" s="186">
        <v>0.043</v>
      </c>
      <c r="D25" s="187">
        <f>$D$31*B25</f>
        <v>14190</v>
      </c>
      <c r="E25" s="187">
        <f>+C25*E31</f>
        <v>22093.399999999998</v>
      </c>
      <c r="F25" s="188">
        <f>D25*0.29</f>
        <v>4115.099999999999</v>
      </c>
      <c r="G25" s="189">
        <f>D25-F25</f>
        <v>10074.900000000001</v>
      </c>
      <c r="H25" s="187">
        <f>E25*0.29</f>
        <v>6407.085999999999</v>
      </c>
      <c r="I25" s="190">
        <f>E25*0.71</f>
        <v>15686.313999999998</v>
      </c>
      <c r="J25" s="187"/>
    </row>
    <row r="26" spans="1:10" ht="12.75">
      <c r="A26" s="191" t="s">
        <v>11</v>
      </c>
      <c r="B26" s="185">
        <v>0.33</v>
      </c>
      <c r="C26" s="186">
        <v>0.205</v>
      </c>
      <c r="D26" s="187">
        <f>$D$31*B26</f>
        <v>9900</v>
      </c>
      <c r="E26" s="187">
        <f>+C26*E31</f>
        <v>105329</v>
      </c>
      <c r="F26" s="188">
        <f>D26*0.29</f>
        <v>2871</v>
      </c>
      <c r="G26" s="189">
        <f>D26-F26</f>
        <v>7029</v>
      </c>
      <c r="H26" s="187">
        <f>E26*0.29</f>
        <v>30545.409999999996</v>
      </c>
      <c r="I26" s="190">
        <f>E26*0.71</f>
        <v>74783.59</v>
      </c>
      <c r="J26" s="187"/>
    </row>
    <row r="27" spans="1:10" ht="12.75">
      <c r="A27" s="184" t="s">
        <v>12</v>
      </c>
      <c r="B27" s="185">
        <v>0.163</v>
      </c>
      <c r="C27" s="186">
        <v>0.37</v>
      </c>
      <c r="D27" s="187">
        <f>$D$31*B27</f>
        <v>4890</v>
      </c>
      <c r="E27" s="187">
        <f>+C27*E31</f>
        <v>190106</v>
      </c>
      <c r="F27" s="188">
        <f>D27*0.29</f>
        <v>1418.1</v>
      </c>
      <c r="G27" s="189">
        <f>D27-F27</f>
        <v>3471.9</v>
      </c>
      <c r="H27" s="187">
        <f>E27*0.29</f>
        <v>55130.74</v>
      </c>
      <c r="I27" s="190">
        <f>E27*0.71</f>
        <v>134975.25999999998</v>
      </c>
      <c r="J27" s="187"/>
    </row>
    <row r="28" spans="1:10" ht="12.75">
      <c r="A28" s="192" t="s">
        <v>13</v>
      </c>
      <c r="B28" s="193">
        <v>0.026</v>
      </c>
      <c r="C28" s="194">
        <v>0.184</v>
      </c>
      <c r="D28" s="195">
        <f>$D$31*B28</f>
        <v>780</v>
      </c>
      <c r="E28" s="195">
        <f>+C28*E31</f>
        <v>94539.2</v>
      </c>
      <c r="F28" s="196">
        <f>D28*0.6</f>
        <v>468</v>
      </c>
      <c r="G28" s="197">
        <f>D28-F28</f>
        <v>312</v>
      </c>
      <c r="H28" s="195">
        <f>0.6*E28</f>
        <v>56723.52</v>
      </c>
      <c r="I28" s="198">
        <f>0.4*E28</f>
        <v>37815.68</v>
      </c>
      <c r="J28" s="187"/>
    </row>
    <row r="29" spans="1:10" ht="13.5" thickBot="1">
      <c r="A29" s="192" t="s">
        <v>129</v>
      </c>
      <c r="B29" s="193">
        <v>0.008</v>
      </c>
      <c r="C29" s="194">
        <v>0.198</v>
      </c>
      <c r="D29" s="195">
        <f>$D$31*B29</f>
        <v>240</v>
      </c>
      <c r="E29" s="195">
        <f>+C29*E31</f>
        <v>101732.40000000001</v>
      </c>
      <c r="F29" s="196">
        <f>D29*0.6</f>
        <v>144</v>
      </c>
      <c r="G29" s="197">
        <f>D29-F29</f>
        <v>96</v>
      </c>
      <c r="H29" s="195">
        <f>0.6*E29</f>
        <v>61039.44</v>
      </c>
      <c r="I29" s="198">
        <f>0.4*E29</f>
        <v>40692.96000000001</v>
      </c>
      <c r="J29" s="187"/>
    </row>
    <row r="30" spans="1:10" ht="12.75">
      <c r="A30" s="199" t="s">
        <v>14</v>
      </c>
      <c r="B30" s="200"/>
      <c r="C30" s="201"/>
      <c r="D30" s="202"/>
      <c r="E30" s="202"/>
      <c r="F30" s="199"/>
      <c r="G30" s="201"/>
      <c r="H30" s="202"/>
      <c r="I30" s="203"/>
      <c r="J30" s="204"/>
    </row>
    <row r="31" spans="1:12" ht="13.5" thickBot="1">
      <c r="A31" s="184"/>
      <c r="B31" s="205">
        <f>SUM(B25:B29)</f>
        <v>1</v>
      </c>
      <c r="C31" s="186">
        <f>SUM(C25:C29)</f>
        <v>1</v>
      </c>
      <c r="D31" s="187">
        <v>30000</v>
      </c>
      <c r="E31" s="187">
        <v>513800</v>
      </c>
      <c r="F31" s="206"/>
      <c r="G31" s="207"/>
      <c r="H31" s="187">
        <f>SUM(H25:H30)</f>
        <v>209846.196</v>
      </c>
      <c r="I31" s="190">
        <f>SUM(I25:I30)</f>
        <v>303953.804</v>
      </c>
      <c r="J31" s="241"/>
      <c r="K31" s="243"/>
      <c r="L31" s="243"/>
    </row>
    <row r="32" spans="1:12" ht="13.5" thickBot="1">
      <c r="A32" s="208"/>
      <c r="B32" s="209">
        <f aca="true" t="shared" si="1" ref="B32:G32">SUM(B25:B29)</f>
        <v>1</v>
      </c>
      <c r="C32" s="210">
        <f t="shared" si="1"/>
        <v>1</v>
      </c>
      <c r="D32" s="211">
        <f t="shared" si="1"/>
        <v>30000</v>
      </c>
      <c r="E32" s="211">
        <f t="shared" si="1"/>
        <v>513800.00000000006</v>
      </c>
      <c r="F32" s="208">
        <f t="shared" si="1"/>
        <v>9016.199999999999</v>
      </c>
      <c r="G32" s="212">
        <f t="shared" si="1"/>
        <v>20983.800000000003</v>
      </c>
      <c r="H32" s="211">
        <f>H31+I31</f>
        <v>513800</v>
      </c>
      <c r="I32" s="244">
        <f>I31*B46</f>
        <v>434219.72000000003</v>
      </c>
      <c r="J32" s="241" t="s">
        <v>141</v>
      </c>
      <c r="K32" s="242"/>
      <c r="L32" s="243"/>
    </row>
    <row r="33" spans="1:12" ht="12.75">
      <c r="A33" s="204"/>
      <c r="B33" s="233"/>
      <c r="C33" s="233"/>
      <c r="D33" s="187"/>
      <c r="E33" s="187"/>
      <c r="F33" s="204"/>
      <c r="G33" s="187"/>
      <c r="H33" s="187"/>
      <c r="I33" s="241"/>
      <c r="J33" s="241"/>
      <c r="K33" s="242"/>
      <c r="L33" s="243"/>
    </row>
    <row r="34" spans="1:10" ht="12.75">
      <c r="A34" s="222" t="s">
        <v>136</v>
      </c>
      <c r="B34" s="223"/>
      <c r="C34" s="223"/>
      <c r="D34" s="223"/>
      <c r="E34" s="223"/>
      <c r="F34" s="224"/>
      <c r="G34" s="187"/>
      <c r="H34" s="204"/>
      <c r="I34" s="187"/>
      <c r="J34" s="187"/>
    </row>
    <row r="35" spans="1:10" ht="12.75">
      <c r="A35" s="213" t="s">
        <v>137</v>
      </c>
      <c r="B35" s="195"/>
      <c r="C35" s="195"/>
      <c r="D35" s="195"/>
      <c r="E35" s="195"/>
      <c r="F35" s="225"/>
      <c r="G35" s="187"/>
      <c r="H35" s="204"/>
      <c r="I35" s="187"/>
      <c r="J35" s="187"/>
    </row>
    <row r="36" spans="1:10" ht="12.75">
      <c r="A36" s="214" t="s">
        <v>138</v>
      </c>
      <c r="B36" s="226"/>
      <c r="C36" s="226"/>
      <c r="D36" s="226"/>
      <c r="E36" s="226"/>
      <c r="F36" s="227"/>
      <c r="I36" s="182"/>
      <c r="J36" s="182"/>
    </row>
    <row r="37" spans="1:7" ht="12.75">
      <c r="A37" s="214" t="s">
        <v>0</v>
      </c>
      <c r="B37" s="226"/>
      <c r="C37" s="226"/>
      <c r="D37" s="226"/>
      <c r="E37" s="226"/>
      <c r="F37" s="227"/>
      <c r="G37" s="215"/>
    </row>
    <row r="38" spans="1:6" ht="12.75">
      <c r="A38" s="234" t="s">
        <v>139</v>
      </c>
      <c r="B38" s="235"/>
      <c r="C38" s="235"/>
      <c r="D38" s="235"/>
      <c r="E38" s="235"/>
      <c r="F38" s="236"/>
    </row>
    <row r="39" spans="1:6" ht="12.75">
      <c r="A39" s="228" t="s">
        <v>97</v>
      </c>
      <c r="B39" s="204"/>
      <c r="C39" s="204"/>
      <c r="D39" s="204"/>
      <c r="E39" s="204"/>
      <c r="F39" s="229"/>
    </row>
    <row r="40" spans="1:6" ht="12.75">
      <c r="A40" s="230" t="s">
        <v>135</v>
      </c>
      <c r="B40" s="231"/>
      <c r="C40" s="231"/>
      <c r="D40" s="231"/>
      <c r="E40" s="231"/>
      <c r="F40" s="232"/>
    </row>
    <row r="43" spans="1:6" ht="12.75">
      <c r="A43" s="237" t="s">
        <v>99</v>
      </c>
      <c r="B43" s="238"/>
      <c r="C43" s="238" t="s">
        <v>100</v>
      </c>
      <c r="D43" s="238"/>
      <c r="E43" s="238"/>
      <c r="F43" s="239"/>
    </row>
    <row r="45" spans="1:3" ht="12.75">
      <c r="A45" s="240" t="s">
        <v>140</v>
      </c>
      <c r="B45" s="235"/>
      <c r="C45" s="236"/>
    </row>
    <row r="46" spans="1:3" ht="12.75">
      <c r="A46" s="230" t="s">
        <v>22</v>
      </c>
      <c r="B46" s="231">
        <f>1/1.68*2.4</f>
        <v>1.4285714285714286</v>
      </c>
      <c r="C46" s="232" t="s">
        <v>9</v>
      </c>
    </row>
  </sheetData>
  <mergeCells count="10">
    <mergeCell ref="A5:G5"/>
    <mergeCell ref="I23:I24"/>
    <mergeCell ref="B7:H7"/>
    <mergeCell ref="B22:C22"/>
    <mergeCell ref="D22:E22"/>
    <mergeCell ref="F22:G22"/>
    <mergeCell ref="H22:I22"/>
    <mergeCell ref="F23:F24"/>
    <mergeCell ref="G23:G24"/>
    <mergeCell ref="H23:H24"/>
  </mergeCells>
  <conditionalFormatting sqref="A5">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Breitbarth</dc:creator>
  <cp:keywords/>
  <dc:description/>
  <cp:lastModifiedBy>Tim Breitbarth</cp:lastModifiedBy>
  <dcterms:created xsi:type="dcterms:W3CDTF">2008-06-10T15:36:11Z</dcterms:created>
  <dcterms:modified xsi:type="dcterms:W3CDTF">2008-08-07T14:43:51Z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