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4020" windowWidth="19260" windowHeight="4065"/>
  </bookViews>
  <sheets>
    <sheet name="User's Guide" sheetId="5" r:id="rId1"/>
    <sheet name="Activity Description" sheetId="4" r:id="rId2"/>
    <sheet name="ERR &amp; Sensitivity Analysis" sheetId="3" r:id="rId3"/>
    <sheet name="Cost-Benefit Summary" sheetId="1" r:id="rId4"/>
    <sheet name="Cost Summary" sheetId="7" r:id="rId5"/>
    <sheet name="Dollar Conversion" sheetId="8" r:id="rId6"/>
    <sheet name="Poverty Scorecard" sheetId="6" r:id="rId7"/>
  </sheets>
  <calcPr calcId="152511"/>
</workbook>
</file>

<file path=xl/calcChain.xml><?xml version="1.0" encoding="utf-8"?>
<calcChain xmlns="http://schemas.openxmlformats.org/spreadsheetml/2006/main">
  <c r="H32" i="1" l="1"/>
  <c r="E27" i="1"/>
  <c r="L8" i="8" l="1"/>
  <c r="K8" i="8"/>
  <c r="J8" i="8"/>
  <c r="I8" i="8"/>
  <c r="H8" i="8"/>
  <c r="G8" i="8"/>
  <c r="F8" i="8"/>
  <c r="E8" i="8"/>
  <c r="D8" i="8"/>
  <c r="L7" i="8"/>
  <c r="K7" i="8"/>
  <c r="J7" i="8"/>
  <c r="I7" i="8"/>
  <c r="H7" i="8"/>
  <c r="G7" i="8"/>
  <c r="F7" i="8"/>
  <c r="E7" i="8"/>
  <c r="D7" i="8"/>
  <c r="D3" i="8"/>
  <c r="E3" i="8" s="1"/>
  <c r="F3" i="8" s="1"/>
  <c r="G3" i="8" s="1"/>
  <c r="H3" i="8" s="1"/>
  <c r="I3" i="8" s="1"/>
  <c r="J3" i="8" s="1"/>
  <c r="K3" i="8" s="1"/>
  <c r="L3" i="8" s="1"/>
  <c r="J46" i="7"/>
  <c r="I49" i="7"/>
  <c r="I58" i="7"/>
  <c r="I54" i="7"/>
  <c r="I45" i="7"/>
  <c r="E42" i="7"/>
  <c r="F42" i="7" s="1"/>
  <c r="G42" i="7" s="1"/>
  <c r="H42" i="7" s="1"/>
  <c r="I42" i="7" s="1"/>
  <c r="J42" i="7" s="1"/>
  <c r="K42" i="7" s="1"/>
  <c r="L42" i="7" s="1"/>
  <c r="M42" i="7" s="1"/>
  <c r="N42" i="7" s="1"/>
  <c r="O42" i="7" s="1"/>
  <c r="P42" i="7" s="1"/>
  <c r="Q42" i="7" s="1"/>
  <c r="R42" i="7" s="1"/>
  <c r="S42" i="7" s="1"/>
  <c r="T42" i="7" s="1"/>
  <c r="U42" i="7" s="1"/>
  <c r="V42" i="7" s="1"/>
  <c r="W42" i="7" s="1"/>
  <c r="X42" i="7" s="1"/>
  <c r="Y42" i="7" s="1"/>
  <c r="Z42" i="7" s="1"/>
  <c r="AA42" i="7" s="1"/>
  <c r="C34" i="7"/>
  <c r="C33" i="7"/>
  <c r="C29" i="7"/>
  <c r="J50" i="7" s="1"/>
  <c r="C28" i="7"/>
  <c r="F5" i="7"/>
  <c r="F6" i="7"/>
  <c r="F7" i="7"/>
  <c r="F8" i="7"/>
  <c r="F9" i="7"/>
  <c r="F10" i="7"/>
  <c r="F11" i="7"/>
  <c r="F12" i="7"/>
  <c r="F13" i="7"/>
  <c r="F14" i="7"/>
  <c r="F15" i="7"/>
  <c r="F16" i="7"/>
  <c r="F17" i="7"/>
  <c r="F18" i="7"/>
  <c r="F19" i="7"/>
  <c r="F20" i="7"/>
  <c r="F21" i="7"/>
  <c r="F22" i="7"/>
  <c r="F4" i="7"/>
  <c r="L19" i="7"/>
  <c r="L18" i="7"/>
  <c r="L16" i="7"/>
  <c r="L15" i="7"/>
  <c r="L14" i="7"/>
  <c r="L13" i="7"/>
  <c r="L12" i="7"/>
  <c r="L9" i="7"/>
  <c r="L8" i="7"/>
  <c r="L7" i="7"/>
  <c r="L6" i="7"/>
  <c r="L5" i="7"/>
  <c r="L4" i="7"/>
  <c r="C30" i="7" l="1"/>
  <c r="H46" i="7" s="1"/>
  <c r="G12" i="1" s="1"/>
  <c r="G13" i="1" s="1"/>
  <c r="G19" i="1" s="1"/>
  <c r="H55" i="7"/>
  <c r="G35" i="1" s="1"/>
  <c r="G36" i="1" s="1"/>
  <c r="C35" i="7"/>
  <c r="H59" i="7" s="1"/>
  <c r="I55" i="7"/>
  <c r="H35" i="1" s="1"/>
  <c r="H36" i="1" s="1"/>
  <c r="F46" i="7"/>
  <c r="G50" i="7"/>
  <c r="E50" i="7"/>
  <c r="F55" i="7"/>
  <c r="G59" i="7"/>
  <c r="E59" i="7"/>
  <c r="I46" i="7"/>
  <c r="H12" i="1" s="1"/>
  <c r="I59" i="7"/>
  <c r="D59" i="7"/>
  <c r="G46" i="7"/>
  <c r="E46" i="7"/>
  <c r="F50" i="7"/>
  <c r="G55" i="7"/>
  <c r="E55" i="7"/>
  <c r="F59" i="7"/>
  <c r="D50" i="7"/>
  <c r="D46" i="7"/>
  <c r="D55" i="7"/>
  <c r="C82" i="1"/>
  <c r="B97" i="1"/>
  <c r="B98" i="1"/>
  <c r="H13" i="1" l="1"/>
  <c r="H19" i="1" s="1"/>
  <c r="H18" i="1"/>
  <c r="H50" i="7"/>
  <c r="W19" i="1"/>
  <c r="U19" i="1"/>
  <c r="S19" i="1"/>
  <c r="Q19" i="1"/>
  <c r="O19" i="1"/>
  <c r="M19" i="1"/>
  <c r="K19" i="1"/>
  <c r="I19" i="1"/>
  <c r="X18" i="1"/>
  <c r="V18" i="1"/>
  <c r="T18" i="1"/>
  <c r="R18" i="1"/>
  <c r="P18" i="1"/>
  <c r="N18" i="1"/>
  <c r="L18" i="1"/>
  <c r="J18" i="1"/>
  <c r="X19" i="1"/>
  <c r="V19" i="1"/>
  <c r="T19" i="1"/>
  <c r="R19" i="1"/>
  <c r="P19" i="1"/>
  <c r="N19" i="1"/>
  <c r="L19" i="1"/>
  <c r="J19" i="1"/>
  <c r="W18" i="1"/>
  <c r="U18" i="1"/>
  <c r="S18" i="1"/>
  <c r="Q18" i="1"/>
  <c r="O18" i="1"/>
  <c r="M18" i="1"/>
  <c r="K18" i="1"/>
  <c r="I18" i="1"/>
  <c r="I50" i="7"/>
  <c r="W41" i="1"/>
  <c r="U41" i="1"/>
  <c r="S41" i="1"/>
  <c r="Q41" i="1"/>
  <c r="O41" i="1"/>
  <c r="M41" i="1"/>
  <c r="K41" i="1"/>
  <c r="I41" i="1"/>
  <c r="X42" i="1"/>
  <c r="V42" i="1"/>
  <c r="T42" i="1"/>
  <c r="R42" i="1"/>
  <c r="P42" i="1"/>
  <c r="N42" i="1"/>
  <c r="L42" i="1"/>
  <c r="J42" i="1"/>
  <c r="G41" i="1"/>
  <c r="X41" i="1"/>
  <c r="V41" i="1"/>
  <c r="T41" i="1"/>
  <c r="R41" i="1"/>
  <c r="P41" i="1"/>
  <c r="N41" i="1"/>
  <c r="L41" i="1"/>
  <c r="J41" i="1"/>
  <c r="W42" i="1"/>
  <c r="U42" i="1"/>
  <c r="S42" i="1"/>
  <c r="Q42" i="1"/>
  <c r="O42" i="1"/>
  <c r="M42" i="1"/>
  <c r="K42" i="1"/>
  <c r="I42" i="1"/>
  <c r="D16" i="6"/>
  <c r="D17" i="6"/>
  <c r="D15" i="6"/>
  <c r="D82" i="1"/>
  <c r="E82" i="1"/>
  <c r="F82" i="1"/>
  <c r="C83" i="1"/>
  <c r="D83" i="1"/>
  <c r="E83" i="1"/>
  <c r="F83" i="1"/>
  <c r="C84" i="1"/>
  <c r="D84" i="1"/>
  <c r="E84" i="1"/>
  <c r="F84" i="1"/>
  <c r="C95" i="1"/>
  <c r="D95" i="1"/>
  <c r="E95" i="1"/>
  <c r="F95" i="1"/>
  <c r="B95" i="1"/>
  <c r="C94" i="1"/>
  <c r="D94" i="1"/>
  <c r="E94" i="1"/>
  <c r="F94" i="1"/>
  <c r="B94" i="1"/>
  <c r="G11" i="3"/>
  <c r="I10" i="3"/>
  <c r="G10" i="3"/>
  <c r="F4" i="1" l="1"/>
  <c r="D80" i="1"/>
  <c r="E80" i="1" s="1"/>
  <c r="F80" i="1" s="1"/>
  <c r="G80" i="1" s="1"/>
  <c r="H80" i="1" s="1"/>
  <c r="I80" i="1" s="1"/>
  <c r="J80" i="1" s="1"/>
  <c r="K80" i="1" s="1"/>
  <c r="L80" i="1" s="1"/>
  <c r="M80" i="1" s="1"/>
  <c r="N80" i="1" s="1"/>
  <c r="O80" i="1" s="1"/>
  <c r="P80" i="1" s="1"/>
  <c r="Q80" i="1" s="1"/>
  <c r="R80" i="1" s="1"/>
  <c r="S80" i="1" s="1"/>
  <c r="T80" i="1" s="1"/>
  <c r="U80" i="1" s="1"/>
  <c r="V80" i="1" s="1"/>
  <c r="W80" i="1" s="1"/>
  <c r="X80" i="1" s="1"/>
  <c r="D51" i="1"/>
  <c r="E51" i="1" s="1"/>
  <c r="F51" i="1" s="1"/>
  <c r="G51" i="1" s="1"/>
  <c r="H51" i="1" s="1"/>
  <c r="I51" i="1" s="1"/>
  <c r="J51" i="1" s="1"/>
  <c r="K51" i="1" s="1"/>
  <c r="L51" i="1" s="1"/>
  <c r="M51" i="1" s="1"/>
  <c r="N51" i="1" s="1"/>
  <c r="O51" i="1" s="1"/>
  <c r="P51" i="1" s="1"/>
  <c r="Q51" i="1" s="1"/>
  <c r="R51" i="1" s="1"/>
  <c r="S51" i="1" s="1"/>
  <c r="T51" i="1" s="1"/>
  <c r="U51" i="1" s="1"/>
  <c r="V51" i="1" s="1"/>
  <c r="W51" i="1" s="1"/>
  <c r="X51" i="1" s="1"/>
  <c r="Y51" i="1" s="1"/>
  <c r="Z51" i="1" s="1"/>
  <c r="G4" i="1" l="1"/>
  <c r="F27" i="1"/>
  <c r="G18" i="1"/>
  <c r="G15" i="1"/>
  <c r="H4" i="1" l="1"/>
  <c r="G27" i="1"/>
  <c r="H15" i="1"/>
  <c r="S9" i="1"/>
  <c r="G9" i="1"/>
  <c r="B68" i="1"/>
  <c r="I4" i="1" l="1"/>
  <c r="H27" i="1"/>
  <c r="B23" i="1"/>
  <c r="T9" i="1"/>
  <c r="X9" i="1"/>
  <c r="X15" i="1"/>
  <c r="W9" i="1"/>
  <c r="W15" i="1"/>
  <c r="V9" i="1"/>
  <c r="V15" i="1"/>
  <c r="U9" i="1"/>
  <c r="U15" i="1"/>
  <c r="T15" i="1"/>
  <c r="S15" i="1"/>
  <c r="R9" i="1"/>
  <c r="R15" i="1"/>
  <c r="Q9" i="1"/>
  <c r="Q15" i="1"/>
  <c r="P9" i="1"/>
  <c r="P15" i="1"/>
  <c r="O9" i="1"/>
  <c r="O15" i="1"/>
  <c r="N9" i="1"/>
  <c r="N15" i="1"/>
  <c r="M9" i="1"/>
  <c r="M15" i="1"/>
  <c r="L9" i="1"/>
  <c r="L15" i="1"/>
  <c r="K9" i="1"/>
  <c r="K15" i="1"/>
  <c r="J9" i="1"/>
  <c r="J15" i="1"/>
  <c r="I9" i="1"/>
  <c r="I15" i="1"/>
  <c r="J4" i="1" l="1"/>
  <c r="I27" i="1"/>
  <c r="B22" i="1"/>
  <c r="H9" i="1"/>
  <c r="B67" i="1"/>
  <c r="B69" i="1" s="1"/>
  <c r="K4" i="1" l="1"/>
  <c r="J27" i="1"/>
  <c r="J38" i="1"/>
  <c r="J95" i="1" s="1"/>
  <c r="L38" i="1"/>
  <c r="L95" i="1" s="1"/>
  <c r="N38" i="1"/>
  <c r="N95" i="1" s="1"/>
  <c r="P38" i="1"/>
  <c r="P95" i="1" s="1"/>
  <c r="R38" i="1"/>
  <c r="R95" i="1" s="1"/>
  <c r="T38" i="1"/>
  <c r="T95" i="1" s="1"/>
  <c r="V38" i="1"/>
  <c r="V95" i="1" s="1"/>
  <c r="X38" i="1"/>
  <c r="X95" i="1" s="1"/>
  <c r="I38" i="1"/>
  <c r="I95" i="1" s="1"/>
  <c r="K38" i="1"/>
  <c r="K95" i="1" s="1"/>
  <c r="M38" i="1"/>
  <c r="M95" i="1" s="1"/>
  <c r="O38" i="1"/>
  <c r="O95" i="1" s="1"/>
  <c r="Q38" i="1"/>
  <c r="Q95" i="1" s="1"/>
  <c r="S38" i="1"/>
  <c r="S95" i="1" s="1"/>
  <c r="U38" i="1"/>
  <c r="U95" i="1" s="1"/>
  <c r="W38" i="1"/>
  <c r="W95" i="1" s="1"/>
  <c r="B71" i="1"/>
  <c r="X32" i="1"/>
  <c r="X94" i="1" s="1"/>
  <c r="W32" i="1"/>
  <c r="W94" i="1" s="1"/>
  <c r="V32" i="1"/>
  <c r="V94" i="1" s="1"/>
  <c r="U32" i="1"/>
  <c r="U94" i="1" s="1"/>
  <c r="T32" i="1"/>
  <c r="T94" i="1" s="1"/>
  <c r="S32" i="1"/>
  <c r="S94" i="1" s="1"/>
  <c r="R32" i="1"/>
  <c r="R94" i="1" s="1"/>
  <c r="Q32" i="1"/>
  <c r="Q94" i="1" s="1"/>
  <c r="P32" i="1"/>
  <c r="P94" i="1" s="1"/>
  <c r="O32" i="1"/>
  <c r="O94" i="1" s="1"/>
  <c r="N32" i="1"/>
  <c r="N94" i="1" s="1"/>
  <c r="M32" i="1"/>
  <c r="M94" i="1" s="1"/>
  <c r="L32" i="1"/>
  <c r="L94" i="1" s="1"/>
  <c r="K32" i="1"/>
  <c r="K94" i="1" s="1"/>
  <c r="J32" i="1"/>
  <c r="J94" i="1" s="1"/>
  <c r="I32" i="1"/>
  <c r="I94" i="1" s="1"/>
  <c r="H94" i="1"/>
  <c r="L4" i="1" l="1"/>
  <c r="K27" i="1"/>
  <c r="G42" i="1"/>
  <c r="G38" i="1"/>
  <c r="G95" i="1" s="1"/>
  <c r="G82" i="1"/>
  <c r="G32" i="1"/>
  <c r="B70" i="1"/>
  <c r="B72" i="1" s="1"/>
  <c r="M4" i="1" l="1"/>
  <c r="L27" i="1"/>
  <c r="H42" i="1"/>
  <c r="H83" i="1" s="1"/>
  <c r="G94" i="1"/>
  <c r="D22" i="3" s="1"/>
  <c r="AA52" i="1"/>
  <c r="AA55" i="1"/>
  <c r="AA54" i="1"/>
  <c r="AA53" i="1"/>
  <c r="B73" i="1"/>
  <c r="AA56" i="1"/>
  <c r="X82" i="1"/>
  <c r="W82" i="1"/>
  <c r="V82" i="1"/>
  <c r="U82" i="1"/>
  <c r="T82" i="1"/>
  <c r="S82" i="1"/>
  <c r="R82" i="1"/>
  <c r="Q82" i="1"/>
  <c r="P82" i="1"/>
  <c r="O82" i="1"/>
  <c r="N82" i="1"/>
  <c r="M82" i="1"/>
  <c r="L82" i="1"/>
  <c r="K82" i="1"/>
  <c r="J82" i="1"/>
  <c r="I82" i="1"/>
  <c r="X83" i="1"/>
  <c r="W83" i="1"/>
  <c r="V83" i="1"/>
  <c r="U83" i="1"/>
  <c r="T83" i="1"/>
  <c r="S83" i="1"/>
  <c r="R83" i="1"/>
  <c r="Q83" i="1"/>
  <c r="P83" i="1"/>
  <c r="O83" i="1"/>
  <c r="N83" i="1"/>
  <c r="M83" i="1"/>
  <c r="L83" i="1"/>
  <c r="K83" i="1"/>
  <c r="J83" i="1"/>
  <c r="I83" i="1"/>
  <c r="D28" i="1"/>
  <c r="E28" i="1" s="1"/>
  <c r="F28" i="1" s="1"/>
  <c r="G28" i="1" s="1"/>
  <c r="H28" i="1" s="1"/>
  <c r="I28" i="1" s="1"/>
  <c r="J28" i="1" s="1"/>
  <c r="K28" i="1" s="1"/>
  <c r="L28" i="1" s="1"/>
  <c r="M28" i="1" s="1"/>
  <c r="N28" i="1" s="1"/>
  <c r="O28" i="1" s="1"/>
  <c r="P28" i="1" s="1"/>
  <c r="Q28" i="1" s="1"/>
  <c r="R28" i="1" s="1"/>
  <c r="S28" i="1" s="1"/>
  <c r="T28" i="1" s="1"/>
  <c r="U28" i="1" s="1"/>
  <c r="V28" i="1" s="1"/>
  <c r="W28" i="1" s="1"/>
  <c r="X28" i="1" s="1"/>
  <c r="D5" i="1"/>
  <c r="E5" i="1" s="1"/>
  <c r="F5" i="1" s="1"/>
  <c r="G5" i="1" s="1"/>
  <c r="H5" i="1" s="1"/>
  <c r="I5" i="1" s="1"/>
  <c r="J5" i="1" s="1"/>
  <c r="K5" i="1" s="1"/>
  <c r="L5" i="1" s="1"/>
  <c r="M5" i="1" s="1"/>
  <c r="N5" i="1" s="1"/>
  <c r="O5" i="1" s="1"/>
  <c r="P5" i="1" s="1"/>
  <c r="Q5" i="1" s="1"/>
  <c r="R5" i="1" s="1"/>
  <c r="S5" i="1" s="1"/>
  <c r="T5" i="1" s="1"/>
  <c r="U5" i="1" s="1"/>
  <c r="V5" i="1" s="1"/>
  <c r="W5" i="1" s="1"/>
  <c r="X5" i="1" s="1"/>
  <c r="N4" i="1" l="1"/>
  <c r="M27" i="1"/>
  <c r="D10" i="6"/>
  <c r="G24" i="6" s="1"/>
  <c r="F23" i="3"/>
  <c r="B46" i="1"/>
  <c r="H41" i="1"/>
  <c r="B45" i="1" s="1"/>
  <c r="H38" i="1"/>
  <c r="H95" i="1" s="1"/>
  <c r="D24" i="3" s="1"/>
  <c r="D11" i="6" s="1"/>
  <c r="D29" i="6" s="1"/>
  <c r="I24" i="6"/>
  <c r="F24" i="6"/>
  <c r="I84" i="1"/>
  <c r="K84" i="1"/>
  <c r="M84" i="1"/>
  <c r="O84" i="1"/>
  <c r="Q84" i="1"/>
  <c r="S84" i="1"/>
  <c r="U84" i="1"/>
  <c r="W84" i="1"/>
  <c r="G83" i="1"/>
  <c r="B89" i="1" s="1"/>
  <c r="H82" i="1"/>
  <c r="B88" i="1" s="1"/>
  <c r="J84" i="1"/>
  <c r="L84" i="1"/>
  <c r="N84" i="1"/>
  <c r="P84" i="1"/>
  <c r="R84" i="1"/>
  <c r="T84" i="1"/>
  <c r="V84" i="1"/>
  <c r="X84" i="1"/>
  <c r="AA62" i="1"/>
  <c r="H53" i="1"/>
  <c r="H54" i="1"/>
  <c r="J53" i="1"/>
  <c r="J54" i="1"/>
  <c r="L53" i="1"/>
  <c r="L54" i="1"/>
  <c r="N53" i="1"/>
  <c r="N54" i="1"/>
  <c r="P53" i="1"/>
  <c r="P54" i="1"/>
  <c r="R53" i="1"/>
  <c r="R54" i="1"/>
  <c r="T53" i="1"/>
  <c r="T54" i="1"/>
  <c r="V53" i="1"/>
  <c r="V54" i="1"/>
  <c r="X53" i="1"/>
  <c r="X54" i="1"/>
  <c r="Z53" i="1"/>
  <c r="Z54" i="1"/>
  <c r="H52" i="1"/>
  <c r="H55" i="1"/>
  <c r="J52" i="1"/>
  <c r="J55" i="1"/>
  <c r="L52" i="1"/>
  <c r="L55" i="1"/>
  <c r="N52" i="1"/>
  <c r="N55" i="1"/>
  <c r="P52" i="1"/>
  <c r="P55" i="1"/>
  <c r="R52" i="1"/>
  <c r="R55" i="1"/>
  <c r="T52" i="1"/>
  <c r="T55" i="1"/>
  <c r="V52" i="1"/>
  <c r="V55" i="1"/>
  <c r="X52" i="1"/>
  <c r="X55" i="1"/>
  <c r="Z52" i="1"/>
  <c r="Z55" i="1"/>
  <c r="G53" i="1"/>
  <c r="G54" i="1"/>
  <c r="I53" i="1"/>
  <c r="I54" i="1"/>
  <c r="K53" i="1"/>
  <c r="K54" i="1"/>
  <c r="M53" i="1"/>
  <c r="M54" i="1"/>
  <c r="O53" i="1"/>
  <c r="O54" i="1"/>
  <c r="Q53" i="1"/>
  <c r="Q54" i="1"/>
  <c r="S53" i="1"/>
  <c r="S54" i="1"/>
  <c r="U53" i="1"/>
  <c r="U54" i="1"/>
  <c r="W53" i="1"/>
  <c r="W54" i="1"/>
  <c r="Y53" i="1"/>
  <c r="Y54" i="1"/>
  <c r="G52" i="1"/>
  <c r="G55" i="1"/>
  <c r="I52" i="1"/>
  <c r="I55" i="1"/>
  <c r="K52" i="1"/>
  <c r="K55" i="1"/>
  <c r="M52" i="1"/>
  <c r="M55" i="1"/>
  <c r="O52" i="1"/>
  <c r="O55" i="1"/>
  <c r="Q52" i="1"/>
  <c r="Q55" i="1"/>
  <c r="S52" i="1"/>
  <c r="S55" i="1"/>
  <c r="U52" i="1"/>
  <c r="U55" i="1"/>
  <c r="W52" i="1"/>
  <c r="W55" i="1"/>
  <c r="Y52" i="1"/>
  <c r="Y55" i="1"/>
  <c r="H43" i="1"/>
  <c r="J43" i="1"/>
  <c r="L43" i="1"/>
  <c r="N43" i="1"/>
  <c r="P43" i="1"/>
  <c r="R43" i="1"/>
  <c r="T43" i="1"/>
  <c r="V43" i="1"/>
  <c r="X43" i="1"/>
  <c r="I43" i="1"/>
  <c r="K43" i="1"/>
  <c r="M43" i="1"/>
  <c r="O43" i="1"/>
  <c r="Q43" i="1"/>
  <c r="S43" i="1"/>
  <c r="U43" i="1"/>
  <c r="W43" i="1"/>
  <c r="G43" i="1"/>
  <c r="W20" i="1"/>
  <c r="W56" i="1" s="1"/>
  <c r="U20" i="1"/>
  <c r="U56" i="1" s="1"/>
  <c r="S20" i="1"/>
  <c r="S56" i="1" s="1"/>
  <c r="Q20" i="1"/>
  <c r="O20" i="1"/>
  <c r="O56" i="1" s="1"/>
  <c r="M20" i="1"/>
  <c r="M56" i="1" s="1"/>
  <c r="K20" i="1"/>
  <c r="K56" i="1" s="1"/>
  <c r="I20" i="1"/>
  <c r="G20" i="1"/>
  <c r="X20" i="1"/>
  <c r="V20" i="1"/>
  <c r="T20" i="1"/>
  <c r="R20" i="1"/>
  <c r="P20" i="1"/>
  <c r="N20" i="1"/>
  <c r="L20" i="1"/>
  <c r="J20" i="1"/>
  <c r="H20" i="1"/>
  <c r="O4" i="1" l="1"/>
  <c r="N27" i="1"/>
  <c r="H24" i="6"/>
  <c r="H25" i="6" s="1"/>
  <c r="Q56" i="1"/>
  <c r="I56" i="1"/>
  <c r="Y56" i="1"/>
  <c r="H29" i="6"/>
  <c r="G25" i="6"/>
  <c r="G29" i="6"/>
  <c r="D24" i="6"/>
  <c r="F29" i="6"/>
  <c r="F25" i="6"/>
  <c r="I25" i="6"/>
  <c r="I29" i="6"/>
  <c r="Y62" i="1"/>
  <c r="W62" i="1"/>
  <c r="U62" i="1"/>
  <c r="S62" i="1"/>
  <c r="Q62" i="1"/>
  <c r="O62" i="1"/>
  <c r="M62" i="1"/>
  <c r="K62" i="1"/>
  <c r="I62" i="1"/>
  <c r="Z62" i="1"/>
  <c r="X62" i="1"/>
  <c r="V62" i="1"/>
  <c r="T62" i="1"/>
  <c r="R62" i="1"/>
  <c r="P62" i="1"/>
  <c r="N62" i="1"/>
  <c r="L62" i="1"/>
  <c r="J62" i="1"/>
  <c r="H62" i="1"/>
  <c r="G62" i="1"/>
  <c r="G56" i="1"/>
  <c r="B26" i="1"/>
  <c r="H84" i="1"/>
  <c r="G84" i="1"/>
  <c r="B49" i="1"/>
  <c r="H56" i="1"/>
  <c r="L56" i="1"/>
  <c r="P56" i="1"/>
  <c r="T56" i="1"/>
  <c r="X56" i="1"/>
  <c r="J56" i="1"/>
  <c r="N56" i="1"/>
  <c r="R56" i="1"/>
  <c r="V56" i="1"/>
  <c r="Z56" i="1"/>
  <c r="P4" i="1" l="1"/>
  <c r="O27" i="1"/>
  <c r="D25" i="6"/>
  <c r="B63" i="1"/>
  <c r="B90" i="1"/>
  <c r="D15" i="3" s="1"/>
  <c r="B57" i="1"/>
  <c r="Q4" i="1" l="1"/>
  <c r="P27" i="1"/>
  <c r="G19" i="3"/>
  <c r="D9" i="6"/>
  <c r="R4" i="1" l="1"/>
  <c r="Q27" i="1"/>
  <c r="S4" i="1" l="1"/>
  <c r="R27" i="1"/>
  <c r="T4" i="1" l="1"/>
  <c r="S27" i="1"/>
  <c r="U4" i="1" l="1"/>
  <c r="T27" i="1"/>
  <c r="V4" i="1" l="1"/>
  <c r="U27" i="1"/>
  <c r="W4" i="1" l="1"/>
  <c r="V27" i="1"/>
  <c r="X4" i="1" l="1"/>
  <c r="X27" i="1" s="1"/>
  <c r="W27" i="1"/>
</calcChain>
</file>

<file path=xl/comments1.xml><?xml version="1.0" encoding="utf-8"?>
<comments xmlns="http://schemas.openxmlformats.org/spreadsheetml/2006/main">
  <authors>
    <author>Author</author>
  </authors>
  <commentList>
    <comment ref="G8" authorId="0" shapeId="0">
      <text>
        <r>
          <rPr>
            <b/>
            <sz val="8"/>
            <color indexed="81"/>
            <rFont val="Tahoma"/>
            <family val="2"/>
          </rPr>
          <t>Author:</t>
        </r>
        <r>
          <rPr>
            <sz val="8"/>
            <color indexed="81"/>
            <rFont val="Tahoma"/>
            <family val="2"/>
          </rPr>
          <t xml:space="preserve">
Assumed no benefits the first two years.</t>
        </r>
      </text>
    </comment>
    <comment ref="H8" authorId="0" shapeId="0">
      <text>
        <r>
          <rPr>
            <b/>
            <sz val="8"/>
            <color indexed="81"/>
            <rFont val="Tahoma"/>
            <family val="2"/>
          </rPr>
          <t>Author:</t>
        </r>
        <r>
          <rPr>
            <sz val="8"/>
            <color indexed="81"/>
            <rFont val="Tahoma"/>
            <family val="2"/>
          </rPr>
          <t xml:space="preserve">
Assumed no benefits the first two years.</t>
        </r>
      </text>
    </comment>
  </commentList>
</comments>
</file>

<file path=xl/comments2.xml><?xml version="1.0" encoding="utf-8"?>
<comments xmlns="http://schemas.openxmlformats.org/spreadsheetml/2006/main">
  <authors>
    <author>Author</author>
  </authors>
  <commentList>
    <comment ref="J4" authorId="0" shapeId="0">
      <text>
        <r>
          <rPr>
            <b/>
            <sz val="8"/>
            <color indexed="81"/>
            <rFont val="Tahoma"/>
            <family val="2"/>
          </rPr>
          <t>Author:</t>
        </r>
        <r>
          <rPr>
            <sz val="8"/>
            <color indexed="81"/>
            <rFont val="Tahoma"/>
            <family val="2"/>
          </rPr>
          <t xml:space="preserve">
weighted average from DD rpt
</t>
        </r>
      </text>
    </comment>
    <comment ref="R4" authorId="0" shapeId="0">
      <text>
        <r>
          <rPr>
            <b/>
            <sz val="8"/>
            <color indexed="81"/>
            <rFont val="Tahoma"/>
            <family val="2"/>
          </rPr>
          <t>Author:</t>
        </r>
        <r>
          <rPr>
            <sz val="8"/>
            <color indexed="81"/>
            <rFont val="Tahoma"/>
            <family val="2"/>
          </rPr>
          <t xml:space="preserve">
weighted average from DD rpt
</t>
        </r>
      </text>
    </comment>
    <comment ref="J5" authorId="0" shapeId="0">
      <text>
        <r>
          <rPr>
            <b/>
            <sz val="8"/>
            <color indexed="81"/>
            <rFont val="Tahoma"/>
            <family val="2"/>
          </rPr>
          <t>Author:</t>
        </r>
        <r>
          <rPr>
            <sz val="8"/>
            <color indexed="81"/>
            <rFont val="Tahoma"/>
            <family val="2"/>
          </rPr>
          <t xml:space="preserve">
weighted average from DD rpt
</t>
        </r>
      </text>
    </comment>
    <comment ref="R5" authorId="0" shapeId="0">
      <text>
        <r>
          <rPr>
            <b/>
            <sz val="8"/>
            <color indexed="81"/>
            <rFont val="Tahoma"/>
            <family val="2"/>
          </rPr>
          <t>Author:</t>
        </r>
        <r>
          <rPr>
            <sz val="8"/>
            <color indexed="81"/>
            <rFont val="Tahoma"/>
            <family val="2"/>
          </rPr>
          <t xml:space="preserve">
weighted average from DD rpt
</t>
        </r>
      </text>
    </comment>
    <comment ref="J6" authorId="0" shapeId="0">
      <text>
        <r>
          <rPr>
            <b/>
            <sz val="8"/>
            <color indexed="81"/>
            <rFont val="Tahoma"/>
            <family val="2"/>
          </rPr>
          <t>Author:</t>
        </r>
        <r>
          <rPr>
            <sz val="8"/>
            <color indexed="81"/>
            <rFont val="Tahoma"/>
            <family val="2"/>
          </rPr>
          <t xml:space="preserve">
combined pro-rated cost</t>
        </r>
      </text>
    </comment>
    <comment ref="J7" authorId="0" shapeId="0">
      <text>
        <r>
          <rPr>
            <b/>
            <sz val="8"/>
            <color indexed="81"/>
            <rFont val="Tahoma"/>
            <family val="2"/>
          </rPr>
          <t>Author:</t>
        </r>
        <r>
          <rPr>
            <sz val="8"/>
            <color indexed="81"/>
            <rFont val="Tahoma"/>
            <family val="2"/>
          </rPr>
          <t xml:space="preserve">
combined pro-rated cost</t>
        </r>
      </text>
    </comment>
    <comment ref="AB9" authorId="0" shapeId="0">
      <text>
        <r>
          <rPr>
            <b/>
            <sz val="9"/>
            <color indexed="81"/>
            <rFont val="Tahoma"/>
            <family val="2"/>
          </rPr>
          <t>Author:
Avg turnover for Monte Adriano.  JV Partner Casais was 211,215,315.54</t>
        </r>
      </text>
    </comment>
    <comment ref="J10" authorId="0" shapeId="0">
      <text>
        <r>
          <rPr>
            <b/>
            <sz val="9"/>
            <color indexed="81"/>
            <rFont val="Tahoma"/>
            <family val="2"/>
          </rPr>
          <t>Chongu:</t>
        </r>
        <r>
          <rPr>
            <sz val="9"/>
            <color indexed="81"/>
            <rFont val="Tahoma"/>
            <family val="2"/>
          </rPr>
          <t xml:space="preserve">
These numbers are provisional from S. Marma and E. Freund. </t>
        </r>
      </text>
    </comment>
    <comment ref="Q10" authorId="0" shapeId="0">
      <text>
        <r>
          <rPr>
            <b/>
            <sz val="9"/>
            <color indexed="81"/>
            <rFont val="Tahoma"/>
            <family val="2"/>
          </rPr>
          <t>C Towles:</t>
        </r>
        <r>
          <rPr>
            <sz val="9"/>
            <color indexed="81"/>
            <rFont val="Tahoma"/>
            <family val="2"/>
          </rPr>
          <t xml:space="preserve">
compact</t>
        </r>
      </text>
    </comment>
    <comment ref="J11" authorId="0" shapeId="0">
      <text>
        <r>
          <rPr>
            <b/>
            <sz val="9"/>
            <color indexed="81"/>
            <rFont val="Tahoma"/>
            <family val="2"/>
          </rPr>
          <t xml:space="preserve">Chongu:
</t>
        </r>
        <r>
          <rPr>
            <sz val="9"/>
            <color indexed="81"/>
            <rFont val="Tahoma"/>
            <family val="2"/>
          </rPr>
          <t xml:space="preserve">These numbers are provisional from S. Marma and E. Freund. </t>
        </r>
      </text>
    </comment>
    <comment ref="Q11" authorId="0" shapeId="0">
      <text>
        <r>
          <rPr>
            <b/>
            <sz val="9"/>
            <color indexed="81"/>
            <rFont val="Tahoma"/>
            <family val="2"/>
          </rPr>
          <t>C Towles:</t>
        </r>
        <r>
          <rPr>
            <sz val="9"/>
            <color indexed="81"/>
            <rFont val="Tahoma"/>
            <family val="2"/>
          </rPr>
          <t xml:space="preserve">
compact</t>
        </r>
      </text>
    </comment>
    <comment ref="J13" authorId="0" shapeId="0">
      <text>
        <r>
          <rPr>
            <b/>
            <sz val="9"/>
            <color indexed="81"/>
            <rFont val="Tahoma"/>
            <family val="2"/>
          </rPr>
          <t xml:space="preserve">U Chong: </t>
        </r>
        <r>
          <rPr>
            <sz val="9"/>
            <color indexed="81"/>
            <rFont val="Tahoma"/>
            <family val="2"/>
          </rPr>
          <t xml:space="preserve">rescoped and not completed.
</t>
        </r>
      </text>
    </comment>
    <comment ref="X16" authorId="0" shapeId="0">
      <text>
        <r>
          <rPr>
            <b/>
            <sz val="9"/>
            <color indexed="81"/>
            <rFont val="Tahoma"/>
            <family val="2"/>
          </rPr>
          <t>Author:
To arrive at average bid, dropped bid from Lena, which came in $30 million + over other bids</t>
        </r>
      </text>
    </comment>
    <comment ref="J17" authorId="0" shapeId="0">
      <text>
        <r>
          <rPr>
            <b/>
            <sz val="9"/>
            <color indexed="81"/>
            <rFont val="Tahoma"/>
            <family val="2"/>
          </rPr>
          <t>Chongu:</t>
        </r>
        <r>
          <rPr>
            <sz val="9"/>
            <color indexed="81"/>
            <rFont val="Tahoma"/>
            <family val="2"/>
          </rPr>
          <t xml:space="preserve">
This number is provisional from S. Marma and E. Freund</t>
        </r>
      </text>
    </comment>
    <comment ref="Q17" authorId="0" shapeId="0">
      <text>
        <r>
          <rPr>
            <b/>
            <sz val="9"/>
            <color indexed="81"/>
            <rFont val="Tahoma"/>
            <family val="2"/>
          </rPr>
          <t>C Towles:</t>
        </r>
        <r>
          <rPr>
            <sz val="9"/>
            <color indexed="81"/>
            <rFont val="Tahoma"/>
            <family val="2"/>
          </rPr>
          <t xml:space="preserve">
compact</t>
        </r>
      </text>
    </comment>
    <comment ref="J18" authorId="0" shapeId="0">
      <text>
        <r>
          <rPr>
            <b/>
            <sz val="8"/>
            <color indexed="81"/>
            <rFont val="Tahoma"/>
            <family val="2"/>
          </rPr>
          <t>Author:</t>
        </r>
        <r>
          <rPr>
            <sz val="8"/>
            <color indexed="81"/>
            <rFont val="Tahoma"/>
            <family val="2"/>
          </rPr>
          <t xml:space="preserve">
does not include any contingency, admin or engineering costs
</t>
        </r>
        <r>
          <rPr>
            <b/>
            <sz val="8"/>
            <color indexed="81"/>
            <rFont val="Tahoma"/>
            <family val="2"/>
          </rPr>
          <t xml:space="preserve">U Chong: </t>
        </r>
        <r>
          <rPr>
            <sz val="8"/>
            <color indexed="81"/>
            <rFont val="Tahoma"/>
            <family val="2"/>
          </rPr>
          <t>rescoped and not completed</t>
        </r>
      </text>
    </comment>
  </commentList>
</comments>
</file>

<file path=xl/sharedStrings.xml><?xml version="1.0" encoding="utf-8"?>
<sst xmlns="http://schemas.openxmlformats.org/spreadsheetml/2006/main" count="458" uniqueCount="252">
  <si>
    <t>Calendar Year</t>
  </si>
  <si>
    <t>Benefits</t>
  </si>
  <si>
    <t xml:space="preserve"> </t>
  </si>
  <si>
    <t>Costs</t>
  </si>
  <si>
    <t xml:space="preserve">Net Benefits </t>
  </si>
  <si>
    <t>Namialo-Rio Lurio - high scenario</t>
  </si>
  <si>
    <t>Namialo-Rio Lurio - low scenario</t>
  </si>
  <si>
    <t>Nampula - Rio Ligonha - high scenario</t>
  </si>
  <si>
    <t>Nampula - Rio Ligonha - low scenario</t>
  </si>
  <si>
    <t>ERR Namialo-Rio Lurio - High scenario</t>
  </si>
  <si>
    <t>ERR Namialo-Rio Lurio - Low scenario</t>
  </si>
  <si>
    <t>High scenario likelihood</t>
  </si>
  <si>
    <t>Low scenario likelihood</t>
  </si>
  <si>
    <t>ERR for Namialo- Rio Lurio</t>
  </si>
  <si>
    <t>ERR Nampula - Rio Ligonha - High scenario</t>
  </si>
  <si>
    <t>ERR Nampula - Rio Ligonha - Low scenario</t>
  </si>
  <si>
    <t>ERR for Nampula - Rio Ligonha</t>
  </si>
  <si>
    <t>Net Benefits Overall</t>
  </si>
  <si>
    <t>Present Value of  Benefits</t>
  </si>
  <si>
    <t>Discount Rate</t>
  </si>
  <si>
    <t>Nampula - Rio Ligonha</t>
  </si>
  <si>
    <t>Namialo-Rio Lurio - High scenario</t>
  </si>
  <si>
    <t>Namialo-Rio Lurio - Low scenario</t>
  </si>
  <si>
    <t>Year 2028</t>
  </si>
  <si>
    <t>Benefits per Beneficiary</t>
  </si>
  <si>
    <t>Namialo-Rio Lurio</t>
  </si>
  <si>
    <t>Net:  Namialo - Rio Lurio (million $)</t>
  </si>
  <si>
    <t>Net:  Nampula - Rio Ligonha (million $)</t>
  </si>
  <si>
    <t>Total Present Value of Benefits</t>
  </si>
  <si>
    <t>Total Net Benefits</t>
  </si>
  <si>
    <t>Combined ERR at year 2028</t>
  </si>
  <si>
    <t>High &amp; High Scenario</t>
  </si>
  <si>
    <t>Low &amp; Low Scenario</t>
  </si>
  <si>
    <t>High Rio Lurio &amp; Low Rio Ligonha</t>
  </si>
  <si>
    <t>Low Rio Lurio &amp; High Rio Ligonha</t>
  </si>
  <si>
    <t>High &amp; High Likelihood</t>
  </si>
  <si>
    <t>Low &amp; Low Likelihood</t>
  </si>
  <si>
    <t>High Rio Lurio &amp; Low Rio Ligonha Likelihood</t>
  </si>
  <si>
    <t>Low Rio Lurio &amp; High Rio Ligonha Likelihood</t>
  </si>
  <si>
    <t>Net Benefits based on 4 scenarios</t>
  </si>
  <si>
    <t>Combined ERR based on 4 scenarios @ year 2028</t>
  </si>
  <si>
    <t>Calendar Year - Nampula- Rio Ligonha</t>
  </si>
  <si>
    <t>Calendar Year - Namialo-Rio Lurio</t>
  </si>
  <si>
    <t>Combined Roads</t>
  </si>
  <si>
    <t>Combined - low scenario</t>
  </si>
  <si>
    <t>Combined - high scenario</t>
  </si>
  <si>
    <t>ERR high scenario</t>
  </si>
  <si>
    <t>ERR low scendario</t>
  </si>
  <si>
    <t>Combined ERR</t>
  </si>
  <si>
    <t>Total Benefits</t>
  </si>
  <si>
    <t>Last updated: 04/06/2014</t>
  </si>
  <si>
    <t>ERR Version</t>
  </si>
  <si>
    <t>Original Project</t>
  </si>
  <si>
    <t>Closeout Activity</t>
  </si>
  <si>
    <t>Date of ERR</t>
  </si>
  <si>
    <t>Amount of MCC funds</t>
  </si>
  <si>
    <t>Project Description</t>
  </si>
  <si>
    <t>Benefit streams included in ERR</t>
  </si>
  <si>
    <t>Costs included in ERR (not borne by MCC)</t>
  </si>
  <si>
    <t>None</t>
  </si>
  <si>
    <t>ERR estimations and time horizon</t>
  </si>
  <si>
    <t>Table of Contents</t>
  </si>
  <si>
    <t>Activity Description</t>
  </si>
  <si>
    <t>One should read this sheet first, as it offers a summary of the project, a list of components, and states the economic rationale for the project.</t>
  </si>
  <si>
    <t>ERR &amp; Sensitivity Analysis</t>
  </si>
  <si>
    <t>This worksheet highlights key assumptions and summarizes how the ERR may change due to varying costs and benefits.</t>
  </si>
  <si>
    <t>Cost-Benefit Summary</t>
  </si>
  <si>
    <t>This worksheet presents the aggregated costs and benefits from the project activities year-by-year, calculating a combined ERR</t>
  </si>
  <si>
    <t>Beneficiaries</t>
  </si>
  <si>
    <t>The roads project interventions include key segments of the Estrada Nacional/National Route1in Zambézia, Nampula and Cabo Delgado Provinces. It is planned that the Roads Project will rehabilitate 491 kilometers of high-priority roads in three provinces. The rehabilitated roads are anticipated to address these issues, expanding connectivity across the northern region, improving linkages with southern Mozambique, and filling in key gaps in the road network in the Northern provinces.</t>
  </si>
  <si>
    <t xml:space="preserve">The benefits for the Roads Project stem from </t>
  </si>
  <si>
    <t>(i) Reduction of transport time</t>
  </si>
  <si>
    <t>(ii) Reduction of vehicle operating costs for both normal and induced traffic</t>
  </si>
  <si>
    <t>Recurring maintenance for road network.</t>
  </si>
  <si>
    <t>10.3% over 20 years</t>
  </si>
  <si>
    <t>Summary</t>
  </si>
  <si>
    <t>Poor transport infrastructure and a poorly-connected road network are key constraints to development of agriculture, industry, and commerce in northern Mozambique and an impediment to access to markets and ports for businesses at all levels, from individual smallholders to small, medium, and large enterprises.  The rehabilitated roads are anticipated to address these issues, expanding connectivity across the northern region, improving linkages with southern Mozambique, and filling in key gaps in the road network in the Northern provinces.</t>
  </si>
  <si>
    <t>Components</t>
  </si>
  <si>
    <t xml:space="preserve">The Roads Project includes key segments of the Estrada Nacional/National Route 1 in Zambézia, Nampula and Cabo Delgado Provinces. It is planned that the Roads Project will rehabilitate 491 kilometers of high-priority roads in three provinces. The rehabilitated road segments will include: </t>
  </si>
  <si>
    <t>Economic Rationale</t>
  </si>
  <si>
    <t>The economic analysis follows the established World Bank methodology for transport projects, which analyzes the project’s impact on reducing transport costs. Specifically, there are two direct benefit streams – savings in vehicle operating costs and time savings. In addition, each of these benefit streams is disaggregated by normal and generated vehicle traffic, as the costs savings for each are different. Vehicle operating costs (“VOC”) typically consist of costs to the user such as general wear and tear, maintenance and fuel; vehicle operating costs also are directly related to the roughness of the road, measured by the World Bank’s International Roughness Index (IRI). Time savings are based on reductions in travel time and the average wage of the different types of passengers. Normal traffic consists of those vehicles that would continue to travel on the road, at the same frequency and length, even without the project; these travelers receive the largest savings. Generated traffic includes road users driving more frequently or further due to the decreased transport costs.</t>
  </si>
  <si>
    <t>The transport cost reductions are based on the assumption that the IRI of the roads will decreased from an average of about 10 to 3.5 meters per kilometer – a much smoother surface typical of newly-paved roads. Normal traffic growth rates are assumed to range from 5.2 to 5.6 percent per year and generated traffic as a result of road improvements of 10 percent of the normal traffic growth rate or an addition of around 0.5 percent per year. These are conservative assumptions, given concerns about financial sustainability and data reliability, for instance, with regard to traffic counts. The costs include an annual average maintenance cost of $14,846 that includes both annual and periodic maintenance.</t>
  </si>
  <si>
    <t>The economic analysis used the World Bank's Roads Economic Decision (RED) model to estimate these benefits.  Further information on the RED model is available at:</t>
  </si>
  <si>
    <t>http://www4.worldbank.org/afr/ssatp/Resources/HTML/Models/RED_3.2/red32_en.htm</t>
  </si>
  <si>
    <t xml:space="preserve">RED is a model designed to help evaluate investments in low-volume roads. The model is implemented in a series of Excel workbooks used for different functions.  The model computes benefits accruing to normal, generated, and diverted traffic, as a function of a reduction in vehicle operating and time costs.  For ease of presentation, we have included herein the key parameters for each road segment, as well as the resulting benefits and cost streams. </t>
  </si>
  <si>
    <t>ERR and sensitivity analysis</t>
  </si>
  <si>
    <r>
      <t xml:space="preserve">Change the </t>
    </r>
    <r>
      <rPr>
        <sz val="10"/>
        <color indexed="12"/>
        <rFont val="Arial"/>
        <family val="2"/>
      </rPr>
      <t>"User Input"</t>
    </r>
    <r>
      <rPr>
        <sz val="10"/>
        <rFont val="Arial"/>
        <family val="2"/>
      </rPr>
      <t xml:space="preserve"> cells in the table below to see the effect on the compact's Economic Rate of Return (ERR) and net benefits (see chart below).  To reset all values to the default MCC estimates, click the </t>
    </r>
    <r>
      <rPr>
        <sz val="10"/>
        <color indexed="12"/>
        <rFont val="Arial"/>
        <family val="2"/>
      </rPr>
      <t xml:space="preserve">"Reset Parameters" </t>
    </r>
    <r>
      <rPr>
        <sz val="10"/>
        <rFont val="Arial"/>
        <family val="2"/>
      </rPr>
      <t>button at right.  Be sure to reset all summary parameters to their original values ("MCC Estimate" values) before changing specific parameters.</t>
    </r>
  </si>
  <si>
    <t>Parameter type</t>
  </si>
  <si>
    <t>Description of key parameters</t>
  </si>
  <si>
    <t>Parameter values</t>
  </si>
  <si>
    <t>User Input</t>
  </si>
  <si>
    <t>MCC Estimate</t>
  </si>
  <si>
    <t>Plausible Range</t>
  </si>
  <si>
    <t xml:space="preserve">Values used in ERR computation </t>
  </si>
  <si>
    <t>All summary parameters set to initial values?</t>
  </si>
  <si>
    <t>Actual costs as a percentage of estimated costs</t>
  </si>
  <si>
    <t>80%-120%</t>
  </si>
  <si>
    <t>Actual benefits as a percentage of estimated benefits</t>
  </si>
  <si>
    <t xml:space="preserve">User Generated Economic rate of return (ERR)*: </t>
  </si>
  <si>
    <t>MCC Estimated ERRs:</t>
  </si>
  <si>
    <t>Revised</t>
  </si>
  <si>
    <t>ERR</t>
  </si>
  <si>
    <t>NA</t>
  </si>
  <si>
    <t>Date</t>
  </si>
  <si>
    <t xml:space="preserve">* This is the only ERR figure linked to other spreadsheets. "Original," "Revised," and "Closeout" ERRs are all static for purposes of illustration. </t>
  </si>
  <si>
    <t>Project Design History</t>
  </si>
  <si>
    <t>Closeout Project</t>
  </si>
  <si>
    <t>The World Bank’s RED model was used at Compact signing to calculate an ERR for each proposed road, while at re-scoping, the HDM4 model was used and two runs for each road were included to identify those that should still be funded – one assuming high, subsequent maintenance and the other assuming low maintenance.</t>
  </si>
  <si>
    <t>Present Value (PV) of Benefits, Millions 2009 USD:</t>
  </si>
  <si>
    <t>Present Value (PV) of MCC Costs, Millions 2009 USD:</t>
  </si>
  <si>
    <t>Total Costs</t>
  </si>
  <si>
    <t>Cost Summary</t>
  </si>
  <si>
    <t>Costs by road section</t>
  </si>
  <si>
    <t>Poverty Scorecard</t>
  </si>
  <si>
    <t>Mozambique</t>
  </si>
  <si>
    <r>
      <t xml:space="preserve">MCC Cost </t>
    </r>
    <r>
      <rPr>
        <b/>
        <sz val="8"/>
        <rFont val="Arial"/>
        <family val="2"/>
      </rPr>
      <t>(Millions USD)</t>
    </r>
  </si>
  <si>
    <t>20-Year ERR</t>
  </si>
  <si>
    <r>
      <t xml:space="preserve">Present Value </t>
    </r>
    <r>
      <rPr>
        <b/>
        <sz val="8"/>
        <rFont val="Arial"/>
        <family val="2"/>
      </rPr>
      <t>(PV)</t>
    </r>
    <r>
      <rPr>
        <b/>
        <sz val="9"/>
        <rFont val="Arial"/>
        <family val="2"/>
      </rPr>
      <t xml:space="preserve"> of Benefit Stream </t>
    </r>
    <r>
      <rPr>
        <b/>
        <sz val="8"/>
        <rFont val="Arial"/>
        <family val="2"/>
      </rPr>
      <t>(Millions 2005 PPP $)</t>
    </r>
  </si>
  <si>
    <t>Present Value (PV) of All Costs (Millions 2005 PPP $)</t>
  </si>
  <si>
    <t>Country</t>
  </si>
  <si>
    <t>Subject Descriptor</t>
  </si>
  <si>
    <t>Units</t>
  </si>
  <si>
    <t>Scale</t>
  </si>
  <si>
    <t>Country/Series-specific Notes</t>
  </si>
  <si>
    <t>Consumption per day (PPP $)</t>
  </si>
  <si>
    <t>United States</t>
  </si>
  <si>
    <t>Inflation, average consumer prices</t>
  </si>
  <si>
    <t>Index</t>
  </si>
  <si>
    <t>Source: National Statistical Office Latest actual data: 2013 Harmonized prices: No Frequency of source data: Monthly Base year: Base is 1982-1984=100 Primary domestic currency: U.S. dollars Data last updated: 03/2014</t>
  </si>
  <si>
    <t>Total</t>
  </si>
  <si>
    <t>&lt; $1.25</t>
  </si>
  <si>
    <r>
      <t xml:space="preserve">&lt; $2 </t>
    </r>
    <r>
      <rPr>
        <vertAlign val="superscript"/>
        <sz val="9"/>
        <rFont val="Arial"/>
        <family val="2"/>
      </rPr>
      <t>1</t>
    </r>
    <r>
      <rPr>
        <sz val="9"/>
        <rFont val="Arial"/>
        <family val="2"/>
      </rPr>
      <t xml:space="preserve"> </t>
    </r>
  </si>
  <si>
    <t>$2-$4</t>
  </si>
  <si>
    <t>&gt; $4</t>
  </si>
  <si>
    <t>Percent change</t>
  </si>
  <si>
    <t>See notes for:  Inflation, average consumer prices (Index).</t>
  </si>
  <si>
    <r>
      <t xml:space="preserve">Beneficiary Households in Year 20 </t>
    </r>
    <r>
      <rPr>
        <sz val="8"/>
        <rFont val="Arial"/>
        <family val="2"/>
      </rPr>
      <t>(#)</t>
    </r>
  </si>
  <si>
    <r>
      <t xml:space="preserve">Beneficiary Individuals in Year 20 </t>
    </r>
    <r>
      <rPr>
        <sz val="8"/>
        <rFont val="Arial"/>
        <family val="2"/>
      </rPr>
      <t>(#)</t>
    </r>
  </si>
  <si>
    <r>
      <t xml:space="preserve">National Population in Year 20 </t>
    </r>
    <r>
      <rPr>
        <vertAlign val="superscript"/>
        <sz val="9"/>
        <rFont val="Arial"/>
        <family val="2"/>
      </rPr>
      <t>2</t>
    </r>
    <r>
      <rPr>
        <sz val="9"/>
        <rFont val="Arial"/>
        <family val="2"/>
      </rPr>
      <t xml:space="preserve"> </t>
    </r>
    <r>
      <rPr>
        <sz val="8"/>
        <rFont val="Arial"/>
        <family val="2"/>
      </rPr>
      <t>(#)</t>
    </r>
  </si>
  <si>
    <t>Household size</t>
  </si>
  <si>
    <t>2009 Household survey data</t>
  </si>
  <si>
    <r>
      <t xml:space="preserve">Beneficiary Population by Poverty Level </t>
    </r>
    <r>
      <rPr>
        <sz val="8"/>
        <rFont val="Arial"/>
        <family val="2"/>
      </rPr>
      <t xml:space="preserve">(%) </t>
    </r>
    <r>
      <rPr>
        <vertAlign val="superscript"/>
        <sz val="8"/>
        <rFont val="Arial"/>
        <family val="2"/>
      </rPr>
      <t>3</t>
    </r>
  </si>
  <si>
    <t>Population Growth</t>
  </si>
  <si>
    <t>2012 UN Estiamte</t>
  </si>
  <si>
    <r>
      <t xml:space="preserve">National Population by Poverty Level </t>
    </r>
    <r>
      <rPr>
        <vertAlign val="superscript"/>
        <sz val="9"/>
        <rFont val="Arial"/>
        <family val="2"/>
      </rPr>
      <t>4</t>
    </r>
    <r>
      <rPr>
        <sz val="9"/>
        <rFont val="Arial"/>
        <family val="2"/>
      </rPr>
      <t xml:space="preserve"> </t>
    </r>
    <r>
      <rPr>
        <sz val="8"/>
        <rFont val="Arial"/>
        <family val="2"/>
      </rPr>
      <t>(%)</t>
    </r>
  </si>
  <si>
    <t>Population 2012</t>
  </si>
  <si>
    <t>The Magnitude of the Benefits</t>
  </si>
  <si>
    <t xml:space="preserve">PV of Benefit Stream Per Beneficiary Individual (USD) </t>
  </si>
  <si>
    <r>
      <t>PV of Benefit Stream as Share of Annual Income</t>
    </r>
    <r>
      <rPr>
        <sz val="8"/>
        <rFont val="Arial"/>
        <family val="2"/>
      </rPr>
      <t xml:space="preserve"> (%)</t>
    </r>
  </si>
  <si>
    <t>Cost Effectiveness</t>
  </si>
  <si>
    <r>
      <t xml:space="preserve">PV of Benefit Stream/Project Dollar </t>
    </r>
    <r>
      <rPr>
        <sz val="8"/>
        <rFont val="Arial"/>
        <family val="2"/>
      </rPr>
      <t>(USD/USD)</t>
    </r>
  </si>
  <si>
    <r>
      <t xml:space="preserve">Percent of Project Participants Who Are Female </t>
    </r>
    <r>
      <rPr>
        <vertAlign val="superscript"/>
        <sz val="9"/>
        <rFont val="Arial"/>
        <family val="2"/>
      </rPr>
      <t>5</t>
    </r>
  </si>
  <si>
    <r>
      <t xml:space="preserve">GNI per capita </t>
    </r>
    <r>
      <rPr>
        <vertAlign val="superscript"/>
        <sz val="9"/>
        <rFont val="Arial"/>
        <family val="2"/>
      </rPr>
      <t xml:space="preserve">6 </t>
    </r>
    <r>
      <rPr>
        <sz val="9"/>
        <rFont val="Arial"/>
        <family val="2"/>
      </rPr>
      <t>(USD)</t>
    </r>
  </si>
  <si>
    <t>Current National Population</t>
  </si>
  <si>
    <t>25.2 million</t>
  </si>
  <si>
    <t>NB: all benefits incremental; PVs based on 10% discount rate and exclude MCC costs but net out any local costs</t>
  </si>
  <si>
    <r>
      <t xml:space="preserve">1   </t>
    </r>
    <r>
      <rPr>
        <sz val="8"/>
        <rFont val="Arial"/>
        <family val="2"/>
      </rPr>
      <t>The beneficiaries and population living on less than $2 per day include those under $1.25 per day</t>
    </r>
  </si>
  <si>
    <r>
      <t xml:space="preserve">2    </t>
    </r>
    <r>
      <rPr>
        <sz val="8"/>
        <rFont val="Arial"/>
        <family val="2"/>
      </rPr>
      <t>Based on estimated 2012 population (UN population estimates), projected to Year 20</t>
    </r>
  </si>
  <si>
    <r>
      <t xml:space="preserve">3,4 </t>
    </r>
    <r>
      <rPr>
        <sz val="8"/>
        <rFont val="Arial"/>
        <family val="2"/>
      </rPr>
      <t>National Household survey data, 2008</t>
    </r>
  </si>
  <si>
    <r>
      <t xml:space="preserve">5,6 </t>
    </r>
    <r>
      <rPr>
        <sz val="8"/>
        <rFont val="Arial"/>
        <family val="2"/>
      </rPr>
      <t>CIA World Factbook, converted to PPP</t>
    </r>
  </si>
  <si>
    <t>Roads Project</t>
  </si>
  <si>
    <t>Costs Multiplier</t>
  </si>
  <si>
    <t>Benefits Multiplier</t>
  </si>
  <si>
    <t>Last updated: 1/18/2014</t>
  </si>
  <si>
    <t>Mozambique:  Rehabilitation/Construction of Roads Project</t>
  </si>
  <si>
    <t>$176.3 million</t>
  </si>
  <si>
    <t>Mozambique: Rehabilitation/Construction of Roads Project</t>
  </si>
  <si>
    <t>The roads project interventions include key segments of the Estrada Nacional/National Route 1 in Nampula and Cabo Delgado Provinces. It is planned that the Roads Project will rehabilitate 252 kilometers of high-priority roads in three provinces. The rehabilitated roads are anticipated to address these issues, expanding connectivity across the northern region, improving linkages with southern Mozambique, and filling in key gaps in the road network in the Northern provinces.</t>
  </si>
  <si>
    <t>NPV Benefits, Roads</t>
  </si>
  <si>
    <t>Total Benefits, Both Roads (Millions 2009 USD)</t>
  </si>
  <si>
    <t>Total Costs, Roads (Millions 2009 USD)</t>
  </si>
  <si>
    <t>All Values in millions 2009 USD unless otherwise stated</t>
  </si>
  <si>
    <t>The Roads Project was re-scoped in January due to projected costs that were 50 percent higher than budgeted.  Originally, the Project was intended to rehabilitate 491 kilometers of high priority roads in three provinces.  After re-scoping, the Project was reduced to 252 kilometers of high priority roads:  the Namialo–Rio Lúrio (149.7 kilometers) and Nampula–Rio Ligonha (103.0 kilometers) road segments in Nampula Province.</t>
  </si>
  <si>
    <t xml:space="preserve">
• Namialo – Rio Lurio (149.7 kilometers) in Nampula
• Nampula – Rio Ligonha (103 kilometers) in Nampula 
</t>
  </si>
  <si>
    <t>EN1 Highway Construction</t>
  </si>
  <si>
    <t>Namialo - Rio Lurio</t>
  </si>
  <si>
    <t>Lot 1</t>
  </si>
  <si>
    <t>Roads</t>
  </si>
  <si>
    <t>Compact Signing</t>
  </si>
  <si>
    <t>Double Surface Treatment</t>
  </si>
  <si>
    <t>Rehab/Recon</t>
  </si>
  <si>
    <t>Lot 2</t>
  </si>
  <si>
    <t>Design Estimate</t>
  </si>
  <si>
    <t>Contract Award</t>
  </si>
  <si>
    <t>Total Payments</t>
  </si>
  <si>
    <t>Nicoadala - Chimuara</t>
  </si>
  <si>
    <t>Rio Ligonha - Nampula</t>
  </si>
  <si>
    <t>Rio Lurio - Metoro</t>
  </si>
  <si>
    <t>Total Payments-GOM Disbursement</t>
  </si>
  <si>
    <t>Project</t>
  </si>
  <si>
    <t>Activity</t>
  </si>
  <si>
    <t>Sub-Activity (Description)</t>
  </si>
  <si>
    <t>Task (Contract)</t>
  </si>
  <si>
    <t>Name</t>
  </si>
  <si>
    <t>DAC Code</t>
  </si>
  <si>
    <t>INFRA Sector</t>
  </si>
  <si>
    <t>Phase</t>
  </si>
  <si>
    <t>Cost</t>
  </si>
  <si>
    <t>Length</t>
  </si>
  <si>
    <t>Cost/Length</t>
  </si>
  <si>
    <t>Lanes</t>
  </si>
  <si>
    <t>Traffic (AADT)</t>
  </si>
  <si>
    <t>Material</t>
  </si>
  <si>
    <t>New or Rehab/Recon</t>
  </si>
  <si>
    <t>IRI</t>
  </si>
  <si>
    <t>Volume</t>
  </si>
  <si>
    <t>Planning: Total amount of Engineering</t>
  </si>
  <si>
    <t>Planning: Proportion of engineering prior to FA</t>
  </si>
  <si>
    <t>Plannning: Quality of MCA oversight</t>
  </si>
  <si>
    <t>Procurement: Quality of Documents (?)</t>
  </si>
  <si>
    <t># of QUALIFIED Bidders</t>
  </si>
  <si>
    <t>Diff Contract Vs Average Bid</t>
  </si>
  <si>
    <t xml:space="preserve">Imp: CPIA Public Admin </t>
  </si>
  <si>
    <t>Imp: % Design Cost to FC</t>
  </si>
  <si>
    <t>Avg Assets/Liab Ratio</t>
  </si>
  <si>
    <t>FT/Project Size</t>
  </si>
  <si>
    <t>Avg Debt/Assets Ratio</t>
  </si>
  <si>
    <t>Hectares</t>
  </si>
  <si>
    <t>Technology</t>
  </si>
  <si>
    <t>Canals vs. Pressurized pipes</t>
  </si>
  <si>
    <t>Rehabilitation vs Greenfield</t>
  </si>
  <si>
    <t>Portion of System</t>
  </si>
  <si>
    <t>Notes</t>
  </si>
  <si>
    <t>MCC Costs</t>
  </si>
  <si>
    <t>Mozambique Government Expenditures</t>
  </si>
  <si>
    <t>Nampula-Rio Ligonha</t>
  </si>
  <si>
    <t>Total Construction Costs</t>
  </si>
  <si>
    <t>Costs by Year</t>
  </si>
  <si>
    <t>Variable</t>
  </si>
  <si>
    <t>Mozambique Government</t>
  </si>
  <si>
    <t>Expenditures by year</t>
  </si>
  <si>
    <t>% 0f Total</t>
  </si>
  <si>
    <t>2009 USD</t>
  </si>
  <si>
    <t>NOTES</t>
  </si>
  <si>
    <t>Investment Memo &amp; Original engineering estimates of costs.</t>
  </si>
  <si>
    <t>Design Engineering Estimates.</t>
  </si>
  <si>
    <t>Measured payments by lot and road segment.</t>
  </si>
  <si>
    <t>Data provided by Mozambique government after compact.</t>
  </si>
  <si>
    <t>Based on engineering estimates on the amount of construction completed each year.</t>
  </si>
  <si>
    <t>High maintenance</t>
  </si>
  <si>
    <t>Low Maintenance</t>
  </si>
  <si>
    <t>High Maintenance</t>
  </si>
  <si>
    <t>Year</t>
  </si>
  <si>
    <t>Current Exchange Rate (LCU/USD)</t>
  </si>
  <si>
    <t>Foreign Inflation Factor (US)</t>
  </si>
  <si>
    <t>Domestic Inflation Factor</t>
  </si>
  <si>
    <t>Dollar Conversion</t>
  </si>
  <si>
    <t>Calculations for Inflation in MT and USD</t>
  </si>
  <si>
    <t>Feasibility and Design Costs</t>
  </si>
  <si>
    <t>Feasibility and Design Costs, total</t>
  </si>
  <si>
    <t>$127.7 million</t>
  </si>
  <si>
    <t>7.3% over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</si>
</sst>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0_);\(#,##0.0000\)"/>
    <numFmt numFmtId="166" formatCode="_(* #,##0.0000_);_(* \(#,##0.0000\);_(* &quot;-&quot;??_);_(@_)"/>
    <numFmt numFmtId="167" formatCode="#,##0.000000_);\(#,##0.000000\)"/>
    <numFmt numFmtId="168" formatCode="0.000%"/>
    <numFmt numFmtId="169" formatCode="0.0%"/>
    <numFmt numFmtId="170" formatCode="0.0"/>
    <numFmt numFmtId="171" formatCode="_(&quot;$&quot;* #,##0_);_(&quot;$&quot;* \(#,##0\);_(&quot;$&quot;* &quot;-&quot;??_);_(@_)"/>
    <numFmt numFmtId="172" formatCode="#,##0.0_);\(#,##0.0\)"/>
    <numFmt numFmtId="173" formatCode="&quot;$&quot;#,##0"/>
    <numFmt numFmtId="174" formatCode="0.0,,"/>
    <numFmt numFmtId="175" formatCode="0,,"/>
    <numFmt numFmtId="176" formatCode="0.0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i/>
      <sz val="11"/>
      <name val="Calibri"/>
      <family val="2"/>
      <scheme val="minor"/>
    </font>
    <font>
      <sz val="8"/>
      <color indexed="81"/>
      <name val="Tahoma"/>
      <family val="2"/>
    </font>
    <font>
      <b/>
      <sz val="8"/>
      <color indexed="81"/>
      <name val="Tahoma"/>
      <family val="2"/>
    </font>
    <font>
      <sz val="11"/>
      <color rgb="FFFF0000"/>
      <name val="Calibri"/>
      <family val="2"/>
      <scheme val="minor"/>
    </font>
    <font>
      <sz val="10"/>
      <name val="Arial"/>
      <family val="2"/>
    </font>
    <font>
      <sz val="8"/>
      <color rgb="FF008000"/>
      <name val="Arial"/>
      <family val="2"/>
    </font>
    <font>
      <b/>
      <sz val="16"/>
      <name val="Arial"/>
      <family val="2"/>
    </font>
    <font>
      <sz val="14"/>
      <name val="Arial"/>
      <family val="2"/>
    </font>
    <font>
      <b/>
      <sz val="10"/>
      <name val="Arial"/>
      <family val="2"/>
    </font>
    <font>
      <b/>
      <sz val="10"/>
      <color theme="0" tint="-0.499984740745262"/>
      <name val="Arial"/>
      <family val="2"/>
    </font>
    <font>
      <sz val="10"/>
      <color theme="0" tint="-0.34998626667073579"/>
      <name val="Arial"/>
      <family val="2"/>
    </font>
    <font>
      <sz val="8"/>
      <color theme="0" tint="-0.34998626667073579"/>
      <name val="Arial"/>
      <family val="2"/>
    </font>
    <font>
      <sz val="8"/>
      <color theme="1"/>
      <name val="Arial"/>
      <family val="2"/>
    </font>
    <font>
      <sz val="8"/>
      <name val="Arial"/>
      <family val="2"/>
    </font>
    <font>
      <sz val="10"/>
      <color theme="1"/>
      <name val="Arial"/>
      <family val="2"/>
    </font>
    <font>
      <sz val="10"/>
      <name val="Times New Roman"/>
      <family val="1"/>
    </font>
    <font>
      <u/>
      <sz val="10"/>
      <color indexed="12"/>
      <name val="Arial"/>
      <family val="2"/>
    </font>
    <font>
      <sz val="8"/>
      <color indexed="17"/>
      <name val="Arial"/>
      <family val="2"/>
    </font>
    <font>
      <b/>
      <sz val="12"/>
      <name val="Arial"/>
      <family val="2"/>
    </font>
    <font>
      <sz val="10"/>
      <color indexed="12"/>
      <name val="Arial"/>
      <family val="2"/>
    </font>
    <font>
      <b/>
      <sz val="10"/>
      <color indexed="12"/>
      <name val="Arial"/>
      <family val="2"/>
    </font>
    <font>
      <sz val="10"/>
      <color indexed="23"/>
      <name val="Arial"/>
      <family val="2"/>
    </font>
    <font>
      <b/>
      <sz val="10"/>
      <color indexed="55"/>
      <name val="Arial"/>
      <family val="2"/>
    </font>
    <font>
      <b/>
      <sz val="10"/>
      <color indexed="9"/>
      <name val="Arial"/>
      <family val="2"/>
    </font>
    <font>
      <b/>
      <sz val="10"/>
      <color theme="0"/>
      <name val="Arial"/>
      <family val="2"/>
    </font>
    <font>
      <b/>
      <sz val="10"/>
      <color theme="0" tint="-0.34998626667073579"/>
      <name val="Arial"/>
      <family val="2"/>
    </font>
    <font>
      <b/>
      <sz val="12"/>
      <color indexed="12"/>
      <name val="Arial"/>
      <family val="2"/>
    </font>
    <font>
      <sz val="10"/>
      <color indexed="42"/>
      <name val="Arial"/>
      <family val="2"/>
    </font>
    <font>
      <b/>
      <sz val="11"/>
      <name val="Arial"/>
      <family val="2"/>
    </font>
    <font>
      <sz val="9"/>
      <name val="Arial"/>
      <family val="2"/>
    </font>
    <font>
      <b/>
      <sz val="9"/>
      <name val="Arial"/>
      <family val="2"/>
    </font>
    <font>
      <b/>
      <sz val="8"/>
      <name val="Arial"/>
      <family val="2"/>
    </font>
    <font>
      <vertAlign val="superscript"/>
      <sz val="9"/>
      <name val="Arial"/>
      <family val="2"/>
    </font>
    <font>
      <vertAlign val="superscript"/>
      <sz val="8"/>
      <name val="Arial"/>
      <family val="2"/>
    </font>
    <font>
      <sz val="10"/>
      <color indexed="9"/>
      <name val="Arial"/>
      <family val="2"/>
    </font>
    <font>
      <sz val="9"/>
      <color indexed="12"/>
      <name val="Arial"/>
      <family val="2"/>
    </font>
    <font>
      <b/>
      <sz val="16"/>
      <color theme="1"/>
      <name val="Calibri"/>
      <family val="2"/>
      <scheme val="minor"/>
    </font>
    <font>
      <b/>
      <u/>
      <sz val="10"/>
      <name val="Arial"/>
      <family val="2"/>
    </font>
    <font>
      <b/>
      <sz val="9"/>
      <color indexed="81"/>
      <name val="Tahoma"/>
      <family val="2"/>
    </font>
    <font>
      <sz val="9"/>
      <color indexed="81"/>
      <name val="Tahoma"/>
      <family val="2"/>
    </font>
    <font>
      <i/>
      <sz val="10"/>
      <color theme="3"/>
      <name val="Arial"/>
      <family val="2"/>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
      <patternFill patternType="solid">
        <fgColor indexed="43"/>
        <bgColor indexed="64"/>
      </patternFill>
    </fill>
    <fill>
      <patternFill patternType="solid">
        <fgColor indexed="42"/>
        <bgColor indexed="64"/>
      </patternFill>
    </fill>
    <fill>
      <patternFill patternType="solid">
        <fgColor rgb="FFC00000"/>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right/>
      <top/>
      <bottom style="thin">
        <color indexed="39"/>
      </bottom>
      <diagonal/>
    </border>
    <border>
      <left/>
      <right/>
      <top style="thin">
        <color indexed="39"/>
      </top>
      <bottom/>
      <diagonal/>
    </border>
    <border>
      <left/>
      <right/>
      <top/>
      <bottom style="thin">
        <color indexed="12"/>
      </bottom>
      <diagonal/>
    </border>
    <border>
      <left/>
      <right/>
      <top style="thin">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0" fontId="20" fillId="0" borderId="0"/>
    <xf numFmtId="0" fontId="21" fillId="0" borderId="0" applyNumberFormat="0" applyFill="0" applyBorder="0" applyAlignment="0" applyProtection="0">
      <alignment vertical="top"/>
      <protection locked="0"/>
    </xf>
    <xf numFmtId="0" fontId="9"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1" fillId="0" borderId="0"/>
    <xf numFmtId="44" fontId="1" fillId="0" borderId="0" applyFont="0" applyFill="0" applyBorder="0" applyAlignment="0" applyProtection="0"/>
  </cellStyleXfs>
  <cellXfs count="397">
    <xf numFmtId="0" fontId="0" fillId="0" borderId="0" xfId="0"/>
    <xf numFmtId="10" fontId="0" fillId="0" borderId="3" xfId="0" applyNumberFormat="1" applyFont="1" applyBorder="1"/>
    <xf numFmtId="9" fontId="0" fillId="0" borderId="0" xfId="0" applyNumberFormat="1" applyFont="1"/>
    <xf numFmtId="0" fontId="0" fillId="0" borderId="0" xfId="0" applyFont="1"/>
    <xf numFmtId="10" fontId="0" fillId="0" borderId="8" xfId="0" applyNumberFormat="1" applyFont="1" applyBorder="1"/>
    <xf numFmtId="0" fontId="0" fillId="0" borderId="8" xfId="0" applyFont="1" applyBorder="1"/>
    <xf numFmtId="165" fontId="0" fillId="0" borderId="0" xfId="0" applyNumberFormat="1" applyFont="1"/>
    <xf numFmtId="10" fontId="0" fillId="2" borderId="6" xfId="0" applyNumberFormat="1" applyFont="1" applyFill="1" applyBorder="1"/>
    <xf numFmtId="0" fontId="4" fillId="0" borderId="0" xfId="0" applyFont="1"/>
    <xf numFmtId="0" fontId="5" fillId="0" borderId="7" xfId="0" applyFont="1" applyBorder="1"/>
    <xf numFmtId="0" fontId="4" fillId="0" borderId="0" xfId="0" applyFont="1" applyBorder="1"/>
    <xf numFmtId="0" fontId="4" fillId="0" borderId="7" xfId="0" applyFont="1" applyFill="1" applyBorder="1"/>
    <xf numFmtId="164" fontId="4" fillId="0" borderId="0" xfId="1" applyNumberFormat="1" applyFont="1" applyFill="1" applyBorder="1"/>
    <xf numFmtId="165" fontId="4" fillId="0" borderId="0" xfId="1" applyNumberFormat="1" applyFont="1" applyFill="1" applyBorder="1"/>
    <xf numFmtId="166" fontId="4" fillId="0" borderId="8" xfId="1" applyNumberFormat="1" applyFont="1" applyFill="1" applyBorder="1"/>
    <xf numFmtId="165" fontId="4" fillId="0" borderId="8" xfId="1" applyNumberFormat="1" applyFont="1" applyFill="1" applyBorder="1"/>
    <xf numFmtId="0" fontId="4" fillId="0" borderId="0" xfId="0" applyFont="1" applyFill="1"/>
    <xf numFmtId="0" fontId="5" fillId="0" borderId="7" xfId="0" applyFont="1" applyFill="1" applyBorder="1"/>
    <xf numFmtId="0" fontId="4" fillId="0" borderId="4" xfId="0" applyFont="1" applyFill="1" applyBorder="1"/>
    <xf numFmtId="164" fontId="4" fillId="0" borderId="5" xfId="1" applyNumberFormat="1" applyFont="1" applyFill="1" applyBorder="1"/>
    <xf numFmtId="166" fontId="4" fillId="0" borderId="5" xfId="1" applyNumberFormat="1" applyFont="1" applyFill="1" applyBorder="1"/>
    <xf numFmtId="0" fontId="4" fillId="0" borderId="1" xfId="0" applyFont="1" applyFill="1" applyBorder="1"/>
    <xf numFmtId="165" fontId="4" fillId="0" borderId="5" xfId="1" applyNumberFormat="1" applyFont="1" applyFill="1" applyBorder="1"/>
    <xf numFmtId="0" fontId="4" fillId="0" borderId="0" xfId="0" applyFont="1" applyFill="1" applyBorder="1"/>
    <xf numFmtId="8" fontId="0" fillId="0" borderId="0" xfId="0" applyNumberFormat="1" applyFont="1" applyFill="1"/>
    <xf numFmtId="6" fontId="0" fillId="0" borderId="0" xfId="0" applyNumberFormat="1" applyFont="1" applyFill="1"/>
    <xf numFmtId="0" fontId="0" fillId="0" borderId="7" xfId="0" applyFont="1" applyBorder="1"/>
    <xf numFmtId="9" fontId="0" fillId="0" borderId="8" xfId="0" applyNumberFormat="1" applyFont="1" applyBorder="1"/>
    <xf numFmtId="8" fontId="0" fillId="0" borderId="8" xfId="0" applyNumberFormat="1" applyFont="1" applyBorder="1"/>
    <xf numFmtId="8" fontId="0" fillId="3" borderId="8" xfId="0" applyNumberFormat="1" applyFont="1" applyFill="1" applyBorder="1"/>
    <xf numFmtId="0" fontId="3" fillId="0" borderId="9" xfId="0" applyFont="1" applyFill="1" applyBorder="1"/>
    <xf numFmtId="0" fontId="2" fillId="0" borderId="10" xfId="0" applyFont="1" applyBorder="1"/>
    <xf numFmtId="0" fontId="4" fillId="0" borderId="11" xfId="0" applyFont="1" applyFill="1" applyBorder="1"/>
    <xf numFmtId="8" fontId="0" fillId="3" borderId="12" xfId="0" applyNumberFormat="1" applyFont="1" applyFill="1" applyBorder="1"/>
    <xf numFmtId="8" fontId="0" fillId="0" borderId="3" xfId="0" applyNumberFormat="1" applyFont="1" applyBorder="1"/>
    <xf numFmtId="8" fontId="0" fillId="0" borderId="6" xfId="0" applyNumberFormat="1" applyFont="1" applyBorder="1"/>
    <xf numFmtId="0" fontId="3" fillId="0" borderId="13" xfId="0" applyFont="1" applyFill="1" applyBorder="1"/>
    <xf numFmtId="0" fontId="2" fillId="0" borderId="14" xfId="0" applyFont="1" applyBorder="1"/>
    <xf numFmtId="43" fontId="0" fillId="0" borderId="0" xfId="0" applyNumberFormat="1" applyFont="1"/>
    <xf numFmtId="0" fontId="3" fillId="0" borderId="13" xfId="0" applyFont="1" applyBorder="1"/>
    <xf numFmtId="0" fontId="4" fillId="0" borderId="15" xfId="0" applyFont="1" applyBorder="1"/>
    <xf numFmtId="0" fontId="3" fillId="0" borderId="15" xfId="0" applyFont="1" applyBorder="1"/>
    <xf numFmtId="0" fontId="3" fillId="0" borderId="14" xfId="0" applyFont="1" applyBorder="1"/>
    <xf numFmtId="168" fontId="0" fillId="3" borderId="0" xfId="0" applyNumberFormat="1" applyFont="1" applyFill="1"/>
    <xf numFmtId="168" fontId="0" fillId="0" borderId="0" xfId="0" applyNumberFormat="1" applyFont="1"/>
    <xf numFmtId="0" fontId="3" fillId="0" borderId="0" xfId="0" applyFont="1" applyBorder="1"/>
    <xf numFmtId="2" fontId="0" fillId="0" borderId="0" xfId="0" applyNumberFormat="1" applyFont="1" applyFill="1"/>
    <xf numFmtId="39" fontId="4" fillId="0" borderId="0" xfId="0" applyNumberFormat="1" applyFont="1" applyBorder="1"/>
    <xf numFmtId="0" fontId="3" fillId="4" borderId="13" xfId="0" applyFont="1" applyFill="1" applyBorder="1"/>
    <xf numFmtId="0" fontId="4" fillId="4" borderId="15" xfId="0" applyFont="1" applyFill="1" applyBorder="1"/>
    <xf numFmtId="0" fontId="3" fillId="4" borderId="15" xfId="0" applyFont="1" applyFill="1" applyBorder="1"/>
    <xf numFmtId="0" fontId="3" fillId="4" borderId="14" xfId="0" applyFont="1" applyFill="1" applyBorder="1"/>
    <xf numFmtId="0" fontId="4" fillId="4" borderId="0" xfId="0" applyFont="1" applyFill="1"/>
    <xf numFmtId="0" fontId="0" fillId="0" borderId="0" xfId="0" applyBorder="1"/>
    <xf numFmtId="0" fontId="0" fillId="0" borderId="1" xfId="0" applyBorder="1"/>
    <xf numFmtId="0" fontId="0" fillId="0" borderId="7" xfId="0" applyBorder="1"/>
    <xf numFmtId="0" fontId="0" fillId="0" borderId="4" xfId="0" applyBorder="1"/>
    <xf numFmtId="9" fontId="0" fillId="0" borderId="0" xfId="0" applyNumberFormat="1" applyBorder="1"/>
    <xf numFmtId="10" fontId="0" fillId="0" borderId="14" xfId="0" applyNumberFormat="1" applyBorder="1"/>
    <xf numFmtId="10" fontId="0" fillId="0" borderId="14" xfId="0" applyNumberFormat="1" applyFont="1" applyBorder="1"/>
    <xf numFmtId="10" fontId="0" fillId="2" borderId="14" xfId="0" applyNumberFormat="1" applyFont="1" applyFill="1" applyBorder="1"/>
    <xf numFmtId="0" fontId="8" fillId="0" borderId="7" xfId="0" applyFont="1" applyFill="1" applyBorder="1"/>
    <xf numFmtId="164" fontId="8" fillId="0" borderId="0" xfId="1" applyNumberFormat="1" applyFont="1" applyFill="1" applyBorder="1"/>
    <xf numFmtId="165" fontId="8" fillId="0" borderId="0" xfId="1" applyNumberFormat="1" applyFont="1" applyFill="1" applyBorder="1"/>
    <xf numFmtId="0" fontId="8" fillId="0" borderId="0" xfId="0" applyFont="1" applyFill="1"/>
    <xf numFmtId="165" fontId="3" fillId="0" borderId="0" xfId="1" applyNumberFormat="1" applyFont="1" applyFill="1" applyBorder="1"/>
    <xf numFmtId="169" fontId="8" fillId="0" borderId="0" xfId="2" applyNumberFormat="1" applyFont="1" applyFill="1" applyBorder="1"/>
    <xf numFmtId="9" fontId="0" fillId="0" borderId="0" xfId="0" applyNumberFormat="1"/>
    <xf numFmtId="0" fontId="0" fillId="0" borderId="0" xfId="0" applyFont="1" applyFill="1" applyBorder="1"/>
    <xf numFmtId="0" fontId="9" fillId="0" borderId="0" xfId="4"/>
    <xf numFmtId="0" fontId="13" fillId="0" borderId="16" xfId="4" applyFont="1" applyBorder="1" applyAlignment="1">
      <alignment horizontal="left" vertical="center" wrapText="1"/>
    </xf>
    <xf numFmtId="0" fontId="14" fillId="0" borderId="17" xfId="0" applyFont="1" applyFill="1" applyBorder="1"/>
    <xf numFmtId="0" fontId="13" fillId="0" borderId="18" xfId="0" applyFont="1" applyFill="1" applyBorder="1"/>
    <xf numFmtId="0" fontId="13" fillId="0" borderId="0" xfId="4" applyFont="1" applyAlignment="1">
      <alignment vertical="center"/>
    </xf>
    <xf numFmtId="0" fontId="9" fillId="0" borderId="0" xfId="4" applyAlignment="1">
      <alignment vertical="center"/>
    </xf>
    <xf numFmtId="0" fontId="13" fillId="0" borderId="19" xfId="4" applyFont="1" applyBorder="1" applyAlignment="1">
      <alignment horizontal="left" vertical="center" wrapText="1"/>
    </xf>
    <xf numFmtId="14" fontId="15" fillId="0" borderId="20" xfId="4" applyNumberFormat="1" applyFont="1" applyFill="1" applyBorder="1" applyAlignment="1">
      <alignment horizontal="left" vertical="center" wrapText="1"/>
    </xf>
    <xf numFmtId="14" fontId="9" fillId="0" borderId="21" xfId="4" applyNumberFormat="1" applyFont="1" applyFill="1" applyBorder="1" applyAlignment="1">
      <alignment horizontal="left" vertical="center" wrapText="1"/>
    </xf>
    <xf numFmtId="6" fontId="15" fillId="0" borderId="20" xfId="4" applyNumberFormat="1" applyFont="1" applyFill="1" applyBorder="1" applyAlignment="1">
      <alignment horizontal="left" vertical="center" wrapText="1"/>
    </xf>
    <xf numFmtId="6" fontId="9" fillId="0" borderId="21" xfId="4" applyNumberFormat="1" applyFont="1" applyFill="1" applyBorder="1" applyAlignment="1">
      <alignment horizontal="left" vertical="center" wrapText="1"/>
    </xf>
    <xf numFmtId="0" fontId="13" fillId="0" borderId="22" xfId="0" applyFont="1" applyBorder="1" applyAlignment="1">
      <alignment vertical="center"/>
    </xf>
    <xf numFmtId="0" fontId="16" fillId="0" borderId="20" xfId="4" applyFont="1" applyFill="1" applyBorder="1" applyAlignment="1">
      <alignment horizontal="justify" vertical="center" wrapText="1"/>
    </xf>
    <xf numFmtId="0" fontId="17" fillId="0" borderId="23" xfId="4" applyFont="1" applyFill="1" applyBorder="1" applyAlignment="1">
      <alignment horizontal="justify" vertical="center" wrapText="1"/>
    </xf>
    <xf numFmtId="0" fontId="15" fillId="0" borderId="20" xfId="4" applyFont="1" applyFill="1" applyBorder="1" applyAlignment="1">
      <alignment vertical="center" wrapText="1"/>
    </xf>
    <xf numFmtId="0" fontId="19" fillId="0" borderId="26" xfId="4" applyFont="1" applyFill="1" applyBorder="1" applyAlignment="1">
      <alignment vertical="center" wrapText="1"/>
    </xf>
    <xf numFmtId="0" fontId="13" fillId="0" borderId="27" xfId="0" applyFont="1" applyBorder="1"/>
    <xf numFmtId="9" fontId="15" fillId="0" borderId="28" xfId="4" applyNumberFormat="1" applyFont="1" applyFill="1" applyBorder="1" applyAlignment="1">
      <alignment horizontal="left" vertical="center" wrapText="1"/>
    </xf>
    <xf numFmtId="0" fontId="9" fillId="0" borderId="29" xfId="4" quotePrefix="1" applyFont="1" applyFill="1" applyBorder="1" applyAlignment="1">
      <alignment horizontal="left" vertical="center" wrapText="1"/>
    </xf>
    <xf numFmtId="0" fontId="9" fillId="0" borderId="0" xfId="4" applyFont="1" applyFill="1" applyBorder="1" applyAlignment="1">
      <alignment horizontal="left" vertical="center" wrapText="1"/>
    </xf>
    <xf numFmtId="9" fontId="9" fillId="0" borderId="0" xfId="4" applyNumberFormat="1" applyFont="1" applyBorder="1" applyAlignment="1">
      <alignment horizontal="left" vertical="center" wrapText="1"/>
    </xf>
    <xf numFmtId="0" fontId="13" fillId="0" borderId="0" xfId="0" applyFont="1" applyBorder="1" applyAlignment="1">
      <alignment horizontal="left" wrapText="1"/>
    </xf>
    <xf numFmtId="0" fontId="9" fillId="0" borderId="0" xfId="5" applyFont="1" applyBorder="1" applyAlignment="1">
      <alignment horizontal="left" vertical="top" wrapText="1"/>
    </xf>
    <xf numFmtId="0" fontId="21" fillId="0" borderId="0" xfId="6" applyBorder="1" applyAlignment="1" applyProtection="1">
      <alignment horizontal="left" vertical="top" wrapText="1"/>
    </xf>
    <xf numFmtId="0" fontId="21" fillId="0" borderId="0" xfId="6" applyFont="1" applyBorder="1" applyAlignment="1" applyProtection="1">
      <alignment horizontal="left" vertical="top" wrapText="1"/>
    </xf>
    <xf numFmtId="0" fontId="9" fillId="0" borderId="0" xfId="4" applyFont="1"/>
    <xf numFmtId="0" fontId="21" fillId="0" borderId="0" xfId="6" applyFont="1" applyFill="1" applyBorder="1" applyAlignment="1" applyProtection="1">
      <alignment horizontal="left" vertical="top" wrapText="1"/>
    </xf>
    <xf numFmtId="0" fontId="9" fillId="0" borderId="0" xfId="4" applyFont="1" applyAlignment="1">
      <alignment wrapText="1"/>
    </xf>
    <xf numFmtId="0" fontId="9" fillId="0" borderId="0" xfId="4" applyAlignment="1">
      <alignment wrapText="1"/>
    </xf>
    <xf numFmtId="0" fontId="9" fillId="0" borderId="0" xfId="5" applyFont="1" applyBorder="1" applyAlignment="1">
      <alignment horizontal="left" wrapText="1"/>
    </xf>
    <xf numFmtId="0" fontId="21" fillId="0" borderId="0" xfId="6" applyFont="1" applyBorder="1" applyAlignment="1" applyProtection="1">
      <alignment horizontal="left" wrapText="1"/>
    </xf>
    <xf numFmtId="0" fontId="21" fillId="0" borderId="0" xfId="6" applyNumberFormat="1" applyBorder="1" applyAlignment="1" applyProtection="1">
      <alignment horizontal="left" wrapText="1"/>
    </xf>
    <xf numFmtId="0" fontId="21" fillId="0" borderId="0" xfId="6" applyNumberFormat="1" applyFont="1" applyBorder="1" applyAlignment="1" applyProtection="1">
      <alignment horizontal="left" wrapText="1"/>
    </xf>
    <xf numFmtId="0" fontId="21" fillId="0" borderId="0" xfId="6" applyBorder="1" applyAlignment="1" applyProtection="1">
      <alignment horizontal="left" wrapText="1"/>
    </xf>
    <xf numFmtId="0" fontId="9" fillId="0" borderId="0" xfId="4" applyNumberFormat="1" applyFont="1" applyBorder="1" applyAlignment="1">
      <alignment horizontal="left" wrapText="1"/>
    </xf>
    <xf numFmtId="0" fontId="21" fillId="0" borderId="0" xfId="6" applyAlignment="1" applyProtection="1"/>
    <xf numFmtId="0" fontId="15" fillId="0" borderId="30" xfId="0" applyFont="1" applyBorder="1" applyAlignment="1">
      <alignment vertical="center" wrapText="1"/>
    </xf>
    <xf numFmtId="0" fontId="9" fillId="0" borderId="31" xfId="0" applyFont="1" applyFill="1" applyBorder="1" applyAlignment="1">
      <alignment vertical="center" wrapText="1"/>
    </xf>
    <xf numFmtId="0" fontId="15" fillId="0" borderId="32" xfId="0" applyFont="1" applyBorder="1" applyAlignment="1">
      <alignment vertical="center" wrapText="1"/>
    </xf>
    <xf numFmtId="0" fontId="9" fillId="0" borderId="33" xfId="0" applyFont="1" applyFill="1" applyBorder="1" applyAlignment="1">
      <alignment vertical="top" wrapText="1"/>
    </xf>
    <xf numFmtId="0" fontId="15" fillId="0" borderId="32" xfId="0" applyFont="1" applyBorder="1" applyAlignment="1">
      <alignment horizontal="left" vertical="center" wrapText="1"/>
    </xf>
    <xf numFmtId="0" fontId="16" fillId="0" borderId="32" xfId="0" applyFont="1" applyFill="1" applyBorder="1" applyAlignment="1">
      <alignment vertical="center" wrapText="1"/>
    </xf>
    <xf numFmtId="0" fontId="18" fillId="0" borderId="33" xfId="0" applyFont="1" applyFill="1" applyBorder="1" applyAlignment="1">
      <alignment horizontal="left" vertical="center" wrapText="1" indent="3"/>
    </xf>
    <xf numFmtId="0" fontId="16" fillId="0" borderId="32" xfId="0" applyFont="1" applyFill="1" applyBorder="1" applyAlignment="1">
      <alignment horizontal="left" vertical="center" wrapText="1" indent="3"/>
    </xf>
    <xf numFmtId="0" fontId="9" fillId="0" borderId="33" xfId="4" applyBorder="1"/>
    <xf numFmtId="0" fontId="16" fillId="0" borderId="34" xfId="0" applyFont="1" applyFill="1" applyBorder="1" applyAlignment="1">
      <alignment horizontal="left" vertical="center" wrapText="1" indent="3"/>
    </xf>
    <xf numFmtId="0" fontId="9" fillId="0" borderId="35" xfId="4" applyBorder="1"/>
    <xf numFmtId="0" fontId="0" fillId="0" borderId="0" xfId="0" applyAlignment="1">
      <alignment vertical="center" wrapText="1"/>
    </xf>
    <xf numFmtId="0" fontId="11" fillId="0" borderId="0" xfId="0" applyFont="1"/>
    <xf numFmtId="0" fontId="12" fillId="0" borderId="0" xfId="0" applyFont="1" applyAlignment="1">
      <alignment vertical="center" wrapText="1"/>
    </xf>
    <xf numFmtId="0" fontId="13" fillId="0" borderId="0" xfId="0" applyFont="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14" fontId="22" fillId="0" borderId="0" xfId="0" applyNumberFormat="1" applyFont="1" applyFill="1" applyAlignment="1">
      <alignment horizontal="right"/>
    </xf>
    <xf numFmtId="0" fontId="22" fillId="0" borderId="0" xfId="4" applyFont="1" applyAlignment="1"/>
    <xf numFmtId="0" fontId="9" fillId="0" borderId="0" xfId="7"/>
    <xf numFmtId="0" fontId="22" fillId="0" borderId="0" xfId="7" applyFont="1" applyAlignment="1">
      <alignment horizontal="right" vertical="top"/>
    </xf>
    <xf numFmtId="0" fontId="9" fillId="0" borderId="0" xfId="8"/>
    <xf numFmtId="0" fontId="12" fillId="0" borderId="0" xfId="7" applyFont="1"/>
    <xf numFmtId="14" fontId="22" fillId="0" borderId="0" xfId="7" applyNumberFormat="1" applyFont="1" applyAlignment="1">
      <alignment horizontal="right" vertical="top"/>
    </xf>
    <xf numFmtId="0" fontId="23" fillId="0" borderId="0" xfId="8" applyFont="1"/>
    <xf numFmtId="0" fontId="25" fillId="0" borderId="38" xfId="8" applyFont="1" applyBorder="1" applyAlignment="1">
      <alignment horizontal="center" vertical="center" wrapText="1"/>
    </xf>
    <xf numFmtId="0" fontId="9" fillId="0" borderId="38" xfId="8" applyFont="1" applyBorder="1" applyAlignment="1">
      <alignment horizontal="center" vertical="center" wrapText="1"/>
    </xf>
    <xf numFmtId="0" fontId="9" fillId="0" borderId="39" xfId="8" applyFont="1" applyBorder="1" applyAlignment="1">
      <alignment horizontal="center" vertical="center" wrapText="1"/>
    </xf>
    <xf numFmtId="0" fontId="26" fillId="0" borderId="30" xfId="8" applyFont="1" applyBorder="1" applyAlignment="1">
      <alignment horizontal="center" vertical="center" wrapText="1"/>
    </xf>
    <xf numFmtId="0" fontId="9" fillId="0" borderId="0" xfId="8" applyFont="1"/>
    <xf numFmtId="0" fontId="9" fillId="0" borderId="32" xfId="8" applyFill="1" applyBorder="1" applyAlignment="1">
      <alignment vertical="center"/>
    </xf>
    <xf numFmtId="0" fontId="9" fillId="0" borderId="0" xfId="8" applyBorder="1" applyAlignment="1">
      <alignment vertical="center" wrapText="1"/>
    </xf>
    <xf numFmtId="9" fontId="25" fillId="5" borderId="7" xfId="8" applyNumberFormat="1" applyFont="1" applyFill="1" applyBorder="1" applyAlignment="1">
      <alignment horizontal="center" vertical="center"/>
    </xf>
    <xf numFmtId="9" fontId="9" fillId="0" borderId="32" xfId="8" applyNumberFormat="1" applyBorder="1" applyAlignment="1">
      <alignment horizontal="center" vertical="center"/>
    </xf>
    <xf numFmtId="9" fontId="0" fillId="0" borderId="8" xfId="9" applyFont="1" applyBorder="1" applyAlignment="1">
      <alignment horizontal="center" vertical="center"/>
    </xf>
    <xf numFmtId="9" fontId="9" fillId="6" borderId="32" xfId="8" applyNumberFormat="1" applyFont="1" applyFill="1" applyBorder="1" applyAlignment="1">
      <alignment horizontal="center" vertical="center"/>
    </xf>
    <xf numFmtId="0" fontId="27" fillId="0" borderId="34" xfId="8" applyFont="1" applyFill="1" applyBorder="1" applyAlignment="1">
      <alignment horizontal="center" vertical="center" wrapText="1"/>
    </xf>
    <xf numFmtId="0" fontId="9" fillId="0" borderId="34" xfId="8" applyFill="1" applyBorder="1" applyAlignment="1">
      <alignment vertical="center"/>
    </xf>
    <xf numFmtId="0" fontId="9" fillId="0" borderId="5" xfId="8" applyBorder="1" applyAlignment="1">
      <alignment vertical="center" wrapText="1"/>
    </xf>
    <xf numFmtId="9" fontId="25" fillId="5" borderId="4" xfId="8" applyNumberFormat="1" applyFont="1" applyFill="1" applyBorder="1" applyAlignment="1">
      <alignment horizontal="center" vertical="center"/>
    </xf>
    <xf numFmtId="9" fontId="9" fillId="0" borderId="34" xfId="8" applyNumberFormat="1" applyBorder="1" applyAlignment="1">
      <alignment horizontal="center" vertical="center"/>
    </xf>
    <xf numFmtId="9" fontId="0" fillId="0" borderId="6" xfId="9" applyFont="1" applyBorder="1" applyAlignment="1">
      <alignment horizontal="center" vertical="center"/>
    </xf>
    <xf numFmtId="9" fontId="9" fillId="6" borderId="34" xfId="8" applyNumberFormat="1" applyFont="1" applyFill="1" applyBorder="1" applyAlignment="1">
      <alignment horizontal="center" vertical="center"/>
    </xf>
    <xf numFmtId="0" fontId="13" fillId="0" borderId="0" xfId="8" applyFont="1" applyFill="1" applyAlignment="1">
      <alignment horizontal="left" vertical="center" wrapText="1"/>
    </xf>
    <xf numFmtId="0" fontId="13" fillId="0" borderId="0" xfId="8" applyFont="1" applyAlignment="1">
      <alignment horizontal="right"/>
    </xf>
    <xf numFmtId="169" fontId="29" fillId="7" borderId="20" xfId="9" applyNumberFormat="1" applyFont="1" applyFill="1" applyBorder="1" applyAlignment="1">
      <alignment horizontal="center" vertical="center"/>
    </xf>
    <xf numFmtId="169" fontId="28" fillId="0" borderId="0" xfId="9" applyNumberFormat="1" applyFont="1" applyFill="1" applyBorder="1" applyAlignment="1">
      <alignment horizontal="center"/>
    </xf>
    <xf numFmtId="6" fontId="13" fillId="0" borderId="0" xfId="8" applyNumberFormat="1" applyFont="1" applyFill="1" applyBorder="1" applyAlignment="1">
      <alignment horizontal="center" vertical="center"/>
    </xf>
    <xf numFmtId="0" fontId="9" fillId="0" borderId="20" xfId="8" applyFont="1" applyBorder="1"/>
    <xf numFmtId="0" fontId="30" fillId="0" borderId="20" xfId="8" applyFont="1" applyBorder="1" applyAlignment="1">
      <alignment horizontal="center"/>
    </xf>
    <xf numFmtId="169" fontId="30" fillId="0" borderId="20" xfId="9" applyNumberFormat="1" applyFont="1" applyFill="1" applyBorder="1" applyAlignment="1">
      <alignment horizontal="center"/>
    </xf>
    <xf numFmtId="0" fontId="13" fillId="0" borderId="20" xfId="8" applyFont="1" applyBorder="1" applyAlignment="1">
      <alignment horizontal="center"/>
    </xf>
    <xf numFmtId="0" fontId="13" fillId="0" borderId="20" xfId="8" applyFont="1" applyBorder="1"/>
    <xf numFmtId="9" fontId="15" fillId="0" borderId="20" xfId="8" applyNumberFormat="1" applyFont="1" applyBorder="1" applyAlignment="1">
      <alignment horizontal="center"/>
    </xf>
    <xf numFmtId="169" fontId="13" fillId="0" borderId="20" xfId="8" applyNumberFormat="1" applyFont="1" applyBorder="1" applyAlignment="1">
      <alignment horizontal="center"/>
    </xf>
    <xf numFmtId="14" fontId="15" fillId="0" borderId="20" xfId="4" applyNumberFormat="1" applyFont="1" applyBorder="1" applyAlignment="1">
      <alignment horizontal="center" vertical="center" wrapText="1"/>
    </xf>
    <xf numFmtId="14" fontId="15" fillId="0" borderId="20" xfId="4" applyNumberFormat="1" applyFont="1" applyFill="1" applyBorder="1" applyAlignment="1">
      <alignment horizontal="center" vertical="center" wrapText="1"/>
    </xf>
    <xf numFmtId="14" fontId="13" fillId="0" borderId="20" xfId="4" applyNumberFormat="1" applyFont="1" applyFill="1" applyBorder="1" applyAlignment="1">
      <alignment horizontal="center" vertical="center" wrapText="1"/>
    </xf>
    <xf numFmtId="0" fontId="13" fillId="0" borderId="0" xfId="0" applyFont="1" applyFill="1" applyAlignment="1">
      <alignment horizontal="right"/>
    </xf>
    <xf numFmtId="171" fontId="13" fillId="0" borderId="0" xfId="11" applyNumberFormat="1" applyFont="1" applyFill="1"/>
    <xf numFmtId="0" fontId="9" fillId="0" borderId="0" xfId="8" applyFill="1"/>
    <xf numFmtId="0" fontId="18" fillId="0" borderId="0" xfId="8" applyFont="1"/>
    <xf numFmtId="0" fontId="13" fillId="0" borderId="0" xfId="0" applyFont="1" applyBorder="1" applyAlignment="1">
      <alignment vertical="center" wrapText="1"/>
    </xf>
    <xf numFmtId="0" fontId="19" fillId="0" borderId="0" xfId="0" applyFont="1" applyAlignment="1">
      <alignment wrapText="1"/>
    </xf>
    <xf numFmtId="169" fontId="15" fillId="0" borderId="20" xfId="8" applyNumberFormat="1" applyFont="1" applyBorder="1" applyAlignment="1">
      <alignment horizontal="center"/>
    </xf>
    <xf numFmtId="172" fontId="13" fillId="0" borderId="20" xfId="11" applyNumberFormat="1" applyFont="1" applyFill="1" applyBorder="1"/>
    <xf numFmtId="0" fontId="9" fillId="8" borderId="0" xfId="12" applyFill="1"/>
    <xf numFmtId="0" fontId="9" fillId="8" borderId="0" xfId="12" applyFill="1" applyBorder="1"/>
    <xf numFmtId="0" fontId="0" fillId="8" borderId="0" xfId="0" applyFill="1"/>
    <xf numFmtId="0" fontId="31" fillId="8" borderId="0" xfId="12" applyFont="1" applyFill="1" applyBorder="1" applyAlignment="1"/>
    <xf numFmtId="0" fontId="32" fillId="8" borderId="0" xfId="12" applyFont="1" applyFill="1" applyBorder="1"/>
    <xf numFmtId="0" fontId="9" fillId="8" borderId="0" xfId="12" applyFont="1" applyFill="1" applyBorder="1"/>
    <xf numFmtId="0" fontId="33" fillId="8" borderId="0" xfId="12" applyFont="1" applyFill="1" applyBorder="1" applyAlignment="1">
      <alignment horizontal="right"/>
    </xf>
    <xf numFmtId="0" fontId="9" fillId="8" borderId="40" xfId="12" applyFill="1" applyBorder="1"/>
    <xf numFmtId="0" fontId="34" fillId="8" borderId="41" xfId="12" applyFont="1" applyFill="1" applyBorder="1" applyAlignment="1">
      <alignment wrapText="1"/>
    </xf>
    <xf numFmtId="173" fontId="34" fillId="8" borderId="41" xfId="12" applyNumberFormat="1" applyFont="1" applyFill="1" applyBorder="1" applyAlignment="1">
      <alignment horizontal="right" wrapText="1"/>
    </xf>
    <xf numFmtId="0" fontId="9" fillId="8" borderId="41" xfId="12" applyFont="1" applyFill="1" applyBorder="1"/>
    <xf numFmtId="0" fontId="9" fillId="8" borderId="42" xfId="12" applyFill="1" applyBorder="1"/>
    <xf numFmtId="0" fontId="9" fillId="8" borderId="43" xfId="12" applyFill="1" applyBorder="1"/>
    <xf numFmtId="0" fontId="35" fillId="8" borderId="0" xfId="12" applyFont="1" applyFill="1" applyBorder="1" applyAlignment="1">
      <alignment wrapText="1"/>
    </xf>
    <xf numFmtId="170" fontId="35" fillId="2" borderId="0" xfId="12" applyNumberFormat="1" applyFont="1" applyFill="1" applyBorder="1" applyAlignment="1">
      <alignment horizontal="center" wrapText="1"/>
    </xf>
    <xf numFmtId="0" fontId="34" fillId="8" borderId="0" xfId="12" applyFont="1" applyFill="1" applyBorder="1"/>
    <xf numFmtId="174" fontId="35" fillId="8" borderId="0" xfId="12" applyNumberFormat="1" applyFont="1" applyFill="1" applyBorder="1" applyAlignment="1">
      <alignment horizontal="center" wrapText="1"/>
    </xf>
    <xf numFmtId="0" fontId="9" fillId="8" borderId="44" xfId="12" applyFill="1" applyBorder="1"/>
    <xf numFmtId="169" fontId="35" fillId="2" borderId="0" xfId="9" applyNumberFormat="1" applyFont="1" applyFill="1" applyBorder="1" applyAlignment="1">
      <alignment horizontal="center" wrapText="1"/>
    </xf>
    <xf numFmtId="0" fontId="35" fillId="8" borderId="0" xfId="12" applyFont="1" applyFill="1" applyBorder="1" applyAlignment="1"/>
    <xf numFmtId="170" fontId="35" fillId="2" borderId="0" xfId="12" applyNumberFormat="1" applyFont="1" applyFill="1" applyBorder="1" applyAlignment="1">
      <alignment horizontal="center"/>
    </xf>
    <xf numFmtId="0" fontId="1" fillId="0" borderId="0" xfId="13"/>
    <xf numFmtId="175" fontId="35" fillId="8" borderId="0" xfId="12" applyNumberFormat="1" applyFont="1" applyFill="1" applyBorder="1" applyAlignment="1">
      <alignment horizontal="center"/>
    </xf>
    <xf numFmtId="0" fontId="35" fillId="8" borderId="45" xfId="12" applyFont="1" applyFill="1" applyBorder="1" applyAlignment="1"/>
    <xf numFmtId="0" fontId="35" fillId="8" borderId="45" xfId="12" applyFont="1" applyFill="1" applyBorder="1" applyAlignment="1">
      <alignment horizontal="center"/>
    </xf>
    <xf numFmtId="0" fontId="35" fillId="8" borderId="45" xfId="12" applyFont="1" applyFill="1" applyBorder="1" applyAlignment="1">
      <alignment horizontal="right"/>
    </xf>
    <xf numFmtId="0" fontId="35" fillId="8" borderId="46" xfId="12" applyFont="1" applyFill="1" applyBorder="1" applyAlignment="1"/>
    <xf numFmtId="0" fontId="35" fillId="8" borderId="46" xfId="12" applyFont="1" applyFill="1" applyBorder="1" applyAlignment="1">
      <alignment horizontal="center"/>
    </xf>
    <xf numFmtId="0" fontId="35" fillId="8" borderId="46" xfId="12" applyFont="1" applyFill="1" applyBorder="1" applyAlignment="1">
      <alignment horizontal="right"/>
    </xf>
    <xf numFmtId="3" fontId="34" fillId="2" borderId="0" xfId="12" applyNumberFormat="1" applyFont="1" applyFill="1" applyBorder="1" applyAlignment="1">
      <alignment horizontal="center" wrapText="1"/>
    </xf>
    <xf numFmtId="0" fontId="34" fillId="8" borderId="0" xfId="12" applyFont="1" applyFill="1" applyBorder="1" applyAlignment="1">
      <alignment horizontal="right" indent="2"/>
    </xf>
    <xf numFmtId="0" fontId="35" fillId="8" borderId="0" xfId="12" applyFont="1" applyFill="1" applyBorder="1" applyAlignment="1">
      <alignment horizontal="center" wrapText="1"/>
    </xf>
    <xf numFmtId="0" fontId="34" fillId="8" borderId="0" xfId="12" applyFont="1" applyFill="1" applyBorder="1" applyAlignment="1">
      <alignment wrapText="1"/>
    </xf>
    <xf numFmtId="164" fontId="34" fillId="8" borderId="0" xfId="10" applyNumberFormat="1" applyFont="1" applyFill="1" applyBorder="1" applyAlignment="1">
      <alignment horizontal="center" wrapText="1"/>
    </xf>
    <xf numFmtId="3" fontId="34" fillId="2" borderId="0" xfId="12" applyNumberFormat="1" applyFont="1" applyFill="1" applyBorder="1" applyAlignment="1">
      <alignment horizontal="center"/>
    </xf>
    <xf numFmtId="0" fontId="34" fillId="8" borderId="0" xfId="12" applyFont="1" applyFill="1" applyBorder="1" applyAlignment="1">
      <alignment horizontal="center"/>
    </xf>
    <xf numFmtId="0" fontId="9" fillId="8" borderId="0" xfId="0" applyFont="1" applyFill="1"/>
    <xf numFmtId="3" fontId="34" fillId="8" borderId="0" xfId="12" applyNumberFormat="1" applyFont="1" applyFill="1" applyBorder="1" applyAlignment="1">
      <alignment horizontal="center"/>
    </xf>
    <xf numFmtId="9" fontId="34" fillId="2" borderId="0" xfId="12" applyNumberFormat="1" applyFont="1" applyFill="1" applyBorder="1" applyAlignment="1">
      <alignment horizontal="center" wrapText="1"/>
    </xf>
    <xf numFmtId="10" fontId="0" fillId="8" borderId="0" xfId="0" applyNumberFormat="1" applyFill="1"/>
    <xf numFmtId="0" fontId="34" fillId="8" borderId="45" xfId="12" applyFont="1" applyFill="1" applyBorder="1" applyAlignment="1">
      <alignment wrapText="1"/>
    </xf>
    <xf numFmtId="0" fontId="34" fillId="8" borderId="45" xfId="12" applyFont="1" applyFill="1" applyBorder="1" applyAlignment="1">
      <alignment horizontal="center"/>
    </xf>
    <xf numFmtId="0" fontId="34" fillId="8" borderId="45" xfId="12" applyFont="1" applyFill="1" applyBorder="1" applyAlignment="1">
      <alignment horizontal="right" indent="2"/>
    </xf>
    <xf numFmtId="0" fontId="39" fillId="8" borderId="43" xfId="12" applyFont="1" applyFill="1" applyBorder="1"/>
    <xf numFmtId="0" fontId="34" fillId="8" borderId="46" xfId="12" applyFont="1" applyFill="1" applyBorder="1"/>
    <xf numFmtId="0" fontId="40" fillId="8" borderId="46" xfId="12" applyFont="1" applyFill="1" applyBorder="1" applyAlignment="1">
      <alignment horizontal="center"/>
    </xf>
    <xf numFmtId="0" fontId="40" fillId="8" borderId="46" xfId="12" applyFont="1" applyFill="1" applyBorder="1" applyAlignment="1">
      <alignment horizontal="right" indent="2"/>
    </xf>
    <xf numFmtId="9" fontId="40" fillId="8" borderId="46" xfId="9" applyFont="1" applyFill="1" applyBorder="1" applyAlignment="1">
      <alignment horizontal="center"/>
    </xf>
    <xf numFmtId="173" fontId="34" fillId="9" borderId="0" xfId="12" applyNumberFormat="1" applyFont="1" applyFill="1" applyBorder="1" applyAlignment="1">
      <alignment horizontal="center" vertical="center"/>
    </xf>
    <xf numFmtId="0" fontId="34" fillId="9" borderId="0" xfId="12" applyFont="1" applyFill="1" applyBorder="1" applyAlignment="1">
      <alignment horizontal="left" vertical="center" indent="2"/>
    </xf>
    <xf numFmtId="173" fontId="34" fillId="2" borderId="0" xfId="12" applyNumberFormat="1" applyFont="1" applyFill="1" applyBorder="1" applyAlignment="1">
      <alignment horizontal="center" vertical="center"/>
    </xf>
    <xf numFmtId="0" fontId="34" fillId="8" borderId="45" xfId="12" applyFont="1" applyFill="1" applyBorder="1"/>
    <xf numFmtId="9" fontId="34" fillId="9" borderId="45" xfId="9" applyNumberFormat="1" applyFont="1" applyFill="1" applyBorder="1" applyAlignment="1">
      <alignment horizontal="center"/>
    </xf>
    <xf numFmtId="0" fontId="40" fillId="9" borderId="45" xfId="12" applyFont="1" applyFill="1" applyBorder="1" applyAlignment="1">
      <alignment horizontal="right" indent="2"/>
    </xf>
    <xf numFmtId="9" fontId="34" fillId="2" borderId="45" xfId="12" applyNumberFormat="1" applyFont="1" applyFill="1" applyBorder="1" applyAlignment="1">
      <alignment horizontal="center" wrapText="1"/>
    </xf>
    <xf numFmtId="0" fontId="34" fillId="8" borderId="46" xfId="12" applyFont="1" applyFill="1" applyBorder="1" applyAlignment="1">
      <alignment wrapText="1"/>
    </xf>
    <xf numFmtId="9" fontId="40" fillId="8" borderId="46" xfId="12" applyNumberFormat="1" applyFont="1" applyFill="1" applyBorder="1" applyAlignment="1">
      <alignment horizontal="center"/>
    </xf>
    <xf numFmtId="0" fontId="40" fillId="8" borderId="45" xfId="12" applyFont="1" applyFill="1" applyBorder="1" applyAlignment="1">
      <alignment horizontal="center"/>
    </xf>
    <xf numFmtId="0" fontId="40" fillId="8" borderId="45" xfId="12" applyFont="1" applyFill="1" applyBorder="1" applyAlignment="1">
      <alignment horizontal="right" indent="2"/>
    </xf>
    <xf numFmtId="0" fontId="40" fillId="8" borderId="0" xfId="12" applyFont="1" applyFill="1" applyBorder="1" applyAlignment="1">
      <alignment horizontal="center"/>
    </xf>
    <xf numFmtId="0" fontId="40" fillId="8" borderId="0" xfId="12" applyFont="1" applyFill="1" applyBorder="1" applyAlignment="1">
      <alignment horizontal="right" indent="2"/>
    </xf>
    <xf numFmtId="2" fontId="34" fillId="9" borderId="45" xfId="11" applyNumberFormat="1" applyFont="1" applyFill="1" applyBorder="1" applyAlignment="1">
      <alignment horizontal="center"/>
    </xf>
    <xf numFmtId="2" fontId="34" fillId="9" borderId="45" xfId="11" applyNumberFormat="1" applyFont="1" applyFill="1" applyBorder="1" applyAlignment="1">
      <alignment horizontal="right" indent="2"/>
    </xf>
    <xf numFmtId="2" fontId="34" fillId="9" borderId="45" xfId="11" applyNumberFormat="1" applyFont="1" applyFill="1" applyBorder="1" applyAlignment="1">
      <alignment horizontal="center" wrapText="1"/>
    </xf>
    <xf numFmtId="9" fontId="40" fillId="8" borderId="46" xfId="12" applyNumberFormat="1" applyFont="1" applyFill="1" applyBorder="1" applyAlignment="1">
      <alignment horizontal="right" indent="1"/>
    </xf>
    <xf numFmtId="9" fontId="34" fillId="2" borderId="0" xfId="9" applyFont="1" applyFill="1" applyBorder="1" applyAlignment="1">
      <alignment horizontal="center"/>
    </xf>
    <xf numFmtId="44" fontId="34" fillId="8" borderId="0" xfId="11" applyFont="1" applyFill="1" applyBorder="1" applyAlignment="1">
      <alignment horizontal="right" indent="2"/>
    </xf>
    <xf numFmtId="7" fontId="34" fillId="8" borderId="0" xfId="11" applyNumberFormat="1" applyFont="1" applyFill="1" applyBorder="1" applyAlignment="1">
      <alignment horizontal="right" wrapText="1" indent="1"/>
    </xf>
    <xf numFmtId="7" fontId="34" fillId="8" borderId="0" xfId="11" applyNumberFormat="1" applyFont="1" applyFill="1" applyBorder="1" applyAlignment="1">
      <alignment horizontal="center"/>
    </xf>
    <xf numFmtId="173" fontId="34" fillId="2" borderId="0" xfId="12" applyNumberFormat="1" applyFont="1" applyFill="1" applyBorder="1" applyAlignment="1">
      <alignment horizontal="center" wrapText="1"/>
    </xf>
    <xf numFmtId="0" fontId="34" fillId="8" borderId="47" xfId="12" applyFont="1" applyFill="1" applyBorder="1" applyAlignment="1">
      <alignment wrapText="1"/>
    </xf>
    <xf numFmtId="0" fontId="34" fillId="8" borderId="47" xfId="12" applyFont="1" applyFill="1" applyBorder="1"/>
    <xf numFmtId="173" fontId="34" fillId="8" borderId="48" xfId="12" applyNumberFormat="1" applyFont="1" applyFill="1" applyBorder="1" applyAlignment="1">
      <alignment horizontal="right" wrapText="1"/>
    </xf>
    <xf numFmtId="0" fontId="18" fillId="2" borderId="0" xfId="12" applyFont="1" applyFill="1" applyBorder="1" applyAlignment="1"/>
    <xf numFmtId="0" fontId="34" fillId="2" borderId="0" xfId="12" applyFont="1" applyFill="1" applyBorder="1" applyAlignment="1"/>
    <xf numFmtId="0" fontId="34" fillId="2" borderId="0" xfId="12" applyFont="1" applyFill="1" applyBorder="1"/>
    <xf numFmtId="9" fontId="34" fillId="2" borderId="0" xfId="12" applyNumberFormat="1" applyFont="1" applyFill="1" applyBorder="1" applyAlignment="1">
      <alignment wrapText="1"/>
    </xf>
    <xf numFmtId="0" fontId="38" fillId="2" borderId="0" xfId="12" applyFont="1" applyFill="1" applyBorder="1" applyAlignment="1">
      <alignment horizontal="left"/>
    </xf>
    <xf numFmtId="0" fontId="38" fillId="2" borderId="0" xfId="12" applyFont="1" applyFill="1" applyBorder="1"/>
    <xf numFmtId="0" fontId="9" fillId="2" borderId="0" xfId="12" applyFill="1" applyBorder="1"/>
    <xf numFmtId="0" fontId="9" fillId="8" borderId="49" xfId="12" applyFill="1" applyBorder="1"/>
    <xf numFmtId="0" fontId="38" fillId="8" borderId="50" xfId="12" applyFont="1" applyFill="1" applyBorder="1"/>
    <xf numFmtId="0" fontId="9" fillId="8" borderId="50" xfId="12" applyFill="1" applyBorder="1"/>
    <xf numFmtId="0" fontId="9" fillId="8" borderId="51" xfId="12" applyFill="1" applyBorder="1"/>
    <xf numFmtId="0" fontId="2" fillId="0" borderId="1" xfId="0" applyFont="1" applyBorder="1"/>
    <xf numFmtId="0" fontId="2" fillId="0" borderId="4" xfId="0" applyFont="1" applyBorder="1"/>
    <xf numFmtId="9" fontId="3" fillId="0" borderId="3" xfId="0" applyNumberFormat="1" applyFont="1" applyBorder="1"/>
    <xf numFmtId="9" fontId="3" fillId="0" borderId="6" xfId="0" applyNumberFormat="1" applyFont="1" applyBorder="1"/>
    <xf numFmtId="0" fontId="13" fillId="0" borderId="2" xfId="8" applyFont="1" applyFill="1" applyBorder="1" applyAlignment="1">
      <alignment vertical="center" wrapText="1"/>
    </xf>
    <xf numFmtId="0" fontId="41" fillId="0" borderId="0" xfId="0" applyFont="1"/>
    <xf numFmtId="0" fontId="10" fillId="0" borderId="0" xfId="4" applyFont="1" applyAlignment="1">
      <alignment horizontal="right"/>
    </xf>
    <xf numFmtId="0" fontId="19" fillId="0" borderId="0" xfId="0" applyFont="1" applyAlignment="1">
      <alignment horizontal="left" vertical="center" wrapText="1" indent="2"/>
    </xf>
    <xf numFmtId="0" fontId="19" fillId="0" borderId="0" xfId="0" applyFont="1" applyAlignment="1">
      <alignment vertical="center" wrapText="1"/>
    </xf>
    <xf numFmtId="0" fontId="19" fillId="0" borderId="0" xfId="0" applyFont="1" applyAlignment="1">
      <alignment horizontal="left" vertical="center" wrapText="1"/>
    </xf>
    <xf numFmtId="0" fontId="21" fillId="0" borderId="0" xfId="6" applyFont="1" applyAlignment="1" applyProtection="1">
      <alignment vertical="center" wrapText="1"/>
    </xf>
    <xf numFmtId="0" fontId="42" fillId="0" borderId="0" xfId="0" applyFont="1" applyAlignment="1">
      <alignment vertical="center" wrapText="1"/>
    </xf>
    <xf numFmtId="0" fontId="9" fillId="0" borderId="0" xfId="5" applyFont="1" applyBorder="1" applyAlignment="1">
      <alignment horizontal="left" wrapText="1"/>
    </xf>
    <xf numFmtId="171" fontId="0" fillId="0" borderId="0" xfId="14" applyNumberFormat="1" applyFont="1" applyBorder="1"/>
    <xf numFmtId="0" fontId="0" fillId="0" borderId="0" xfId="14" applyNumberFormat="1" applyFont="1" applyBorder="1"/>
    <xf numFmtId="4" fontId="0" fillId="0" borderId="0" xfId="0" applyNumberFormat="1" applyBorder="1"/>
    <xf numFmtId="0" fontId="0" fillId="0" borderId="0" xfId="0" applyNumberFormat="1" applyBorder="1"/>
    <xf numFmtId="0" fontId="0" fillId="0" borderId="5" xfId="0" applyBorder="1"/>
    <xf numFmtId="171" fontId="0" fillId="0" borderId="5" xfId="14" applyNumberFormat="1" applyFont="1" applyBorder="1"/>
    <xf numFmtId="0" fontId="0" fillId="0" borderId="5" xfId="0" applyNumberFormat="1" applyBorder="1"/>
    <xf numFmtId="9" fontId="0" fillId="0" borderId="5" xfId="0" applyNumberFormat="1" applyBorder="1"/>
    <xf numFmtId="0" fontId="0" fillId="0" borderId="8" xfId="0" applyBorder="1"/>
    <xf numFmtId="0" fontId="0" fillId="0" borderId="6" xfId="0" applyBorder="1"/>
    <xf numFmtId="0" fontId="2" fillId="10" borderId="15" xfId="0" applyFont="1" applyFill="1" applyBorder="1"/>
    <xf numFmtId="171" fontId="2" fillId="10" borderId="15" xfId="14" applyNumberFormat="1" applyFont="1" applyFill="1" applyBorder="1"/>
    <xf numFmtId="0" fontId="2" fillId="10" borderId="15" xfId="0" applyNumberFormat="1" applyFont="1" applyFill="1" applyBorder="1"/>
    <xf numFmtId="9" fontId="2" fillId="10" borderId="15" xfId="0" applyNumberFormat="1" applyFont="1" applyFill="1" applyBorder="1"/>
    <xf numFmtId="0" fontId="2" fillId="10" borderId="15" xfId="0" applyFont="1" applyFill="1" applyBorder="1" applyAlignment="1">
      <alignment wrapText="1"/>
    </xf>
    <xf numFmtId="0" fontId="2" fillId="10" borderId="14" xfId="0" applyFont="1" applyFill="1" applyBorder="1"/>
    <xf numFmtId="0" fontId="0" fillId="0" borderId="2" xfId="0" applyBorder="1"/>
    <xf numFmtId="0" fontId="2" fillId="0" borderId="0" xfId="0" applyFont="1"/>
    <xf numFmtId="165" fontId="0" fillId="0" borderId="0" xfId="0" applyNumberFormat="1"/>
    <xf numFmtId="10" fontId="0" fillId="0" borderId="0" xfId="0" applyNumberFormat="1"/>
    <xf numFmtId="10" fontId="4" fillId="0" borderId="0" xfId="1" applyNumberFormat="1" applyFont="1" applyFill="1" applyBorder="1"/>
    <xf numFmtId="0" fontId="3" fillId="0" borderId="0" xfId="0" applyFont="1" applyFill="1" applyBorder="1"/>
    <xf numFmtId="3" fontId="0" fillId="0" borderId="0" xfId="0" applyNumberFormat="1"/>
    <xf numFmtId="0" fontId="0" fillId="0" borderId="30" xfId="0" applyBorder="1"/>
    <xf numFmtId="0" fontId="0" fillId="0" borderId="34" xfId="0" applyBorder="1"/>
    <xf numFmtId="0" fontId="2" fillId="11" borderId="8" xfId="0" applyFont="1" applyFill="1" applyBorder="1"/>
    <xf numFmtId="0" fontId="0" fillId="11" borderId="8" xfId="0" applyFill="1" applyBorder="1"/>
    <xf numFmtId="0" fontId="0" fillId="11" borderId="30" xfId="0" applyFill="1" applyBorder="1"/>
    <xf numFmtId="0" fontId="0" fillId="11" borderId="32" xfId="0" applyFill="1" applyBorder="1"/>
    <xf numFmtId="0" fontId="0" fillId="11" borderId="34" xfId="0" applyFill="1" applyBorder="1"/>
    <xf numFmtId="0" fontId="4" fillId="11" borderId="32" xfId="0" applyFont="1" applyFill="1" applyBorder="1"/>
    <xf numFmtId="176" fontId="0" fillId="0" borderId="0" xfId="0" applyNumberFormat="1"/>
    <xf numFmtId="176" fontId="4" fillId="0" borderId="0" xfId="0" applyNumberFormat="1" applyFont="1"/>
    <xf numFmtId="165" fontId="4" fillId="0" borderId="0" xfId="0" applyNumberFormat="1" applyFont="1"/>
    <xf numFmtId="10" fontId="4" fillId="0" borderId="0" xfId="0" applyNumberFormat="1" applyFont="1"/>
    <xf numFmtId="0" fontId="9" fillId="0" borderId="0" xfId="12"/>
    <xf numFmtId="0" fontId="9" fillId="0" borderId="8" xfId="12" applyBorder="1"/>
    <xf numFmtId="0" fontId="9" fillId="0" borderId="5" xfId="12" applyBorder="1"/>
    <xf numFmtId="0" fontId="9" fillId="0" borderId="6" xfId="12" applyBorder="1"/>
    <xf numFmtId="170" fontId="8" fillId="0" borderId="8" xfId="12" applyNumberFormat="1" applyFont="1" applyBorder="1"/>
    <xf numFmtId="0" fontId="9" fillId="0" borderId="0" xfId="12" applyFont="1"/>
    <xf numFmtId="176" fontId="8" fillId="0" borderId="0" xfId="12" applyNumberFormat="1" applyFont="1"/>
    <xf numFmtId="176" fontId="8" fillId="0" borderId="8" xfId="12" applyNumberFormat="1" applyFont="1" applyBorder="1"/>
    <xf numFmtId="0" fontId="8" fillId="0" borderId="0" xfId="12" applyFont="1"/>
    <xf numFmtId="171" fontId="0" fillId="0" borderId="0" xfId="11" applyNumberFormat="1" applyFont="1"/>
    <xf numFmtId="164" fontId="0" fillId="0" borderId="0" xfId="10" applyNumberFormat="1" applyFont="1"/>
    <xf numFmtId="164" fontId="13" fillId="0" borderId="0" xfId="10" applyNumberFormat="1" applyFont="1"/>
    <xf numFmtId="164" fontId="9" fillId="0" borderId="0" xfId="10" applyNumberFormat="1" applyFont="1"/>
    <xf numFmtId="164" fontId="0" fillId="0" borderId="0" xfId="10" applyNumberFormat="1" applyFont="1" applyBorder="1"/>
    <xf numFmtId="0" fontId="45" fillId="0" borderId="0" xfId="12" applyFont="1"/>
    <xf numFmtId="171" fontId="45" fillId="0" borderId="0" xfId="11" applyNumberFormat="1" applyFont="1"/>
    <xf numFmtId="0" fontId="9" fillId="0" borderId="0" xfId="12" applyBorder="1"/>
    <xf numFmtId="171" fontId="0" fillId="0" borderId="0" xfId="11" applyNumberFormat="1" applyFont="1" applyBorder="1"/>
    <xf numFmtId="164" fontId="13" fillId="0" borderId="0" xfId="10" applyNumberFormat="1" applyFont="1" applyBorder="1"/>
    <xf numFmtId="164" fontId="9" fillId="0" borderId="0" xfId="10" applyNumberFormat="1" applyFont="1" applyBorder="1"/>
    <xf numFmtId="0" fontId="9" fillId="11" borderId="0" xfId="12" applyFill="1" applyBorder="1"/>
    <xf numFmtId="0" fontId="9" fillId="11" borderId="0" xfId="12" applyFill="1"/>
    <xf numFmtId="9" fontId="9" fillId="11" borderId="0" xfId="12" applyNumberFormat="1" applyFill="1" applyBorder="1"/>
    <xf numFmtId="9" fontId="9" fillId="11" borderId="0" xfId="3" applyFont="1" applyFill="1" applyBorder="1"/>
    <xf numFmtId="0" fontId="9" fillId="0" borderId="1" xfId="12" applyBorder="1"/>
    <xf numFmtId="0" fontId="9" fillId="0" borderId="2" xfId="12" applyBorder="1"/>
    <xf numFmtId="0" fontId="9" fillId="0" borderId="3" xfId="12" applyBorder="1"/>
    <xf numFmtId="0" fontId="9" fillId="0" borderId="7" xfId="12" applyBorder="1"/>
    <xf numFmtId="170" fontId="8" fillId="0" borderId="0" xfId="12" applyNumberFormat="1" applyFont="1" applyBorder="1"/>
    <xf numFmtId="0" fontId="9" fillId="0" borderId="7" xfId="12" applyFont="1" applyBorder="1"/>
    <xf numFmtId="176" fontId="8" fillId="0" borderId="0" xfId="12" applyNumberFormat="1" applyFont="1" applyBorder="1"/>
    <xf numFmtId="0" fontId="8" fillId="0" borderId="8" xfId="12" applyFont="1" applyBorder="1"/>
    <xf numFmtId="0" fontId="9" fillId="0" borderId="4" xfId="12" applyFont="1" applyBorder="1"/>
    <xf numFmtId="176" fontId="8" fillId="0" borderId="5" xfId="12" applyNumberFormat="1" applyFont="1" applyBorder="1"/>
    <xf numFmtId="176" fontId="8" fillId="0" borderId="6" xfId="12" applyNumberFormat="1" applyFont="1" applyBorder="1"/>
    <xf numFmtId="0" fontId="8" fillId="0" borderId="6" xfId="12" applyFont="1" applyBorder="1"/>
    <xf numFmtId="0" fontId="9" fillId="0" borderId="20" xfId="12" applyBorder="1"/>
    <xf numFmtId="44" fontId="0" fillId="0" borderId="0" xfId="0" applyNumberFormat="1"/>
    <xf numFmtId="0" fontId="0" fillId="0" borderId="3" xfId="0" applyBorder="1"/>
    <xf numFmtId="171" fontId="0" fillId="0" borderId="0" xfId="0" applyNumberFormat="1" applyBorder="1"/>
    <xf numFmtId="5" fontId="0" fillId="0" borderId="0" xfId="0" applyNumberFormat="1" applyBorder="1"/>
    <xf numFmtId="3" fontId="0" fillId="0" borderId="5" xfId="0" applyNumberFormat="1" applyBorder="1"/>
    <xf numFmtId="0" fontId="0" fillId="0" borderId="0" xfId="0" applyNumberFormat="1" applyFill="1" applyBorder="1" applyAlignment="1" applyProtection="1"/>
    <xf numFmtId="0" fontId="0" fillId="0" borderId="0" xfId="0" applyFont="1" applyFill="1"/>
    <xf numFmtId="0" fontId="0" fillId="0" borderId="0" xfId="0" applyFont="1" applyBorder="1"/>
    <xf numFmtId="166" fontId="4" fillId="0" borderId="0" xfId="1" applyNumberFormat="1" applyFont="1" applyFill="1" applyBorder="1"/>
    <xf numFmtId="0" fontId="8" fillId="0" borderId="0" xfId="0" applyFont="1" applyFill="1" applyBorder="1"/>
    <xf numFmtId="167" fontId="4" fillId="0" borderId="0" xfId="1" applyNumberFormat="1" applyFont="1" applyFill="1" applyBorder="1"/>
    <xf numFmtId="165" fontId="0" fillId="0" borderId="0" xfId="0" applyNumberFormat="1" applyFont="1" applyFill="1" applyBorder="1"/>
    <xf numFmtId="165" fontId="8" fillId="0" borderId="0" xfId="0" applyNumberFormat="1" applyFont="1" applyFill="1" applyBorder="1"/>
    <xf numFmtId="0" fontId="3" fillId="0" borderId="7" xfId="0" applyFont="1" applyFill="1" applyBorder="1"/>
    <xf numFmtId="165" fontId="4" fillId="0" borderId="7" xfId="1" applyNumberFormat="1" applyFont="1" applyFill="1" applyBorder="1"/>
    <xf numFmtId="0" fontId="0" fillId="0" borderId="7" xfId="0" applyNumberFormat="1" applyFill="1" applyBorder="1" applyAlignment="1" applyProtection="1"/>
    <xf numFmtId="165" fontId="8" fillId="0" borderId="7" xfId="1" applyNumberFormat="1" applyFont="1" applyFill="1" applyBorder="1"/>
    <xf numFmtId="166" fontId="4" fillId="0" borderId="7" xfId="1" applyNumberFormat="1" applyFont="1" applyFill="1" applyBorder="1"/>
    <xf numFmtId="0" fontId="0" fillId="0" borderId="1" xfId="0" applyFont="1" applyFill="1" applyBorder="1"/>
    <xf numFmtId="39" fontId="0" fillId="0" borderId="2" xfId="0" applyNumberFormat="1" applyFont="1" applyBorder="1"/>
    <xf numFmtId="0" fontId="0" fillId="0" borderId="4" xfId="0" applyFont="1" applyFill="1" applyBorder="1"/>
    <xf numFmtId="164" fontId="0" fillId="0" borderId="5" xfId="0" applyNumberFormat="1" applyFont="1" applyBorder="1"/>
    <xf numFmtId="0" fontId="3" fillId="4" borderId="0" xfId="0" applyFont="1" applyFill="1" applyBorder="1"/>
    <xf numFmtId="0" fontId="4" fillId="4" borderId="0" xfId="0" applyFont="1" applyFill="1" applyBorder="1"/>
    <xf numFmtId="0" fontId="3" fillId="4" borderId="7" xfId="0" applyFont="1" applyFill="1" applyBorder="1"/>
    <xf numFmtId="39" fontId="0" fillId="0" borderId="0" xfId="0" applyNumberFormat="1" applyFont="1" applyBorder="1"/>
    <xf numFmtId="164" fontId="0" fillId="0" borderId="0" xfId="0" applyNumberFormat="1" applyFont="1" applyBorder="1"/>
    <xf numFmtId="39" fontId="0" fillId="0" borderId="7" xfId="0" applyNumberFormat="1" applyFont="1" applyBorder="1"/>
    <xf numFmtId="164" fontId="0" fillId="0" borderId="7" xfId="0" applyNumberFormat="1" applyFont="1" applyBorder="1"/>
    <xf numFmtId="172" fontId="9" fillId="0" borderId="0" xfId="8" applyNumberFormat="1"/>
    <xf numFmtId="0" fontId="9" fillId="0" borderId="0" xfId="4" applyNumberFormat="1" applyFont="1" applyBorder="1" applyAlignment="1">
      <alignment horizontal="left" wrapText="1"/>
    </xf>
    <xf numFmtId="0" fontId="11" fillId="0" borderId="0" xfId="4" applyFont="1" applyAlignment="1">
      <alignment horizontal="center" vertical="center"/>
    </xf>
    <xf numFmtId="0" fontId="12" fillId="0" borderId="0" xfId="4" applyFont="1" applyBorder="1" applyAlignment="1">
      <alignment horizontal="center"/>
    </xf>
    <xf numFmtId="0" fontId="13" fillId="0" borderId="22" xfId="4" applyFont="1" applyBorder="1" applyAlignment="1">
      <alignment horizontal="left" vertical="center" wrapText="1"/>
    </xf>
    <xf numFmtId="0" fontId="13" fillId="0" borderId="24" xfId="4" applyFont="1" applyBorder="1" applyAlignment="1">
      <alignment horizontal="left" vertical="center" wrapText="1"/>
    </xf>
    <xf numFmtId="0" fontId="13" fillId="0" borderId="25" xfId="4" applyFont="1" applyBorder="1" applyAlignment="1">
      <alignment horizontal="left" vertical="center" wrapText="1"/>
    </xf>
    <xf numFmtId="0" fontId="9" fillId="0" borderId="0" xfId="5" applyFont="1" applyBorder="1" applyAlignment="1">
      <alignment horizontal="left" vertical="top" wrapText="1"/>
    </xf>
    <xf numFmtId="0" fontId="9" fillId="0" borderId="0" xfId="5" applyFont="1" applyBorder="1" applyAlignment="1">
      <alignment horizontal="left" wrapText="1"/>
    </xf>
    <xf numFmtId="0" fontId="9" fillId="0" borderId="0" xfId="5" applyNumberFormat="1" applyFont="1" applyBorder="1" applyAlignment="1">
      <alignment horizontal="left" wrapText="1"/>
    </xf>
    <xf numFmtId="0" fontId="13" fillId="0" borderId="0" xfId="8" applyFont="1" applyFill="1" applyBorder="1" applyAlignment="1">
      <alignment horizontal="left" vertical="center" wrapText="1"/>
    </xf>
    <xf numFmtId="0" fontId="18" fillId="0" borderId="0" xfId="8" applyFont="1" applyAlignment="1">
      <alignment horizontal="left" vertical="top" wrapText="1"/>
    </xf>
    <xf numFmtId="0" fontId="12" fillId="0" borderId="0" xfId="4" applyFont="1" applyBorder="1" applyAlignment="1">
      <alignment horizontal="left"/>
    </xf>
    <xf numFmtId="0" fontId="9" fillId="0" borderId="0" xfId="8" applyFont="1" applyAlignment="1">
      <alignment horizontal="left" wrapText="1"/>
    </xf>
    <xf numFmtId="0" fontId="9" fillId="0" borderId="0" xfId="8" applyAlignment="1">
      <alignment horizontal="left" wrapText="1"/>
    </xf>
    <xf numFmtId="0" fontId="13" fillId="0" borderId="30" xfId="8" applyFont="1" applyFill="1" applyBorder="1" applyAlignment="1">
      <alignment horizontal="left" vertical="center"/>
    </xf>
    <xf numFmtId="0" fontId="13" fillId="0" borderId="36" xfId="8" applyFont="1" applyFill="1" applyBorder="1" applyAlignment="1">
      <alignment horizontal="left" vertical="center"/>
    </xf>
    <xf numFmtId="0" fontId="23" fillId="0" borderId="3" xfId="8" applyFont="1" applyBorder="1" applyAlignment="1">
      <alignment vertical="center"/>
    </xf>
    <xf numFmtId="0" fontId="23" fillId="0" borderId="37" xfId="8" applyFont="1" applyBorder="1" applyAlignment="1">
      <alignment vertical="center"/>
    </xf>
    <xf numFmtId="0" fontId="23" fillId="0" borderId="13" xfId="8" applyFont="1" applyBorder="1" applyAlignment="1">
      <alignment horizontal="center"/>
    </xf>
    <xf numFmtId="0" fontId="23" fillId="0" borderId="15" xfId="8" applyFont="1" applyBorder="1" applyAlignment="1">
      <alignment horizontal="center"/>
    </xf>
    <xf numFmtId="0" fontId="23" fillId="0" borderId="14" xfId="8" applyFont="1" applyBorder="1" applyAlignment="1">
      <alignment horizontal="center"/>
    </xf>
    <xf numFmtId="0" fontId="35" fillId="8" borderId="45" xfId="12" applyFont="1" applyFill="1" applyBorder="1" applyAlignment="1">
      <alignment horizontal="center" wrapText="1"/>
    </xf>
    <xf numFmtId="0" fontId="11" fillId="8" borderId="0" xfId="12" applyFont="1" applyFill="1" applyBorder="1" applyAlignment="1">
      <alignment horizontal="right"/>
    </xf>
    <xf numFmtId="0" fontId="23" fillId="8" borderId="0" xfId="12" applyFont="1" applyFill="1" applyBorder="1" applyAlignment="1">
      <alignment horizontal="center"/>
    </xf>
    <xf numFmtId="0" fontId="23" fillId="8" borderId="0" xfId="12" applyFont="1" applyFill="1" applyBorder="1" applyAlignment="1">
      <alignment horizontal="center" vertical="center"/>
    </xf>
    <xf numFmtId="0" fontId="33" fillId="8" borderId="0" xfId="12" applyFont="1" applyFill="1" applyBorder="1" applyAlignment="1">
      <alignment horizontal="center" vertical="center"/>
    </xf>
    <xf numFmtId="0" fontId="35" fillId="8" borderId="0" xfId="12" applyFont="1" applyFill="1" applyBorder="1" applyAlignment="1">
      <alignment horizontal="left" shrinkToFit="1"/>
    </xf>
  </cellXfs>
  <cellStyles count="15">
    <cellStyle name="Comma" xfId="1" builtinId="3"/>
    <cellStyle name="Comma 2 2 2" xfId="10"/>
    <cellStyle name="Currency" xfId="14" builtinId="4"/>
    <cellStyle name="Currency 2" xfId="11"/>
    <cellStyle name="Hyperlink" xfId="6" builtinId="8"/>
    <cellStyle name="Normal" xfId="0" builtinId="0"/>
    <cellStyle name="Normal 10" xfId="13"/>
    <cellStyle name="Normal 2 2" xfId="12"/>
    <cellStyle name="Normal_ConsolidatedAg_IM_Clean" xfId="4"/>
    <cellStyle name="Normal_ConsolidatedAg_IM_Clean - v3" xfId="7"/>
    <cellStyle name="Normal_FeederRoadAnalysis_IM_Clean - v4" xfId="5"/>
    <cellStyle name="Normal_Mongolia Health ERR.IM Cleaned - v15" xfId="8"/>
    <cellStyle name="Percent" xfId="2" builtinId="5"/>
    <cellStyle name="Percent 2" xfId="3"/>
    <cellStyle name="Percent 2 2" xfId="9"/>
  </cellStyles>
  <dxfs count="2">
    <dxf>
      <font>
        <condense val="0"/>
        <extend val="0"/>
        <color indexed="10"/>
      </font>
    </dxf>
    <dxf>
      <font>
        <condense val="0"/>
        <extend val="0"/>
        <color indexed="9"/>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Undiscounted Annual Net Benefits Roads Project</a:t>
            </a:r>
          </a:p>
        </c:rich>
      </c:tx>
      <c:layout>
        <c:manualLayout>
          <c:xMode val="edge"/>
          <c:yMode val="edge"/>
          <c:x val="0.16338769556037164"/>
          <c:y val="3.148733754125238E-2"/>
        </c:manualLayout>
      </c:layout>
      <c:overlay val="0"/>
      <c:spPr>
        <a:noFill/>
        <a:ln w="25400">
          <a:noFill/>
        </a:ln>
      </c:spPr>
    </c:title>
    <c:autoTitleDeleted val="0"/>
    <c:plotArea>
      <c:layout>
        <c:manualLayout>
          <c:layoutTarget val="inner"/>
          <c:xMode val="edge"/>
          <c:yMode val="edge"/>
          <c:x val="0.1449750706116372"/>
          <c:y val="0.18367646327143394"/>
          <c:w val="0.82290611509081668"/>
          <c:h val="0.68747476253022355"/>
        </c:manualLayout>
      </c:layout>
      <c:areaChart>
        <c:grouping val="standard"/>
        <c:varyColors val="0"/>
        <c:ser>
          <c:idx val="1"/>
          <c:order val="0"/>
          <c:tx>
            <c:v>Undiscounted Annual Net Benefits, Mozambique Roads Project</c:v>
          </c:tx>
          <c:cat>
            <c:numRef>
              <c:f>'Cost-Benefit Summary'!$G$80:$AA$80</c:f>
              <c:numCache>
                <c:formatCode>General</c:formatCod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'Cost-Benefit Summary'!$G$84:$AA$84</c:f>
              <c:numCache>
                <c:formatCode>#,##0.0000_);\(#,##0.0000\)</c:formatCode>
                <c:ptCount val="21"/>
                <c:pt idx="0">
                  <c:v>-70.746281541659144</c:v>
                </c:pt>
                <c:pt idx="1">
                  <c:v>-46.466872443339959</c:v>
                </c:pt>
                <c:pt idx="2">
                  <c:v>3.6176877849999993</c:v>
                </c:pt>
                <c:pt idx="3">
                  <c:v>4.3734850720000003</c:v>
                </c:pt>
                <c:pt idx="4">
                  <c:v>14.206337087999998</c:v>
                </c:pt>
                <c:pt idx="5">
                  <c:v>13.162062357999998</c:v>
                </c:pt>
                <c:pt idx="6">
                  <c:v>9.0564620859999998</c:v>
                </c:pt>
                <c:pt idx="7">
                  <c:v>9.9950475479999987</c:v>
                </c:pt>
                <c:pt idx="8">
                  <c:v>11.124046907</c:v>
                </c:pt>
                <c:pt idx="9">
                  <c:v>12.459515941000001</c:v>
                </c:pt>
                <c:pt idx="10">
                  <c:v>14.225924563</c:v>
                </c:pt>
                <c:pt idx="11">
                  <c:v>15.960776876999997</c:v>
                </c:pt>
                <c:pt idx="12">
                  <c:v>13.032363626</c:v>
                </c:pt>
                <c:pt idx="13">
                  <c:v>24.892205671999999</c:v>
                </c:pt>
                <c:pt idx="14">
                  <c:v>17.375037797999997</c:v>
                </c:pt>
                <c:pt idx="15">
                  <c:v>22.475818236999995</c:v>
                </c:pt>
                <c:pt idx="16">
                  <c:v>28.364713445</c:v>
                </c:pt>
                <c:pt idx="17">
                  <c:v>30.446216212999996</c:v>
                </c:pt>
              </c:numCache>
            </c:numRef>
          </c:val>
        </c:ser>
        <c:dLbls>
          <c:showLegendKey val="0"/>
          <c:showVal val="0"/>
          <c:showCatName val="0"/>
          <c:showSerName val="0"/>
          <c:showPercent val="0"/>
          <c:showBubbleSize val="0"/>
        </c:dLbls>
        <c:axId val="183704600"/>
        <c:axId val="183703424"/>
      </c:areaChart>
      <c:catAx>
        <c:axId val="1837046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3433678919784333"/>
              <c:y val="0.900014776973253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703424"/>
        <c:crosses val="autoZero"/>
        <c:auto val="1"/>
        <c:lblAlgn val="ctr"/>
        <c:lblOffset val="100"/>
        <c:tickLblSkip val="1"/>
        <c:tickMarkSkip val="1"/>
        <c:noMultiLvlLbl val="0"/>
      </c:catAx>
      <c:valAx>
        <c:axId val="1837034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 US$</a:t>
                </a:r>
              </a:p>
            </c:rich>
          </c:tx>
          <c:layout>
            <c:manualLayout>
              <c:xMode val="edge"/>
              <c:yMode val="edge"/>
              <c:x val="2.2091425606868217E-2"/>
              <c:y val="0.396216531914743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704600"/>
        <c:crosses val="autoZero"/>
        <c:crossBetween val="midCat"/>
      </c:valAx>
      <c:spPr>
        <a:no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horizontalDpi="200" verticalDpi="2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2</xdr:col>
      <xdr:colOff>0</xdr:colOff>
      <xdr:row>6</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0"/>
          <a:ext cx="2409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9526</xdr:colOff>
      <xdr:row>31</xdr:row>
      <xdr:rowOff>47625</xdr:rowOff>
    </xdr:from>
    <xdr:to>
      <xdr:col>1</xdr:col>
      <xdr:colOff>1802192</xdr:colOff>
      <xdr:row>32</xdr:row>
      <xdr:rowOff>0</xdr:rowOff>
    </xdr:to>
    <xdr:pic>
      <xdr:nvPicPr>
        <xdr:cNvPr id="2"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10668000"/>
          <a:ext cx="1792666"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0</xdr:row>
      <xdr:rowOff>38100</xdr:rowOff>
    </xdr:from>
    <xdr:to>
      <xdr:col>1</xdr:col>
      <xdr:colOff>1849816</xdr:colOff>
      <xdr:row>0</xdr:row>
      <xdr:rowOff>180975</xdr:rowOff>
    </xdr:to>
    <xdr:pic>
      <xdr:nvPicPr>
        <xdr:cNvPr id="3"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100"/>
          <a:ext cx="1792666"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29</xdr:row>
      <xdr:rowOff>0</xdr:rowOff>
    </xdr:from>
    <xdr:to>
      <xdr:col>7</xdr:col>
      <xdr:colOff>257175</xdr:colOff>
      <xdr:row>50</xdr:row>
      <xdr:rowOff>152400</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47626</xdr:colOff>
      <xdr:row>0</xdr:row>
      <xdr:rowOff>19050</xdr:rowOff>
    </xdr:from>
    <xdr:to>
      <xdr:col>2</xdr:col>
      <xdr:colOff>962025</xdr:colOff>
      <xdr:row>1</xdr:row>
      <xdr:rowOff>0</xdr:rowOff>
    </xdr:to>
    <xdr:pic>
      <xdr:nvPicPr>
        <xdr:cNvPr id="3" name="Picture 2" descr="MCC horizonta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6" y="19050"/>
          <a:ext cx="200024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2057399</xdr:colOff>
      <xdr:row>1</xdr:row>
      <xdr:rowOff>0</xdr:rowOff>
    </xdr:to>
    <xdr:pic>
      <xdr:nvPicPr>
        <xdr:cNvPr id="2" name="Picture 1"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200024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2</xdr:col>
      <xdr:colOff>581024</xdr:colOff>
      <xdr:row>0</xdr:row>
      <xdr:rowOff>180975</xdr:rowOff>
    </xdr:to>
    <xdr:pic>
      <xdr:nvPicPr>
        <xdr:cNvPr id="3"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200024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381001</xdr:colOff>
      <xdr:row>0</xdr:row>
      <xdr:rowOff>114300</xdr:rowOff>
    </xdr:from>
    <xdr:to>
      <xdr:col>2</xdr:col>
      <xdr:colOff>2571751</xdr:colOff>
      <xdr:row>4</xdr:row>
      <xdr:rowOff>133350</xdr:rowOff>
    </xdr:to>
    <xdr:pic>
      <xdr:nvPicPr>
        <xdr:cNvPr id="2" name="Picture 1" descr="content-branding-logo-hor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1" y="114300"/>
          <a:ext cx="28575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4.worldbank.org/afr/ssatp/Resources/HTML/Models/RED_3.2/red32_en.ht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1"/>
  <sheetViews>
    <sheetView showGridLines="0" tabSelected="1" workbookViewId="0"/>
  </sheetViews>
  <sheetFormatPr defaultRowHeight="12.75" x14ac:dyDescent="0.2"/>
  <cols>
    <col min="1" max="1" width="7.7109375" style="69" customWidth="1"/>
    <col min="2" max="2" width="36.7109375" style="69" customWidth="1"/>
    <col min="3" max="4" width="45.7109375" style="69" customWidth="1"/>
    <col min="5" max="256" width="9.140625" style="69"/>
    <col min="257" max="257" width="7.7109375" style="69" customWidth="1"/>
    <col min="258" max="258" width="36.7109375" style="69" customWidth="1"/>
    <col min="259" max="260" width="45.7109375" style="69" customWidth="1"/>
    <col min="261" max="512" width="9.140625" style="69"/>
    <col min="513" max="513" width="7.7109375" style="69" customWidth="1"/>
    <col min="514" max="514" width="36.7109375" style="69" customWidth="1"/>
    <col min="515" max="516" width="45.7109375" style="69" customWidth="1"/>
    <col min="517" max="768" width="9.140625" style="69"/>
    <col min="769" max="769" width="7.7109375" style="69" customWidth="1"/>
    <col min="770" max="770" width="36.7109375" style="69" customWidth="1"/>
    <col min="771" max="772" width="45.7109375" style="69" customWidth="1"/>
    <col min="773" max="1024" width="9.140625" style="69"/>
    <col min="1025" max="1025" width="7.7109375" style="69" customWidth="1"/>
    <col min="1026" max="1026" width="36.7109375" style="69" customWidth="1"/>
    <col min="1027" max="1028" width="45.7109375" style="69" customWidth="1"/>
    <col min="1029" max="1280" width="9.140625" style="69"/>
    <col min="1281" max="1281" width="7.7109375" style="69" customWidth="1"/>
    <col min="1282" max="1282" width="36.7109375" style="69" customWidth="1"/>
    <col min="1283" max="1284" width="45.7109375" style="69" customWidth="1"/>
    <col min="1285" max="1536" width="9.140625" style="69"/>
    <col min="1537" max="1537" width="7.7109375" style="69" customWidth="1"/>
    <col min="1538" max="1538" width="36.7109375" style="69" customWidth="1"/>
    <col min="1539" max="1540" width="45.7109375" style="69" customWidth="1"/>
    <col min="1541" max="1792" width="9.140625" style="69"/>
    <col min="1793" max="1793" width="7.7109375" style="69" customWidth="1"/>
    <col min="1794" max="1794" width="36.7109375" style="69" customWidth="1"/>
    <col min="1795" max="1796" width="45.7109375" style="69" customWidth="1"/>
    <col min="1797" max="2048" width="9.140625" style="69"/>
    <col min="2049" max="2049" width="7.7109375" style="69" customWidth="1"/>
    <col min="2050" max="2050" width="36.7109375" style="69" customWidth="1"/>
    <col min="2051" max="2052" width="45.7109375" style="69" customWidth="1"/>
    <col min="2053" max="2304" width="9.140625" style="69"/>
    <col min="2305" max="2305" width="7.7109375" style="69" customWidth="1"/>
    <col min="2306" max="2306" width="36.7109375" style="69" customWidth="1"/>
    <col min="2307" max="2308" width="45.7109375" style="69" customWidth="1"/>
    <col min="2309" max="2560" width="9.140625" style="69"/>
    <col min="2561" max="2561" width="7.7109375" style="69" customWidth="1"/>
    <col min="2562" max="2562" width="36.7109375" style="69" customWidth="1"/>
    <col min="2563" max="2564" width="45.7109375" style="69" customWidth="1"/>
    <col min="2565" max="2816" width="9.140625" style="69"/>
    <col min="2817" max="2817" width="7.7109375" style="69" customWidth="1"/>
    <col min="2818" max="2818" width="36.7109375" style="69" customWidth="1"/>
    <col min="2819" max="2820" width="45.7109375" style="69" customWidth="1"/>
    <col min="2821" max="3072" width="9.140625" style="69"/>
    <col min="3073" max="3073" width="7.7109375" style="69" customWidth="1"/>
    <col min="3074" max="3074" width="36.7109375" style="69" customWidth="1"/>
    <col min="3075" max="3076" width="45.7109375" style="69" customWidth="1"/>
    <col min="3077" max="3328" width="9.140625" style="69"/>
    <col min="3329" max="3329" width="7.7109375" style="69" customWidth="1"/>
    <col min="3330" max="3330" width="36.7109375" style="69" customWidth="1"/>
    <col min="3331" max="3332" width="45.7109375" style="69" customWidth="1"/>
    <col min="3333" max="3584" width="9.140625" style="69"/>
    <col min="3585" max="3585" width="7.7109375" style="69" customWidth="1"/>
    <col min="3586" max="3586" width="36.7109375" style="69" customWidth="1"/>
    <col min="3587" max="3588" width="45.7109375" style="69" customWidth="1"/>
    <col min="3589" max="3840" width="9.140625" style="69"/>
    <col min="3841" max="3841" width="7.7109375" style="69" customWidth="1"/>
    <col min="3842" max="3842" width="36.7109375" style="69" customWidth="1"/>
    <col min="3843" max="3844" width="45.7109375" style="69" customWidth="1"/>
    <col min="3845" max="4096" width="9.140625" style="69"/>
    <col min="4097" max="4097" width="7.7109375" style="69" customWidth="1"/>
    <col min="4098" max="4098" width="36.7109375" style="69" customWidth="1"/>
    <col min="4099" max="4100" width="45.7109375" style="69" customWidth="1"/>
    <col min="4101" max="4352" width="9.140625" style="69"/>
    <col min="4353" max="4353" width="7.7109375" style="69" customWidth="1"/>
    <col min="4354" max="4354" width="36.7109375" style="69" customWidth="1"/>
    <col min="4355" max="4356" width="45.7109375" style="69" customWidth="1"/>
    <col min="4357" max="4608" width="9.140625" style="69"/>
    <col min="4609" max="4609" width="7.7109375" style="69" customWidth="1"/>
    <col min="4610" max="4610" width="36.7109375" style="69" customWidth="1"/>
    <col min="4611" max="4612" width="45.7109375" style="69" customWidth="1"/>
    <col min="4613" max="4864" width="9.140625" style="69"/>
    <col min="4865" max="4865" width="7.7109375" style="69" customWidth="1"/>
    <col min="4866" max="4866" width="36.7109375" style="69" customWidth="1"/>
    <col min="4867" max="4868" width="45.7109375" style="69" customWidth="1"/>
    <col min="4869" max="5120" width="9.140625" style="69"/>
    <col min="5121" max="5121" width="7.7109375" style="69" customWidth="1"/>
    <col min="5122" max="5122" width="36.7109375" style="69" customWidth="1"/>
    <col min="5123" max="5124" width="45.7109375" style="69" customWidth="1"/>
    <col min="5125" max="5376" width="9.140625" style="69"/>
    <col min="5377" max="5377" width="7.7109375" style="69" customWidth="1"/>
    <col min="5378" max="5378" width="36.7109375" style="69" customWidth="1"/>
    <col min="5379" max="5380" width="45.7109375" style="69" customWidth="1"/>
    <col min="5381" max="5632" width="9.140625" style="69"/>
    <col min="5633" max="5633" width="7.7109375" style="69" customWidth="1"/>
    <col min="5634" max="5634" width="36.7109375" style="69" customWidth="1"/>
    <col min="5635" max="5636" width="45.7109375" style="69" customWidth="1"/>
    <col min="5637" max="5888" width="9.140625" style="69"/>
    <col min="5889" max="5889" width="7.7109375" style="69" customWidth="1"/>
    <col min="5890" max="5890" width="36.7109375" style="69" customWidth="1"/>
    <col min="5891" max="5892" width="45.7109375" style="69" customWidth="1"/>
    <col min="5893" max="6144" width="9.140625" style="69"/>
    <col min="6145" max="6145" width="7.7109375" style="69" customWidth="1"/>
    <col min="6146" max="6146" width="36.7109375" style="69" customWidth="1"/>
    <col min="6147" max="6148" width="45.7109375" style="69" customWidth="1"/>
    <col min="6149" max="6400" width="9.140625" style="69"/>
    <col min="6401" max="6401" width="7.7109375" style="69" customWidth="1"/>
    <col min="6402" max="6402" width="36.7109375" style="69" customWidth="1"/>
    <col min="6403" max="6404" width="45.7109375" style="69" customWidth="1"/>
    <col min="6405" max="6656" width="9.140625" style="69"/>
    <col min="6657" max="6657" width="7.7109375" style="69" customWidth="1"/>
    <col min="6658" max="6658" width="36.7109375" style="69" customWidth="1"/>
    <col min="6659" max="6660" width="45.7109375" style="69" customWidth="1"/>
    <col min="6661" max="6912" width="9.140625" style="69"/>
    <col min="6913" max="6913" width="7.7109375" style="69" customWidth="1"/>
    <col min="6914" max="6914" width="36.7109375" style="69" customWidth="1"/>
    <col min="6915" max="6916" width="45.7109375" style="69" customWidth="1"/>
    <col min="6917" max="7168" width="9.140625" style="69"/>
    <col min="7169" max="7169" width="7.7109375" style="69" customWidth="1"/>
    <col min="7170" max="7170" width="36.7109375" style="69" customWidth="1"/>
    <col min="7171" max="7172" width="45.7109375" style="69" customWidth="1"/>
    <col min="7173" max="7424" width="9.140625" style="69"/>
    <col min="7425" max="7425" width="7.7109375" style="69" customWidth="1"/>
    <col min="7426" max="7426" width="36.7109375" style="69" customWidth="1"/>
    <col min="7427" max="7428" width="45.7109375" style="69" customWidth="1"/>
    <col min="7429" max="7680" width="9.140625" style="69"/>
    <col min="7681" max="7681" width="7.7109375" style="69" customWidth="1"/>
    <col min="7682" max="7682" width="36.7109375" style="69" customWidth="1"/>
    <col min="7683" max="7684" width="45.7109375" style="69" customWidth="1"/>
    <col min="7685" max="7936" width="9.140625" style="69"/>
    <col min="7937" max="7937" width="7.7109375" style="69" customWidth="1"/>
    <col min="7938" max="7938" width="36.7109375" style="69" customWidth="1"/>
    <col min="7939" max="7940" width="45.7109375" style="69" customWidth="1"/>
    <col min="7941" max="8192" width="9.140625" style="69"/>
    <col min="8193" max="8193" width="7.7109375" style="69" customWidth="1"/>
    <col min="8194" max="8194" width="36.7109375" style="69" customWidth="1"/>
    <col min="8195" max="8196" width="45.7109375" style="69" customWidth="1"/>
    <col min="8197" max="8448" width="9.140625" style="69"/>
    <col min="8449" max="8449" width="7.7109375" style="69" customWidth="1"/>
    <col min="8450" max="8450" width="36.7109375" style="69" customWidth="1"/>
    <col min="8451" max="8452" width="45.7109375" style="69" customWidth="1"/>
    <col min="8453" max="8704" width="9.140625" style="69"/>
    <col min="8705" max="8705" width="7.7109375" style="69" customWidth="1"/>
    <col min="8706" max="8706" width="36.7109375" style="69" customWidth="1"/>
    <col min="8707" max="8708" width="45.7109375" style="69" customWidth="1"/>
    <col min="8709" max="8960" width="9.140625" style="69"/>
    <col min="8961" max="8961" width="7.7109375" style="69" customWidth="1"/>
    <col min="8962" max="8962" width="36.7109375" style="69" customWidth="1"/>
    <col min="8963" max="8964" width="45.7109375" style="69" customWidth="1"/>
    <col min="8965" max="9216" width="9.140625" style="69"/>
    <col min="9217" max="9217" width="7.7109375" style="69" customWidth="1"/>
    <col min="9218" max="9218" width="36.7109375" style="69" customWidth="1"/>
    <col min="9219" max="9220" width="45.7109375" style="69" customWidth="1"/>
    <col min="9221" max="9472" width="9.140625" style="69"/>
    <col min="9473" max="9473" width="7.7109375" style="69" customWidth="1"/>
    <col min="9474" max="9474" width="36.7109375" style="69" customWidth="1"/>
    <col min="9475" max="9476" width="45.7109375" style="69" customWidth="1"/>
    <col min="9477" max="9728" width="9.140625" style="69"/>
    <col min="9729" max="9729" width="7.7109375" style="69" customWidth="1"/>
    <col min="9730" max="9730" width="36.7109375" style="69" customWidth="1"/>
    <col min="9731" max="9732" width="45.7109375" style="69" customWidth="1"/>
    <col min="9733" max="9984" width="9.140625" style="69"/>
    <col min="9985" max="9985" width="7.7109375" style="69" customWidth="1"/>
    <col min="9986" max="9986" width="36.7109375" style="69" customWidth="1"/>
    <col min="9987" max="9988" width="45.7109375" style="69" customWidth="1"/>
    <col min="9989" max="10240" width="9.140625" style="69"/>
    <col min="10241" max="10241" width="7.7109375" style="69" customWidth="1"/>
    <col min="10242" max="10242" width="36.7109375" style="69" customWidth="1"/>
    <col min="10243" max="10244" width="45.7109375" style="69" customWidth="1"/>
    <col min="10245" max="10496" width="9.140625" style="69"/>
    <col min="10497" max="10497" width="7.7109375" style="69" customWidth="1"/>
    <col min="10498" max="10498" width="36.7109375" style="69" customWidth="1"/>
    <col min="10499" max="10500" width="45.7109375" style="69" customWidth="1"/>
    <col min="10501" max="10752" width="9.140625" style="69"/>
    <col min="10753" max="10753" width="7.7109375" style="69" customWidth="1"/>
    <col min="10754" max="10754" width="36.7109375" style="69" customWidth="1"/>
    <col min="10755" max="10756" width="45.7109375" style="69" customWidth="1"/>
    <col min="10757" max="11008" width="9.140625" style="69"/>
    <col min="11009" max="11009" width="7.7109375" style="69" customWidth="1"/>
    <col min="11010" max="11010" width="36.7109375" style="69" customWidth="1"/>
    <col min="11011" max="11012" width="45.7109375" style="69" customWidth="1"/>
    <col min="11013" max="11264" width="9.140625" style="69"/>
    <col min="11265" max="11265" width="7.7109375" style="69" customWidth="1"/>
    <col min="11266" max="11266" width="36.7109375" style="69" customWidth="1"/>
    <col min="11267" max="11268" width="45.7109375" style="69" customWidth="1"/>
    <col min="11269" max="11520" width="9.140625" style="69"/>
    <col min="11521" max="11521" width="7.7109375" style="69" customWidth="1"/>
    <col min="11522" max="11522" width="36.7109375" style="69" customWidth="1"/>
    <col min="11523" max="11524" width="45.7109375" style="69" customWidth="1"/>
    <col min="11525" max="11776" width="9.140625" style="69"/>
    <col min="11777" max="11777" width="7.7109375" style="69" customWidth="1"/>
    <col min="11778" max="11778" width="36.7109375" style="69" customWidth="1"/>
    <col min="11779" max="11780" width="45.7109375" style="69" customWidth="1"/>
    <col min="11781" max="12032" width="9.140625" style="69"/>
    <col min="12033" max="12033" width="7.7109375" style="69" customWidth="1"/>
    <col min="12034" max="12034" width="36.7109375" style="69" customWidth="1"/>
    <col min="12035" max="12036" width="45.7109375" style="69" customWidth="1"/>
    <col min="12037" max="12288" width="9.140625" style="69"/>
    <col min="12289" max="12289" width="7.7109375" style="69" customWidth="1"/>
    <col min="12290" max="12290" width="36.7109375" style="69" customWidth="1"/>
    <col min="12291" max="12292" width="45.7109375" style="69" customWidth="1"/>
    <col min="12293" max="12544" width="9.140625" style="69"/>
    <col min="12545" max="12545" width="7.7109375" style="69" customWidth="1"/>
    <col min="12546" max="12546" width="36.7109375" style="69" customWidth="1"/>
    <col min="12547" max="12548" width="45.7109375" style="69" customWidth="1"/>
    <col min="12549" max="12800" width="9.140625" style="69"/>
    <col min="12801" max="12801" width="7.7109375" style="69" customWidth="1"/>
    <col min="12802" max="12802" width="36.7109375" style="69" customWidth="1"/>
    <col min="12803" max="12804" width="45.7109375" style="69" customWidth="1"/>
    <col min="12805" max="13056" width="9.140625" style="69"/>
    <col min="13057" max="13057" width="7.7109375" style="69" customWidth="1"/>
    <col min="13058" max="13058" width="36.7109375" style="69" customWidth="1"/>
    <col min="13059" max="13060" width="45.7109375" style="69" customWidth="1"/>
    <col min="13061" max="13312" width="9.140625" style="69"/>
    <col min="13313" max="13313" width="7.7109375" style="69" customWidth="1"/>
    <col min="13314" max="13314" width="36.7109375" style="69" customWidth="1"/>
    <col min="13315" max="13316" width="45.7109375" style="69" customWidth="1"/>
    <col min="13317" max="13568" width="9.140625" style="69"/>
    <col min="13569" max="13569" width="7.7109375" style="69" customWidth="1"/>
    <col min="13570" max="13570" width="36.7109375" style="69" customWidth="1"/>
    <col min="13571" max="13572" width="45.7109375" style="69" customWidth="1"/>
    <col min="13573" max="13824" width="9.140625" style="69"/>
    <col min="13825" max="13825" width="7.7109375" style="69" customWidth="1"/>
    <col min="13826" max="13826" width="36.7109375" style="69" customWidth="1"/>
    <col min="13827" max="13828" width="45.7109375" style="69" customWidth="1"/>
    <col min="13829" max="14080" width="9.140625" style="69"/>
    <col min="14081" max="14081" width="7.7109375" style="69" customWidth="1"/>
    <col min="14082" max="14082" width="36.7109375" style="69" customWidth="1"/>
    <col min="14083" max="14084" width="45.7109375" style="69" customWidth="1"/>
    <col min="14085" max="14336" width="9.140625" style="69"/>
    <col min="14337" max="14337" width="7.7109375" style="69" customWidth="1"/>
    <col min="14338" max="14338" width="36.7109375" style="69" customWidth="1"/>
    <col min="14339" max="14340" width="45.7109375" style="69" customWidth="1"/>
    <col min="14341" max="14592" width="9.140625" style="69"/>
    <col min="14593" max="14593" width="7.7109375" style="69" customWidth="1"/>
    <col min="14594" max="14594" width="36.7109375" style="69" customWidth="1"/>
    <col min="14595" max="14596" width="45.7109375" style="69" customWidth="1"/>
    <col min="14597" max="14848" width="9.140625" style="69"/>
    <col min="14849" max="14849" width="7.7109375" style="69" customWidth="1"/>
    <col min="14850" max="14850" width="36.7109375" style="69" customWidth="1"/>
    <col min="14851" max="14852" width="45.7109375" style="69" customWidth="1"/>
    <col min="14853" max="15104" width="9.140625" style="69"/>
    <col min="15105" max="15105" width="7.7109375" style="69" customWidth="1"/>
    <col min="15106" max="15106" width="36.7109375" style="69" customWidth="1"/>
    <col min="15107" max="15108" width="45.7109375" style="69" customWidth="1"/>
    <col min="15109" max="15360" width="9.140625" style="69"/>
    <col min="15361" max="15361" width="7.7109375" style="69" customWidth="1"/>
    <col min="15362" max="15362" width="36.7109375" style="69" customWidth="1"/>
    <col min="15363" max="15364" width="45.7109375" style="69" customWidth="1"/>
    <col min="15365" max="15616" width="9.140625" style="69"/>
    <col min="15617" max="15617" width="7.7109375" style="69" customWidth="1"/>
    <col min="15618" max="15618" width="36.7109375" style="69" customWidth="1"/>
    <col min="15619" max="15620" width="45.7109375" style="69" customWidth="1"/>
    <col min="15621" max="15872" width="9.140625" style="69"/>
    <col min="15873" max="15873" width="7.7109375" style="69" customWidth="1"/>
    <col min="15874" max="15874" width="36.7109375" style="69" customWidth="1"/>
    <col min="15875" max="15876" width="45.7109375" style="69" customWidth="1"/>
    <col min="15877" max="16128" width="9.140625" style="69"/>
    <col min="16129" max="16129" width="7.7109375" style="69" customWidth="1"/>
    <col min="16130" max="16130" width="36.7109375" style="69" customWidth="1"/>
    <col min="16131" max="16132" width="45.7109375" style="69" customWidth="1"/>
    <col min="16133" max="16384" width="9.140625" style="69"/>
  </cols>
  <sheetData>
    <row r="1" spans="2:5" x14ac:dyDescent="0.2">
      <c r="D1" s="261" t="s">
        <v>50</v>
      </c>
    </row>
    <row r="2" spans="2:5" x14ac:dyDescent="0.2">
      <c r="C2" s="371" t="s">
        <v>164</v>
      </c>
      <c r="D2" s="371"/>
    </row>
    <row r="3" spans="2:5" ht="12.75" customHeight="1" x14ac:dyDescent="0.2">
      <c r="C3" s="371"/>
      <c r="D3" s="371"/>
    </row>
    <row r="4" spans="2:5" x14ac:dyDescent="0.2">
      <c r="C4" s="371"/>
      <c r="D4" s="371"/>
    </row>
    <row r="5" spans="2:5" x14ac:dyDescent="0.2">
      <c r="C5" s="371"/>
      <c r="D5" s="371"/>
    </row>
    <row r="6" spans="2:5" x14ac:dyDescent="0.2">
      <c r="C6" s="371"/>
      <c r="D6" s="371"/>
    </row>
    <row r="7" spans="2:5" ht="25.5" customHeight="1" x14ac:dyDescent="0.25">
      <c r="C7" s="372"/>
      <c r="D7" s="372"/>
    </row>
    <row r="8" spans="2:5" ht="13.5" thickBot="1" x14ac:dyDescent="0.25"/>
    <row r="9" spans="2:5" s="74" customFormat="1" ht="18" customHeight="1" thickTop="1" x14ac:dyDescent="0.2">
      <c r="B9" s="70" t="s">
        <v>51</v>
      </c>
      <c r="C9" s="71" t="s">
        <v>52</v>
      </c>
      <c r="D9" s="72" t="s">
        <v>53</v>
      </c>
      <c r="E9" s="73"/>
    </row>
    <row r="10" spans="2:5" s="74" customFormat="1" ht="18" customHeight="1" x14ac:dyDescent="0.25">
      <c r="B10" s="75" t="s">
        <v>54</v>
      </c>
      <c r="C10" s="76">
        <v>39239</v>
      </c>
      <c r="D10" s="77">
        <v>41657</v>
      </c>
    </row>
    <row r="11" spans="2:5" s="74" customFormat="1" ht="18" customHeight="1" x14ac:dyDescent="0.25">
      <c r="B11" s="75" t="s">
        <v>55</v>
      </c>
      <c r="C11" s="78" t="s">
        <v>165</v>
      </c>
      <c r="D11" s="79" t="s">
        <v>250</v>
      </c>
    </row>
    <row r="12" spans="2:5" ht="126" customHeight="1" x14ac:dyDescent="0.2">
      <c r="B12" s="80" t="s">
        <v>56</v>
      </c>
      <c r="C12" s="81" t="s">
        <v>69</v>
      </c>
      <c r="D12" s="82" t="s">
        <v>167</v>
      </c>
    </row>
    <row r="13" spans="2:5" ht="30" customHeight="1" x14ac:dyDescent="0.2">
      <c r="B13" s="373" t="s">
        <v>57</v>
      </c>
      <c r="C13" s="105" t="s">
        <v>70</v>
      </c>
      <c r="D13" s="106" t="s">
        <v>70</v>
      </c>
    </row>
    <row r="14" spans="2:5" ht="34.5" customHeight="1" x14ac:dyDescent="0.2">
      <c r="B14" s="374"/>
      <c r="C14" s="107" t="s">
        <v>71</v>
      </c>
      <c r="D14" s="108" t="s">
        <v>71</v>
      </c>
    </row>
    <row r="15" spans="2:5" ht="35.25" customHeight="1" x14ac:dyDescent="0.2">
      <c r="B15" s="374"/>
      <c r="C15" s="109" t="s">
        <v>72</v>
      </c>
      <c r="D15" s="108" t="s">
        <v>72</v>
      </c>
    </row>
    <row r="16" spans="2:5" ht="30" customHeight="1" x14ac:dyDescent="0.2">
      <c r="B16" s="374"/>
      <c r="C16" s="110"/>
      <c r="D16" s="111"/>
    </row>
    <row r="17" spans="2:4" ht="30" customHeight="1" x14ac:dyDescent="0.2">
      <c r="B17" s="374"/>
      <c r="C17" s="112"/>
      <c r="D17" s="111"/>
    </row>
    <row r="18" spans="2:4" ht="30" customHeight="1" x14ac:dyDescent="0.2">
      <c r="B18" s="374"/>
      <c r="C18" s="112"/>
      <c r="D18" s="113"/>
    </row>
    <row r="19" spans="2:4" ht="30" customHeight="1" x14ac:dyDescent="0.2">
      <c r="B19" s="374"/>
      <c r="C19" s="112"/>
      <c r="D19" s="113"/>
    </row>
    <row r="20" spans="2:4" ht="30" customHeight="1" x14ac:dyDescent="0.2">
      <c r="B20" s="375"/>
      <c r="C20" s="114"/>
      <c r="D20" s="115"/>
    </row>
    <row r="21" spans="2:4" ht="38.25" customHeight="1" x14ac:dyDescent="0.2">
      <c r="B21" s="75" t="s">
        <v>58</v>
      </c>
      <c r="C21" s="83" t="s">
        <v>59</v>
      </c>
      <c r="D21" s="84" t="s">
        <v>73</v>
      </c>
    </row>
    <row r="22" spans="2:4" ht="18" customHeight="1" thickBot="1" x14ac:dyDescent="0.25">
      <c r="B22" s="85" t="s">
        <v>60</v>
      </c>
      <c r="C22" s="86" t="s">
        <v>74</v>
      </c>
      <c r="D22" s="87" t="s">
        <v>251</v>
      </c>
    </row>
    <row r="23" spans="2:4" ht="18" customHeight="1" thickTop="1" x14ac:dyDescent="0.2">
      <c r="B23" s="88"/>
      <c r="C23" s="89"/>
    </row>
    <row r="24" spans="2:4" x14ac:dyDescent="0.2">
      <c r="B24" s="90" t="s">
        <v>61</v>
      </c>
      <c r="C24" s="91"/>
    </row>
    <row r="25" spans="2:4" x14ac:dyDescent="0.2">
      <c r="B25" s="92" t="s">
        <v>62</v>
      </c>
      <c r="C25" s="93"/>
      <c r="D25" s="94"/>
    </row>
    <row r="26" spans="2:4" x14ac:dyDescent="0.2">
      <c r="B26" s="376" t="s">
        <v>63</v>
      </c>
      <c r="C26" s="376"/>
      <c r="D26" s="376"/>
    </row>
    <row r="27" spans="2:4" x14ac:dyDescent="0.2">
      <c r="B27" s="91"/>
      <c r="C27" s="91"/>
      <c r="D27" s="94"/>
    </row>
    <row r="28" spans="2:4" s="97" customFormat="1" x14ac:dyDescent="0.2">
      <c r="B28" s="95" t="s">
        <v>64</v>
      </c>
      <c r="C28" s="95"/>
      <c r="D28" s="96"/>
    </row>
    <row r="29" spans="2:4" s="97" customFormat="1" x14ac:dyDescent="0.2">
      <c r="B29" s="377" t="s">
        <v>65</v>
      </c>
      <c r="C29" s="377"/>
      <c r="D29" s="377"/>
    </row>
    <row r="30" spans="2:4" s="97" customFormat="1" x14ac:dyDescent="0.2">
      <c r="B30" s="98"/>
      <c r="C30" s="98"/>
      <c r="D30" s="96"/>
    </row>
    <row r="31" spans="2:4" s="97" customFormat="1" x14ac:dyDescent="0.2">
      <c r="B31" s="99" t="s">
        <v>66</v>
      </c>
      <c r="C31" s="99"/>
      <c r="D31" s="96"/>
    </row>
    <row r="32" spans="2:4" s="97" customFormat="1" x14ac:dyDescent="0.2">
      <c r="B32" s="378" t="s">
        <v>67</v>
      </c>
      <c r="C32" s="378"/>
      <c r="D32" s="378"/>
    </row>
    <row r="33" spans="2:4" s="97" customFormat="1" x14ac:dyDescent="0.2"/>
    <row r="34" spans="2:4" s="97" customFormat="1" x14ac:dyDescent="0.2">
      <c r="B34" s="104" t="s">
        <v>111</v>
      </c>
      <c r="C34" s="101"/>
      <c r="D34" s="96"/>
    </row>
    <row r="35" spans="2:4" s="97" customFormat="1" x14ac:dyDescent="0.2">
      <c r="B35" s="378" t="s">
        <v>112</v>
      </c>
      <c r="C35" s="378"/>
      <c r="D35" s="378"/>
    </row>
    <row r="36" spans="2:4" s="97" customFormat="1" x14ac:dyDescent="0.2">
      <c r="B36" s="98"/>
      <c r="C36" s="98"/>
      <c r="D36" s="96"/>
    </row>
    <row r="37" spans="2:4" s="97" customFormat="1" x14ac:dyDescent="0.2">
      <c r="B37" s="102" t="s">
        <v>246</v>
      </c>
      <c r="C37" s="267"/>
      <c r="D37" s="96"/>
    </row>
    <row r="38" spans="2:4" s="97" customFormat="1" x14ac:dyDescent="0.2">
      <c r="B38" s="267" t="s">
        <v>247</v>
      </c>
      <c r="C38" s="267"/>
      <c r="D38" s="96"/>
    </row>
    <row r="39" spans="2:4" s="97" customFormat="1" x14ac:dyDescent="0.2">
      <c r="B39" s="267"/>
      <c r="C39" s="267"/>
      <c r="D39" s="96"/>
    </row>
    <row r="40" spans="2:4" s="97" customFormat="1" x14ac:dyDescent="0.2">
      <c r="B40" s="102" t="s">
        <v>113</v>
      </c>
      <c r="C40" s="99"/>
      <c r="D40" s="96"/>
    </row>
    <row r="41" spans="2:4" s="97" customFormat="1" x14ac:dyDescent="0.2">
      <c r="B41" s="370"/>
      <c r="C41" s="370"/>
      <c r="D41" s="370"/>
    </row>
    <row r="42" spans="2:4" s="97" customFormat="1" x14ac:dyDescent="0.2">
      <c r="B42" s="103"/>
      <c r="C42" s="103"/>
      <c r="D42" s="103"/>
    </row>
    <row r="43" spans="2:4" s="97" customFormat="1" ht="15" customHeight="1" x14ac:dyDescent="0.2">
      <c r="B43" s="104"/>
      <c r="C43" s="99"/>
      <c r="D43" s="96"/>
    </row>
    <row r="44" spans="2:4" s="97" customFormat="1" ht="15" customHeight="1" x14ac:dyDescent="0.2">
      <c r="B44" s="370"/>
      <c r="C44" s="370"/>
      <c r="D44" s="103"/>
    </row>
    <row r="45" spans="2:4" s="97" customFormat="1" x14ac:dyDescent="0.2">
      <c r="B45" s="103"/>
      <c r="C45" s="103"/>
      <c r="D45" s="103"/>
    </row>
    <row r="46" spans="2:4" s="97" customFormat="1" x14ac:dyDescent="0.2">
      <c r="B46" s="100"/>
      <c r="C46" s="103"/>
      <c r="D46" s="103"/>
    </row>
    <row r="47" spans="2:4" s="97" customFormat="1" ht="13.5" customHeight="1" x14ac:dyDescent="0.2">
      <c r="B47" s="370"/>
      <c r="C47" s="370"/>
      <c r="D47" s="103"/>
    </row>
    <row r="48" spans="2:4" s="97" customFormat="1" x14ac:dyDescent="0.2">
      <c r="B48" s="103"/>
      <c r="C48" s="103"/>
      <c r="D48" s="103"/>
    </row>
    <row r="49" spans="2:4" s="97" customFormat="1" x14ac:dyDescent="0.2">
      <c r="B49" s="104"/>
      <c r="C49" s="99"/>
      <c r="D49" s="96"/>
    </row>
    <row r="50" spans="2:4" s="97" customFormat="1" x14ac:dyDescent="0.2">
      <c r="B50" s="370"/>
      <c r="C50" s="370"/>
      <c r="D50" s="103"/>
    </row>
    <row r="51" spans="2:4" s="97" customFormat="1" x14ac:dyDescent="0.2">
      <c r="B51" s="103"/>
      <c r="C51" s="103"/>
      <c r="D51" s="103"/>
    </row>
    <row r="52" spans="2:4" x14ac:dyDescent="0.2">
      <c r="B52" s="102"/>
      <c r="C52" s="99"/>
      <c r="D52" s="96"/>
    </row>
    <row r="53" spans="2:4" x14ac:dyDescent="0.2">
      <c r="B53" s="370"/>
      <c r="C53" s="370"/>
      <c r="D53" s="370"/>
    </row>
    <row r="55" spans="2:4" x14ac:dyDescent="0.2">
      <c r="B55" s="104"/>
    </row>
    <row r="58" spans="2:4" x14ac:dyDescent="0.2">
      <c r="B58" s="104"/>
    </row>
    <row r="61" spans="2:4" x14ac:dyDescent="0.2">
      <c r="B61" s="104"/>
    </row>
  </sheetData>
  <mergeCells count="12">
    <mergeCell ref="B53:D53"/>
    <mergeCell ref="C2:D6"/>
    <mergeCell ref="C7:D7"/>
    <mergeCell ref="B13:B20"/>
    <mergeCell ref="B26:D26"/>
    <mergeCell ref="B29:D29"/>
    <mergeCell ref="B32:D32"/>
    <mergeCell ref="B35:D35"/>
    <mergeCell ref="B41:D41"/>
    <mergeCell ref="B44:C44"/>
    <mergeCell ref="B47:C47"/>
    <mergeCell ref="B50:C50"/>
  </mergeCells>
  <hyperlinks>
    <hyperlink ref="B28" location="'ERR &amp; Sensitivity Analysis'!A1" display="ERR &amp; Sensitivity Analysis"/>
    <hyperlink ref="B25" location="'Activity Description'!A1" display="Activity Description"/>
    <hyperlink ref="B31" location="'Cost-Benefit Summary'!A1" display="Cost-Benefit Summary"/>
    <hyperlink ref="B34" location="'Cost Summary'!A1" display="Cost Summary"/>
    <hyperlink ref="B40" location="'Poverty Scorecard'!A1" display="Poverty Scorecard"/>
    <hyperlink ref="B37" location="'Dollar Conversion'!A1" display="Dollar Conversio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2"/>
  <sheetViews>
    <sheetView showGridLines="0" workbookViewId="0">
      <selection activeCell="B12" sqref="B12"/>
    </sheetView>
  </sheetViews>
  <sheetFormatPr defaultRowHeight="15" x14ac:dyDescent="0.25"/>
  <cols>
    <col min="1" max="1" width="5.7109375" style="116" customWidth="1"/>
    <col min="2" max="2" width="106.42578125" style="116" customWidth="1"/>
    <col min="3" max="256" width="9.140625" style="116"/>
    <col min="257" max="257" width="5.7109375" style="116" customWidth="1"/>
    <col min="258" max="258" width="106.42578125" style="116" customWidth="1"/>
    <col min="259" max="512" width="9.140625" style="116"/>
    <col min="513" max="513" width="5.7109375" style="116" customWidth="1"/>
    <col min="514" max="514" width="106.42578125" style="116" customWidth="1"/>
    <col min="515" max="768" width="9.140625" style="116"/>
    <col min="769" max="769" width="5.7109375" style="116" customWidth="1"/>
    <col min="770" max="770" width="106.42578125" style="116" customWidth="1"/>
    <col min="771" max="1024" width="9.140625" style="116"/>
    <col min="1025" max="1025" width="5.7109375" style="116" customWidth="1"/>
    <col min="1026" max="1026" width="106.42578125" style="116" customWidth="1"/>
    <col min="1027" max="1280" width="9.140625" style="116"/>
    <col min="1281" max="1281" width="5.7109375" style="116" customWidth="1"/>
    <col min="1282" max="1282" width="106.42578125" style="116" customWidth="1"/>
    <col min="1283" max="1536" width="9.140625" style="116"/>
    <col min="1537" max="1537" width="5.7109375" style="116" customWidth="1"/>
    <col min="1538" max="1538" width="106.42578125" style="116" customWidth="1"/>
    <col min="1539" max="1792" width="9.140625" style="116"/>
    <col min="1793" max="1793" width="5.7109375" style="116" customWidth="1"/>
    <col min="1794" max="1794" width="106.42578125" style="116" customWidth="1"/>
    <col min="1795" max="2048" width="9.140625" style="116"/>
    <col min="2049" max="2049" width="5.7109375" style="116" customWidth="1"/>
    <col min="2050" max="2050" width="106.42578125" style="116" customWidth="1"/>
    <col min="2051" max="2304" width="9.140625" style="116"/>
    <col min="2305" max="2305" width="5.7109375" style="116" customWidth="1"/>
    <col min="2306" max="2306" width="106.42578125" style="116" customWidth="1"/>
    <col min="2307" max="2560" width="9.140625" style="116"/>
    <col min="2561" max="2561" width="5.7109375" style="116" customWidth="1"/>
    <col min="2562" max="2562" width="106.42578125" style="116" customWidth="1"/>
    <col min="2563" max="2816" width="9.140625" style="116"/>
    <col min="2817" max="2817" width="5.7109375" style="116" customWidth="1"/>
    <col min="2818" max="2818" width="106.42578125" style="116" customWidth="1"/>
    <col min="2819" max="3072" width="9.140625" style="116"/>
    <col min="3073" max="3073" width="5.7109375" style="116" customWidth="1"/>
    <col min="3074" max="3074" width="106.42578125" style="116" customWidth="1"/>
    <col min="3075" max="3328" width="9.140625" style="116"/>
    <col min="3329" max="3329" width="5.7109375" style="116" customWidth="1"/>
    <col min="3330" max="3330" width="106.42578125" style="116" customWidth="1"/>
    <col min="3331" max="3584" width="9.140625" style="116"/>
    <col min="3585" max="3585" width="5.7109375" style="116" customWidth="1"/>
    <col min="3586" max="3586" width="106.42578125" style="116" customWidth="1"/>
    <col min="3587" max="3840" width="9.140625" style="116"/>
    <col min="3841" max="3841" width="5.7109375" style="116" customWidth="1"/>
    <col min="3842" max="3842" width="106.42578125" style="116" customWidth="1"/>
    <col min="3843" max="4096" width="9.140625" style="116"/>
    <col min="4097" max="4097" width="5.7109375" style="116" customWidth="1"/>
    <col min="4098" max="4098" width="106.42578125" style="116" customWidth="1"/>
    <col min="4099" max="4352" width="9.140625" style="116"/>
    <col min="4353" max="4353" width="5.7109375" style="116" customWidth="1"/>
    <col min="4354" max="4354" width="106.42578125" style="116" customWidth="1"/>
    <col min="4355" max="4608" width="9.140625" style="116"/>
    <col min="4609" max="4609" width="5.7109375" style="116" customWidth="1"/>
    <col min="4610" max="4610" width="106.42578125" style="116" customWidth="1"/>
    <col min="4611" max="4864" width="9.140625" style="116"/>
    <col min="4865" max="4865" width="5.7109375" style="116" customWidth="1"/>
    <col min="4866" max="4866" width="106.42578125" style="116" customWidth="1"/>
    <col min="4867" max="5120" width="9.140625" style="116"/>
    <col min="5121" max="5121" width="5.7109375" style="116" customWidth="1"/>
    <col min="5122" max="5122" width="106.42578125" style="116" customWidth="1"/>
    <col min="5123" max="5376" width="9.140625" style="116"/>
    <col min="5377" max="5377" width="5.7109375" style="116" customWidth="1"/>
    <col min="5378" max="5378" width="106.42578125" style="116" customWidth="1"/>
    <col min="5379" max="5632" width="9.140625" style="116"/>
    <col min="5633" max="5633" width="5.7109375" style="116" customWidth="1"/>
    <col min="5634" max="5634" width="106.42578125" style="116" customWidth="1"/>
    <col min="5635" max="5888" width="9.140625" style="116"/>
    <col min="5889" max="5889" width="5.7109375" style="116" customWidth="1"/>
    <col min="5890" max="5890" width="106.42578125" style="116" customWidth="1"/>
    <col min="5891" max="6144" width="9.140625" style="116"/>
    <col min="6145" max="6145" width="5.7109375" style="116" customWidth="1"/>
    <col min="6146" max="6146" width="106.42578125" style="116" customWidth="1"/>
    <col min="6147" max="6400" width="9.140625" style="116"/>
    <col min="6401" max="6401" width="5.7109375" style="116" customWidth="1"/>
    <col min="6402" max="6402" width="106.42578125" style="116" customWidth="1"/>
    <col min="6403" max="6656" width="9.140625" style="116"/>
    <col min="6657" max="6657" width="5.7109375" style="116" customWidth="1"/>
    <col min="6658" max="6658" width="106.42578125" style="116" customWidth="1"/>
    <col min="6659" max="6912" width="9.140625" style="116"/>
    <col min="6913" max="6913" width="5.7109375" style="116" customWidth="1"/>
    <col min="6914" max="6914" width="106.42578125" style="116" customWidth="1"/>
    <col min="6915" max="7168" width="9.140625" style="116"/>
    <col min="7169" max="7169" width="5.7109375" style="116" customWidth="1"/>
    <col min="7170" max="7170" width="106.42578125" style="116" customWidth="1"/>
    <col min="7171" max="7424" width="9.140625" style="116"/>
    <col min="7425" max="7425" width="5.7109375" style="116" customWidth="1"/>
    <col min="7426" max="7426" width="106.42578125" style="116" customWidth="1"/>
    <col min="7427" max="7680" width="9.140625" style="116"/>
    <col min="7681" max="7681" width="5.7109375" style="116" customWidth="1"/>
    <col min="7682" max="7682" width="106.42578125" style="116" customWidth="1"/>
    <col min="7683" max="7936" width="9.140625" style="116"/>
    <col min="7937" max="7937" width="5.7109375" style="116" customWidth="1"/>
    <col min="7938" max="7938" width="106.42578125" style="116" customWidth="1"/>
    <col min="7939" max="8192" width="9.140625" style="116"/>
    <col min="8193" max="8193" width="5.7109375" style="116" customWidth="1"/>
    <col min="8194" max="8194" width="106.42578125" style="116" customWidth="1"/>
    <col min="8195" max="8448" width="9.140625" style="116"/>
    <col min="8449" max="8449" width="5.7109375" style="116" customWidth="1"/>
    <col min="8450" max="8450" width="106.42578125" style="116" customWidth="1"/>
    <col min="8451" max="8704" width="9.140625" style="116"/>
    <col min="8705" max="8705" width="5.7109375" style="116" customWidth="1"/>
    <col min="8706" max="8706" width="106.42578125" style="116" customWidth="1"/>
    <col min="8707" max="8960" width="9.140625" style="116"/>
    <col min="8961" max="8961" width="5.7109375" style="116" customWidth="1"/>
    <col min="8962" max="8962" width="106.42578125" style="116" customWidth="1"/>
    <col min="8963" max="9216" width="9.140625" style="116"/>
    <col min="9217" max="9217" width="5.7109375" style="116" customWidth="1"/>
    <col min="9218" max="9218" width="106.42578125" style="116" customWidth="1"/>
    <col min="9219" max="9472" width="9.140625" style="116"/>
    <col min="9473" max="9473" width="5.7109375" style="116" customWidth="1"/>
    <col min="9474" max="9474" width="106.42578125" style="116" customWidth="1"/>
    <col min="9475" max="9728" width="9.140625" style="116"/>
    <col min="9729" max="9729" width="5.7109375" style="116" customWidth="1"/>
    <col min="9730" max="9730" width="106.42578125" style="116" customWidth="1"/>
    <col min="9731" max="9984" width="9.140625" style="116"/>
    <col min="9985" max="9985" width="5.7109375" style="116" customWidth="1"/>
    <col min="9986" max="9986" width="106.42578125" style="116" customWidth="1"/>
    <col min="9987" max="10240" width="9.140625" style="116"/>
    <col min="10241" max="10241" width="5.7109375" style="116" customWidth="1"/>
    <col min="10242" max="10242" width="106.42578125" style="116" customWidth="1"/>
    <col min="10243" max="10496" width="9.140625" style="116"/>
    <col min="10497" max="10497" width="5.7109375" style="116" customWidth="1"/>
    <col min="10498" max="10498" width="106.42578125" style="116" customWidth="1"/>
    <col min="10499" max="10752" width="9.140625" style="116"/>
    <col min="10753" max="10753" width="5.7109375" style="116" customWidth="1"/>
    <col min="10754" max="10754" width="106.42578125" style="116" customWidth="1"/>
    <col min="10755" max="11008" width="9.140625" style="116"/>
    <col min="11009" max="11009" width="5.7109375" style="116" customWidth="1"/>
    <col min="11010" max="11010" width="106.42578125" style="116" customWidth="1"/>
    <col min="11011" max="11264" width="9.140625" style="116"/>
    <col min="11265" max="11265" width="5.7109375" style="116" customWidth="1"/>
    <col min="11266" max="11266" width="106.42578125" style="116" customWidth="1"/>
    <col min="11267" max="11520" width="9.140625" style="116"/>
    <col min="11521" max="11521" width="5.7109375" style="116" customWidth="1"/>
    <col min="11522" max="11522" width="106.42578125" style="116" customWidth="1"/>
    <col min="11523" max="11776" width="9.140625" style="116"/>
    <col min="11777" max="11777" width="5.7109375" style="116" customWidth="1"/>
    <col min="11778" max="11778" width="106.42578125" style="116" customWidth="1"/>
    <col min="11779" max="12032" width="9.140625" style="116"/>
    <col min="12033" max="12033" width="5.7109375" style="116" customWidth="1"/>
    <col min="12034" max="12034" width="106.42578125" style="116" customWidth="1"/>
    <col min="12035" max="12288" width="9.140625" style="116"/>
    <col min="12289" max="12289" width="5.7109375" style="116" customWidth="1"/>
    <col min="12290" max="12290" width="106.42578125" style="116" customWidth="1"/>
    <col min="12291" max="12544" width="9.140625" style="116"/>
    <col min="12545" max="12545" width="5.7109375" style="116" customWidth="1"/>
    <col min="12546" max="12546" width="106.42578125" style="116" customWidth="1"/>
    <col min="12547" max="12800" width="9.140625" style="116"/>
    <col min="12801" max="12801" width="5.7109375" style="116" customWidth="1"/>
    <col min="12802" max="12802" width="106.42578125" style="116" customWidth="1"/>
    <col min="12803" max="13056" width="9.140625" style="116"/>
    <col min="13057" max="13057" width="5.7109375" style="116" customWidth="1"/>
    <col min="13058" max="13058" width="106.42578125" style="116" customWidth="1"/>
    <col min="13059" max="13312" width="9.140625" style="116"/>
    <col min="13313" max="13313" width="5.7109375" style="116" customWidth="1"/>
    <col min="13314" max="13314" width="106.42578125" style="116" customWidth="1"/>
    <col min="13315" max="13568" width="9.140625" style="116"/>
    <col min="13569" max="13569" width="5.7109375" style="116" customWidth="1"/>
    <col min="13570" max="13570" width="106.42578125" style="116" customWidth="1"/>
    <col min="13571" max="13824" width="9.140625" style="116"/>
    <col min="13825" max="13825" width="5.7109375" style="116" customWidth="1"/>
    <col min="13826" max="13826" width="106.42578125" style="116" customWidth="1"/>
    <col min="13827" max="14080" width="9.140625" style="116"/>
    <col min="14081" max="14081" width="5.7109375" style="116" customWidth="1"/>
    <col min="14082" max="14082" width="106.42578125" style="116" customWidth="1"/>
    <col min="14083" max="14336" width="9.140625" style="116"/>
    <col min="14337" max="14337" width="5.7109375" style="116" customWidth="1"/>
    <col min="14338" max="14338" width="106.42578125" style="116" customWidth="1"/>
    <col min="14339" max="14592" width="9.140625" style="116"/>
    <col min="14593" max="14593" width="5.7109375" style="116" customWidth="1"/>
    <col min="14594" max="14594" width="106.42578125" style="116" customWidth="1"/>
    <col min="14595" max="14848" width="9.140625" style="116"/>
    <col min="14849" max="14849" width="5.7109375" style="116" customWidth="1"/>
    <col min="14850" max="14850" width="106.42578125" style="116" customWidth="1"/>
    <col min="14851" max="15104" width="9.140625" style="116"/>
    <col min="15105" max="15105" width="5.7109375" style="116" customWidth="1"/>
    <col min="15106" max="15106" width="106.42578125" style="116" customWidth="1"/>
    <col min="15107" max="15360" width="9.140625" style="116"/>
    <col min="15361" max="15361" width="5.7109375" style="116" customWidth="1"/>
    <col min="15362" max="15362" width="106.42578125" style="116" customWidth="1"/>
    <col min="15363" max="15616" width="9.140625" style="116"/>
    <col min="15617" max="15617" width="5.7109375" style="116" customWidth="1"/>
    <col min="15618" max="15618" width="106.42578125" style="116" customWidth="1"/>
    <col min="15619" max="15872" width="9.140625" style="116"/>
    <col min="15873" max="15873" width="5.7109375" style="116" customWidth="1"/>
    <col min="15874" max="15874" width="106.42578125" style="116" customWidth="1"/>
    <col min="15875" max="16128" width="9.140625" style="116"/>
    <col min="16129" max="16129" width="5.7109375" style="116" customWidth="1"/>
    <col min="16130" max="16130" width="106.42578125" style="116" customWidth="1"/>
    <col min="16131" max="16384" width="9.140625" style="116"/>
  </cols>
  <sheetData>
    <row r="2" spans="2:2" ht="20.25" x14ac:dyDescent="0.3">
      <c r="B2" s="117" t="s">
        <v>166</v>
      </c>
    </row>
    <row r="4" spans="2:2" ht="18" x14ac:dyDescent="0.25">
      <c r="B4" s="118" t="s">
        <v>105</v>
      </c>
    </row>
    <row r="6" spans="2:2" x14ac:dyDescent="0.25">
      <c r="B6" s="119" t="s">
        <v>52</v>
      </c>
    </row>
    <row r="8" spans="2:2" ht="63.75" x14ac:dyDescent="0.25">
      <c r="B8" s="120" t="s">
        <v>76</v>
      </c>
    </row>
    <row r="9" spans="2:2" x14ac:dyDescent="0.25">
      <c r="B9" s="120"/>
    </row>
    <row r="10" spans="2:2" x14ac:dyDescent="0.25">
      <c r="B10" s="167" t="s">
        <v>106</v>
      </c>
    </row>
    <row r="11" spans="2:2" x14ac:dyDescent="0.25">
      <c r="B11" s="167"/>
    </row>
    <row r="12" spans="2:2" ht="51" x14ac:dyDescent="0.2">
      <c r="B12" s="168" t="s">
        <v>172</v>
      </c>
    </row>
    <row r="13" spans="2:2" x14ac:dyDescent="0.25">
      <c r="B13" s="120"/>
    </row>
    <row r="14" spans="2:2" x14ac:dyDescent="0.25">
      <c r="B14" s="119" t="s">
        <v>77</v>
      </c>
    </row>
    <row r="15" spans="2:2" ht="38.25" x14ac:dyDescent="0.25">
      <c r="B15" s="263" t="s">
        <v>78</v>
      </c>
    </row>
    <row r="16" spans="2:2" ht="51" x14ac:dyDescent="0.25">
      <c r="B16" s="262" t="s">
        <v>173</v>
      </c>
    </row>
    <row r="18" spans="2:2" x14ac:dyDescent="0.25">
      <c r="B18" s="266" t="s">
        <v>79</v>
      </c>
    </row>
    <row r="19" spans="2:2" x14ac:dyDescent="0.25">
      <c r="B19" s="119"/>
    </row>
    <row r="20" spans="2:2" x14ac:dyDescent="0.25">
      <c r="B20" s="119" t="s">
        <v>52</v>
      </c>
    </row>
    <row r="21" spans="2:2" x14ac:dyDescent="0.25">
      <c r="B21" s="119"/>
    </row>
    <row r="22" spans="2:2" ht="114.75" x14ac:dyDescent="0.25">
      <c r="B22" s="264" t="s">
        <v>80</v>
      </c>
    </row>
    <row r="23" spans="2:2" ht="76.5" x14ac:dyDescent="0.25">
      <c r="B23" s="263" t="s">
        <v>81</v>
      </c>
    </row>
    <row r="24" spans="2:2" ht="25.5" x14ac:dyDescent="0.25">
      <c r="B24" s="263" t="s">
        <v>82</v>
      </c>
    </row>
    <row r="25" spans="2:2" x14ac:dyDescent="0.25">
      <c r="B25" s="265" t="s">
        <v>83</v>
      </c>
    </row>
    <row r="26" spans="2:2" ht="51" x14ac:dyDescent="0.25">
      <c r="B26" s="121" t="s">
        <v>84</v>
      </c>
    </row>
    <row r="27" spans="2:2" x14ac:dyDescent="0.25">
      <c r="B27" s="121"/>
    </row>
    <row r="28" spans="2:2" x14ac:dyDescent="0.25">
      <c r="B28" s="119" t="s">
        <v>106</v>
      </c>
    </row>
    <row r="29" spans="2:2" x14ac:dyDescent="0.25">
      <c r="B29" s="121"/>
    </row>
    <row r="30" spans="2:2" ht="38.25" x14ac:dyDescent="0.2">
      <c r="B30" s="168" t="s">
        <v>107</v>
      </c>
    </row>
    <row r="32" spans="2:2" x14ac:dyDescent="0.2">
      <c r="B32" s="122" t="s">
        <v>163</v>
      </c>
    </row>
  </sheetData>
  <hyperlinks>
    <hyperlink ref="B2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topLeftCell="A7" workbookViewId="0">
      <selection activeCell="F23" sqref="F23"/>
    </sheetView>
  </sheetViews>
  <sheetFormatPr defaultRowHeight="12.75" x14ac:dyDescent="0.2"/>
  <cols>
    <col min="1" max="1" width="5.7109375" style="126" customWidth="1"/>
    <col min="2" max="2" width="16.28515625" style="126" customWidth="1"/>
    <col min="3" max="3" width="67" style="126" customWidth="1"/>
    <col min="4" max="4" width="15.140625" style="126" customWidth="1"/>
    <col min="5" max="5" width="15" style="126" customWidth="1"/>
    <col min="6" max="6" width="15.140625" style="126" customWidth="1"/>
    <col min="7" max="7" width="18.28515625" style="126" customWidth="1"/>
    <col min="8" max="8" width="5.7109375" style="126" customWidth="1"/>
    <col min="9" max="9" width="20.7109375" style="126" customWidth="1"/>
    <col min="10" max="256" width="9.140625" style="126"/>
    <col min="257" max="257" width="5.7109375" style="126" customWidth="1"/>
    <col min="258" max="258" width="16.28515625" style="126" customWidth="1"/>
    <col min="259" max="259" width="67" style="126" customWidth="1"/>
    <col min="260" max="260" width="15.140625" style="126" customWidth="1"/>
    <col min="261" max="261" width="15" style="126" customWidth="1"/>
    <col min="262" max="262" width="15.140625" style="126" customWidth="1"/>
    <col min="263" max="263" width="18.28515625" style="126" customWidth="1"/>
    <col min="264" max="264" width="5.7109375" style="126" customWidth="1"/>
    <col min="265" max="265" width="20.7109375" style="126" customWidth="1"/>
    <col min="266" max="512" width="9.140625" style="126"/>
    <col min="513" max="513" width="5.7109375" style="126" customWidth="1"/>
    <col min="514" max="514" width="16.28515625" style="126" customWidth="1"/>
    <col min="515" max="515" width="67" style="126" customWidth="1"/>
    <col min="516" max="516" width="15.140625" style="126" customWidth="1"/>
    <col min="517" max="517" width="15" style="126" customWidth="1"/>
    <col min="518" max="518" width="15.140625" style="126" customWidth="1"/>
    <col min="519" max="519" width="18.28515625" style="126" customWidth="1"/>
    <col min="520" max="520" width="5.7109375" style="126" customWidth="1"/>
    <col min="521" max="521" width="20.7109375" style="126" customWidth="1"/>
    <col min="522" max="768" width="9.140625" style="126"/>
    <col min="769" max="769" width="5.7109375" style="126" customWidth="1"/>
    <col min="770" max="770" width="16.28515625" style="126" customWidth="1"/>
    <col min="771" max="771" width="67" style="126" customWidth="1"/>
    <col min="772" max="772" width="15.140625" style="126" customWidth="1"/>
    <col min="773" max="773" width="15" style="126" customWidth="1"/>
    <col min="774" max="774" width="15.140625" style="126" customWidth="1"/>
    <col min="775" max="775" width="18.28515625" style="126" customWidth="1"/>
    <col min="776" max="776" width="5.7109375" style="126" customWidth="1"/>
    <col min="777" max="777" width="20.7109375" style="126" customWidth="1"/>
    <col min="778" max="1024" width="9.140625" style="126"/>
    <col min="1025" max="1025" width="5.7109375" style="126" customWidth="1"/>
    <col min="1026" max="1026" width="16.28515625" style="126" customWidth="1"/>
    <col min="1027" max="1027" width="67" style="126" customWidth="1"/>
    <col min="1028" max="1028" width="15.140625" style="126" customWidth="1"/>
    <col min="1029" max="1029" width="15" style="126" customWidth="1"/>
    <col min="1030" max="1030" width="15.140625" style="126" customWidth="1"/>
    <col min="1031" max="1031" width="18.28515625" style="126" customWidth="1"/>
    <col min="1032" max="1032" width="5.7109375" style="126" customWidth="1"/>
    <col min="1033" max="1033" width="20.7109375" style="126" customWidth="1"/>
    <col min="1034" max="1280" width="9.140625" style="126"/>
    <col min="1281" max="1281" width="5.7109375" style="126" customWidth="1"/>
    <col min="1282" max="1282" width="16.28515625" style="126" customWidth="1"/>
    <col min="1283" max="1283" width="67" style="126" customWidth="1"/>
    <col min="1284" max="1284" width="15.140625" style="126" customWidth="1"/>
    <col min="1285" max="1285" width="15" style="126" customWidth="1"/>
    <col min="1286" max="1286" width="15.140625" style="126" customWidth="1"/>
    <col min="1287" max="1287" width="18.28515625" style="126" customWidth="1"/>
    <col min="1288" max="1288" width="5.7109375" style="126" customWidth="1"/>
    <col min="1289" max="1289" width="20.7109375" style="126" customWidth="1"/>
    <col min="1290" max="1536" width="9.140625" style="126"/>
    <col min="1537" max="1537" width="5.7109375" style="126" customWidth="1"/>
    <col min="1538" max="1538" width="16.28515625" style="126" customWidth="1"/>
    <col min="1539" max="1539" width="67" style="126" customWidth="1"/>
    <col min="1540" max="1540" width="15.140625" style="126" customWidth="1"/>
    <col min="1541" max="1541" width="15" style="126" customWidth="1"/>
    <col min="1542" max="1542" width="15.140625" style="126" customWidth="1"/>
    <col min="1543" max="1543" width="18.28515625" style="126" customWidth="1"/>
    <col min="1544" max="1544" width="5.7109375" style="126" customWidth="1"/>
    <col min="1545" max="1545" width="20.7109375" style="126" customWidth="1"/>
    <col min="1546" max="1792" width="9.140625" style="126"/>
    <col min="1793" max="1793" width="5.7109375" style="126" customWidth="1"/>
    <col min="1794" max="1794" width="16.28515625" style="126" customWidth="1"/>
    <col min="1795" max="1795" width="67" style="126" customWidth="1"/>
    <col min="1796" max="1796" width="15.140625" style="126" customWidth="1"/>
    <col min="1797" max="1797" width="15" style="126" customWidth="1"/>
    <col min="1798" max="1798" width="15.140625" style="126" customWidth="1"/>
    <col min="1799" max="1799" width="18.28515625" style="126" customWidth="1"/>
    <col min="1800" max="1800" width="5.7109375" style="126" customWidth="1"/>
    <col min="1801" max="1801" width="20.7109375" style="126" customWidth="1"/>
    <col min="1802" max="2048" width="9.140625" style="126"/>
    <col min="2049" max="2049" width="5.7109375" style="126" customWidth="1"/>
    <col min="2050" max="2050" width="16.28515625" style="126" customWidth="1"/>
    <col min="2051" max="2051" width="67" style="126" customWidth="1"/>
    <col min="2052" max="2052" width="15.140625" style="126" customWidth="1"/>
    <col min="2053" max="2053" width="15" style="126" customWidth="1"/>
    <col min="2054" max="2054" width="15.140625" style="126" customWidth="1"/>
    <col min="2055" max="2055" width="18.28515625" style="126" customWidth="1"/>
    <col min="2056" max="2056" width="5.7109375" style="126" customWidth="1"/>
    <col min="2057" max="2057" width="20.7109375" style="126" customWidth="1"/>
    <col min="2058" max="2304" width="9.140625" style="126"/>
    <col min="2305" max="2305" width="5.7109375" style="126" customWidth="1"/>
    <col min="2306" max="2306" width="16.28515625" style="126" customWidth="1"/>
    <col min="2307" max="2307" width="67" style="126" customWidth="1"/>
    <col min="2308" max="2308" width="15.140625" style="126" customWidth="1"/>
    <col min="2309" max="2309" width="15" style="126" customWidth="1"/>
    <col min="2310" max="2310" width="15.140625" style="126" customWidth="1"/>
    <col min="2311" max="2311" width="18.28515625" style="126" customWidth="1"/>
    <col min="2312" max="2312" width="5.7109375" style="126" customWidth="1"/>
    <col min="2313" max="2313" width="20.7109375" style="126" customWidth="1"/>
    <col min="2314" max="2560" width="9.140625" style="126"/>
    <col min="2561" max="2561" width="5.7109375" style="126" customWidth="1"/>
    <col min="2562" max="2562" width="16.28515625" style="126" customWidth="1"/>
    <col min="2563" max="2563" width="67" style="126" customWidth="1"/>
    <col min="2564" max="2564" width="15.140625" style="126" customWidth="1"/>
    <col min="2565" max="2565" width="15" style="126" customWidth="1"/>
    <col min="2566" max="2566" width="15.140625" style="126" customWidth="1"/>
    <col min="2567" max="2567" width="18.28515625" style="126" customWidth="1"/>
    <col min="2568" max="2568" width="5.7109375" style="126" customWidth="1"/>
    <col min="2569" max="2569" width="20.7109375" style="126" customWidth="1"/>
    <col min="2570" max="2816" width="9.140625" style="126"/>
    <col min="2817" max="2817" width="5.7109375" style="126" customWidth="1"/>
    <col min="2818" max="2818" width="16.28515625" style="126" customWidth="1"/>
    <col min="2819" max="2819" width="67" style="126" customWidth="1"/>
    <col min="2820" max="2820" width="15.140625" style="126" customWidth="1"/>
    <col min="2821" max="2821" width="15" style="126" customWidth="1"/>
    <col min="2822" max="2822" width="15.140625" style="126" customWidth="1"/>
    <col min="2823" max="2823" width="18.28515625" style="126" customWidth="1"/>
    <col min="2824" max="2824" width="5.7109375" style="126" customWidth="1"/>
    <col min="2825" max="2825" width="20.7109375" style="126" customWidth="1"/>
    <col min="2826" max="3072" width="9.140625" style="126"/>
    <col min="3073" max="3073" width="5.7109375" style="126" customWidth="1"/>
    <col min="3074" max="3074" width="16.28515625" style="126" customWidth="1"/>
    <col min="3075" max="3075" width="67" style="126" customWidth="1"/>
    <col min="3076" max="3076" width="15.140625" style="126" customWidth="1"/>
    <col min="3077" max="3077" width="15" style="126" customWidth="1"/>
    <col min="3078" max="3078" width="15.140625" style="126" customWidth="1"/>
    <col min="3079" max="3079" width="18.28515625" style="126" customWidth="1"/>
    <col min="3080" max="3080" width="5.7109375" style="126" customWidth="1"/>
    <col min="3081" max="3081" width="20.7109375" style="126" customWidth="1"/>
    <col min="3082" max="3328" width="9.140625" style="126"/>
    <col min="3329" max="3329" width="5.7109375" style="126" customWidth="1"/>
    <col min="3330" max="3330" width="16.28515625" style="126" customWidth="1"/>
    <col min="3331" max="3331" width="67" style="126" customWidth="1"/>
    <col min="3332" max="3332" width="15.140625" style="126" customWidth="1"/>
    <col min="3333" max="3333" width="15" style="126" customWidth="1"/>
    <col min="3334" max="3334" width="15.140625" style="126" customWidth="1"/>
    <col min="3335" max="3335" width="18.28515625" style="126" customWidth="1"/>
    <col min="3336" max="3336" width="5.7109375" style="126" customWidth="1"/>
    <col min="3337" max="3337" width="20.7109375" style="126" customWidth="1"/>
    <col min="3338" max="3584" width="9.140625" style="126"/>
    <col min="3585" max="3585" width="5.7109375" style="126" customWidth="1"/>
    <col min="3586" max="3586" width="16.28515625" style="126" customWidth="1"/>
    <col min="3587" max="3587" width="67" style="126" customWidth="1"/>
    <col min="3588" max="3588" width="15.140625" style="126" customWidth="1"/>
    <col min="3589" max="3589" width="15" style="126" customWidth="1"/>
    <col min="3590" max="3590" width="15.140625" style="126" customWidth="1"/>
    <col min="3591" max="3591" width="18.28515625" style="126" customWidth="1"/>
    <col min="3592" max="3592" width="5.7109375" style="126" customWidth="1"/>
    <col min="3593" max="3593" width="20.7109375" style="126" customWidth="1"/>
    <col min="3594" max="3840" width="9.140625" style="126"/>
    <col min="3841" max="3841" width="5.7109375" style="126" customWidth="1"/>
    <col min="3842" max="3842" width="16.28515625" style="126" customWidth="1"/>
    <col min="3843" max="3843" width="67" style="126" customWidth="1"/>
    <col min="3844" max="3844" width="15.140625" style="126" customWidth="1"/>
    <col min="3845" max="3845" width="15" style="126" customWidth="1"/>
    <col min="3846" max="3846" width="15.140625" style="126" customWidth="1"/>
    <col min="3847" max="3847" width="18.28515625" style="126" customWidth="1"/>
    <col min="3848" max="3848" width="5.7109375" style="126" customWidth="1"/>
    <col min="3849" max="3849" width="20.7109375" style="126" customWidth="1"/>
    <col min="3850" max="4096" width="9.140625" style="126"/>
    <col min="4097" max="4097" width="5.7109375" style="126" customWidth="1"/>
    <col min="4098" max="4098" width="16.28515625" style="126" customWidth="1"/>
    <col min="4099" max="4099" width="67" style="126" customWidth="1"/>
    <col min="4100" max="4100" width="15.140625" style="126" customWidth="1"/>
    <col min="4101" max="4101" width="15" style="126" customWidth="1"/>
    <col min="4102" max="4102" width="15.140625" style="126" customWidth="1"/>
    <col min="4103" max="4103" width="18.28515625" style="126" customWidth="1"/>
    <col min="4104" max="4104" width="5.7109375" style="126" customWidth="1"/>
    <col min="4105" max="4105" width="20.7109375" style="126" customWidth="1"/>
    <col min="4106" max="4352" width="9.140625" style="126"/>
    <col min="4353" max="4353" width="5.7109375" style="126" customWidth="1"/>
    <col min="4354" max="4354" width="16.28515625" style="126" customWidth="1"/>
    <col min="4355" max="4355" width="67" style="126" customWidth="1"/>
    <col min="4356" max="4356" width="15.140625" style="126" customWidth="1"/>
    <col min="4357" max="4357" width="15" style="126" customWidth="1"/>
    <col min="4358" max="4358" width="15.140625" style="126" customWidth="1"/>
    <col min="4359" max="4359" width="18.28515625" style="126" customWidth="1"/>
    <col min="4360" max="4360" width="5.7109375" style="126" customWidth="1"/>
    <col min="4361" max="4361" width="20.7109375" style="126" customWidth="1"/>
    <col min="4362" max="4608" width="9.140625" style="126"/>
    <col min="4609" max="4609" width="5.7109375" style="126" customWidth="1"/>
    <col min="4610" max="4610" width="16.28515625" style="126" customWidth="1"/>
    <col min="4611" max="4611" width="67" style="126" customWidth="1"/>
    <col min="4612" max="4612" width="15.140625" style="126" customWidth="1"/>
    <col min="4613" max="4613" width="15" style="126" customWidth="1"/>
    <col min="4614" max="4614" width="15.140625" style="126" customWidth="1"/>
    <col min="4615" max="4615" width="18.28515625" style="126" customWidth="1"/>
    <col min="4616" max="4616" width="5.7109375" style="126" customWidth="1"/>
    <col min="4617" max="4617" width="20.7109375" style="126" customWidth="1"/>
    <col min="4618" max="4864" width="9.140625" style="126"/>
    <col min="4865" max="4865" width="5.7109375" style="126" customWidth="1"/>
    <col min="4866" max="4866" width="16.28515625" style="126" customWidth="1"/>
    <col min="4867" max="4867" width="67" style="126" customWidth="1"/>
    <col min="4868" max="4868" width="15.140625" style="126" customWidth="1"/>
    <col min="4869" max="4869" width="15" style="126" customWidth="1"/>
    <col min="4870" max="4870" width="15.140625" style="126" customWidth="1"/>
    <col min="4871" max="4871" width="18.28515625" style="126" customWidth="1"/>
    <col min="4872" max="4872" width="5.7109375" style="126" customWidth="1"/>
    <col min="4873" max="4873" width="20.7109375" style="126" customWidth="1"/>
    <col min="4874" max="5120" width="9.140625" style="126"/>
    <col min="5121" max="5121" width="5.7109375" style="126" customWidth="1"/>
    <col min="5122" max="5122" width="16.28515625" style="126" customWidth="1"/>
    <col min="5123" max="5123" width="67" style="126" customWidth="1"/>
    <col min="5124" max="5124" width="15.140625" style="126" customWidth="1"/>
    <col min="5125" max="5125" width="15" style="126" customWidth="1"/>
    <col min="5126" max="5126" width="15.140625" style="126" customWidth="1"/>
    <col min="5127" max="5127" width="18.28515625" style="126" customWidth="1"/>
    <col min="5128" max="5128" width="5.7109375" style="126" customWidth="1"/>
    <col min="5129" max="5129" width="20.7109375" style="126" customWidth="1"/>
    <col min="5130" max="5376" width="9.140625" style="126"/>
    <col min="5377" max="5377" width="5.7109375" style="126" customWidth="1"/>
    <col min="5378" max="5378" width="16.28515625" style="126" customWidth="1"/>
    <col min="5379" max="5379" width="67" style="126" customWidth="1"/>
    <col min="5380" max="5380" width="15.140625" style="126" customWidth="1"/>
    <col min="5381" max="5381" width="15" style="126" customWidth="1"/>
    <col min="5382" max="5382" width="15.140625" style="126" customWidth="1"/>
    <col min="5383" max="5383" width="18.28515625" style="126" customWidth="1"/>
    <col min="5384" max="5384" width="5.7109375" style="126" customWidth="1"/>
    <col min="5385" max="5385" width="20.7109375" style="126" customWidth="1"/>
    <col min="5386" max="5632" width="9.140625" style="126"/>
    <col min="5633" max="5633" width="5.7109375" style="126" customWidth="1"/>
    <col min="5634" max="5634" width="16.28515625" style="126" customWidth="1"/>
    <col min="5635" max="5635" width="67" style="126" customWidth="1"/>
    <col min="5636" max="5636" width="15.140625" style="126" customWidth="1"/>
    <col min="5637" max="5637" width="15" style="126" customWidth="1"/>
    <col min="5638" max="5638" width="15.140625" style="126" customWidth="1"/>
    <col min="5639" max="5639" width="18.28515625" style="126" customWidth="1"/>
    <col min="5640" max="5640" width="5.7109375" style="126" customWidth="1"/>
    <col min="5641" max="5641" width="20.7109375" style="126" customWidth="1"/>
    <col min="5642" max="5888" width="9.140625" style="126"/>
    <col min="5889" max="5889" width="5.7109375" style="126" customWidth="1"/>
    <col min="5890" max="5890" width="16.28515625" style="126" customWidth="1"/>
    <col min="5891" max="5891" width="67" style="126" customWidth="1"/>
    <col min="5892" max="5892" width="15.140625" style="126" customWidth="1"/>
    <col min="5893" max="5893" width="15" style="126" customWidth="1"/>
    <col min="5894" max="5894" width="15.140625" style="126" customWidth="1"/>
    <col min="5895" max="5895" width="18.28515625" style="126" customWidth="1"/>
    <col min="5896" max="5896" width="5.7109375" style="126" customWidth="1"/>
    <col min="5897" max="5897" width="20.7109375" style="126" customWidth="1"/>
    <col min="5898" max="6144" width="9.140625" style="126"/>
    <col min="6145" max="6145" width="5.7109375" style="126" customWidth="1"/>
    <col min="6146" max="6146" width="16.28515625" style="126" customWidth="1"/>
    <col min="6147" max="6147" width="67" style="126" customWidth="1"/>
    <col min="6148" max="6148" width="15.140625" style="126" customWidth="1"/>
    <col min="6149" max="6149" width="15" style="126" customWidth="1"/>
    <col min="6150" max="6150" width="15.140625" style="126" customWidth="1"/>
    <col min="6151" max="6151" width="18.28515625" style="126" customWidth="1"/>
    <col min="6152" max="6152" width="5.7109375" style="126" customWidth="1"/>
    <col min="6153" max="6153" width="20.7109375" style="126" customWidth="1"/>
    <col min="6154" max="6400" width="9.140625" style="126"/>
    <col min="6401" max="6401" width="5.7109375" style="126" customWidth="1"/>
    <col min="6402" max="6402" width="16.28515625" style="126" customWidth="1"/>
    <col min="6403" max="6403" width="67" style="126" customWidth="1"/>
    <col min="6404" max="6404" width="15.140625" style="126" customWidth="1"/>
    <col min="6405" max="6405" width="15" style="126" customWidth="1"/>
    <col min="6406" max="6406" width="15.140625" style="126" customWidth="1"/>
    <col min="6407" max="6407" width="18.28515625" style="126" customWidth="1"/>
    <col min="6408" max="6408" width="5.7109375" style="126" customWidth="1"/>
    <col min="6409" max="6409" width="20.7109375" style="126" customWidth="1"/>
    <col min="6410" max="6656" width="9.140625" style="126"/>
    <col min="6657" max="6657" width="5.7109375" style="126" customWidth="1"/>
    <col min="6658" max="6658" width="16.28515625" style="126" customWidth="1"/>
    <col min="6659" max="6659" width="67" style="126" customWidth="1"/>
    <col min="6660" max="6660" width="15.140625" style="126" customWidth="1"/>
    <col min="6661" max="6661" width="15" style="126" customWidth="1"/>
    <col min="6662" max="6662" width="15.140625" style="126" customWidth="1"/>
    <col min="6663" max="6663" width="18.28515625" style="126" customWidth="1"/>
    <col min="6664" max="6664" width="5.7109375" style="126" customWidth="1"/>
    <col min="6665" max="6665" width="20.7109375" style="126" customWidth="1"/>
    <col min="6666" max="6912" width="9.140625" style="126"/>
    <col min="6913" max="6913" width="5.7109375" style="126" customWidth="1"/>
    <col min="6914" max="6914" width="16.28515625" style="126" customWidth="1"/>
    <col min="6915" max="6915" width="67" style="126" customWidth="1"/>
    <col min="6916" max="6916" width="15.140625" style="126" customWidth="1"/>
    <col min="6917" max="6917" width="15" style="126" customWidth="1"/>
    <col min="6918" max="6918" width="15.140625" style="126" customWidth="1"/>
    <col min="6919" max="6919" width="18.28515625" style="126" customWidth="1"/>
    <col min="6920" max="6920" width="5.7109375" style="126" customWidth="1"/>
    <col min="6921" max="6921" width="20.7109375" style="126" customWidth="1"/>
    <col min="6922" max="7168" width="9.140625" style="126"/>
    <col min="7169" max="7169" width="5.7109375" style="126" customWidth="1"/>
    <col min="7170" max="7170" width="16.28515625" style="126" customWidth="1"/>
    <col min="7171" max="7171" width="67" style="126" customWidth="1"/>
    <col min="7172" max="7172" width="15.140625" style="126" customWidth="1"/>
    <col min="7173" max="7173" width="15" style="126" customWidth="1"/>
    <col min="7174" max="7174" width="15.140625" style="126" customWidth="1"/>
    <col min="7175" max="7175" width="18.28515625" style="126" customWidth="1"/>
    <col min="7176" max="7176" width="5.7109375" style="126" customWidth="1"/>
    <col min="7177" max="7177" width="20.7109375" style="126" customWidth="1"/>
    <col min="7178" max="7424" width="9.140625" style="126"/>
    <col min="7425" max="7425" width="5.7109375" style="126" customWidth="1"/>
    <col min="7426" max="7426" width="16.28515625" style="126" customWidth="1"/>
    <col min="7427" max="7427" width="67" style="126" customWidth="1"/>
    <col min="7428" max="7428" width="15.140625" style="126" customWidth="1"/>
    <col min="7429" max="7429" width="15" style="126" customWidth="1"/>
    <col min="7430" max="7430" width="15.140625" style="126" customWidth="1"/>
    <col min="7431" max="7431" width="18.28515625" style="126" customWidth="1"/>
    <col min="7432" max="7432" width="5.7109375" style="126" customWidth="1"/>
    <col min="7433" max="7433" width="20.7109375" style="126" customWidth="1"/>
    <col min="7434" max="7680" width="9.140625" style="126"/>
    <col min="7681" max="7681" width="5.7109375" style="126" customWidth="1"/>
    <col min="7682" max="7682" width="16.28515625" style="126" customWidth="1"/>
    <col min="7683" max="7683" width="67" style="126" customWidth="1"/>
    <col min="7684" max="7684" width="15.140625" style="126" customWidth="1"/>
    <col min="7685" max="7685" width="15" style="126" customWidth="1"/>
    <col min="7686" max="7686" width="15.140625" style="126" customWidth="1"/>
    <col min="7687" max="7687" width="18.28515625" style="126" customWidth="1"/>
    <col min="7688" max="7688" width="5.7109375" style="126" customWidth="1"/>
    <col min="7689" max="7689" width="20.7109375" style="126" customWidth="1"/>
    <col min="7690" max="7936" width="9.140625" style="126"/>
    <col min="7937" max="7937" width="5.7109375" style="126" customWidth="1"/>
    <col min="7938" max="7938" width="16.28515625" style="126" customWidth="1"/>
    <col min="7939" max="7939" width="67" style="126" customWidth="1"/>
    <col min="7940" max="7940" width="15.140625" style="126" customWidth="1"/>
    <col min="7941" max="7941" width="15" style="126" customWidth="1"/>
    <col min="7942" max="7942" width="15.140625" style="126" customWidth="1"/>
    <col min="7943" max="7943" width="18.28515625" style="126" customWidth="1"/>
    <col min="7944" max="7944" width="5.7109375" style="126" customWidth="1"/>
    <col min="7945" max="7945" width="20.7109375" style="126" customWidth="1"/>
    <col min="7946" max="8192" width="9.140625" style="126"/>
    <col min="8193" max="8193" width="5.7109375" style="126" customWidth="1"/>
    <col min="8194" max="8194" width="16.28515625" style="126" customWidth="1"/>
    <col min="8195" max="8195" width="67" style="126" customWidth="1"/>
    <col min="8196" max="8196" width="15.140625" style="126" customWidth="1"/>
    <col min="8197" max="8197" width="15" style="126" customWidth="1"/>
    <col min="8198" max="8198" width="15.140625" style="126" customWidth="1"/>
    <col min="8199" max="8199" width="18.28515625" style="126" customWidth="1"/>
    <col min="8200" max="8200" width="5.7109375" style="126" customWidth="1"/>
    <col min="8201" max="8201" width="20.7109375" style="126" customWidth="1"/>
    <col min="8202" max="8448" width="9.140625" style="126"/>
    <col min="8449" max="8449" width="5.7109375" style="126" customWidth="1"/>
    <col min="8450" max="8450" width="16.28515625" style="126" customWidth="1"/>
    <col min="8451" max="8451" width="67" style="126" customWidth="1"/>
    <col min="8452" max="8452" width="15.140625" style="126" customWidth="1"/>
    <col min="8453" max="8453" width="15" style="126" customWidth="1"/>
    <col min="8454" max="8454" width="15.140625" style="126" customWidth="1"/>
    <col min="8455" max="8455" width="18.28515625" style="126" customWidth="1"/>
    <col min="8456" max="8456" width="5.7109375" style="126" customWidth="1"/>
    <col min="8457" max="8457" width="20.7109375" style="126" customWidth="1"/>
    <col min="8458" max="8704" width="9.140625" style="126"/>
    <col min="8705" max="8705" width="5.7109375" style="126" customWidth="1"/>
    <col min="8706" max="8706" width="16.28515625" style="126" customWidth="1"/>
    <col min="8707" max="8707" width="67" style="126" customWidth="1"/>
    <col min="8708" max="8708" width="15.140625" style="126" customWidth="1"/>
    <col min="8709" max="8709" width="15" style="126" customWidth="1"/>
    <col min="8710" max="8710" width="15.140625" style="126" customWidth="1"/>
    <col min="8711" max="8711" width="18.28515625" style="126" customWidth="1"/>
    <col min="8712" max="8712" width="5.7109375" style="126" customWidth="1"/>
    <col min="8713" max="8713" width="20.7109375" style="126" customWidth="1"/>
    <col min="8714" max="8960" width="9.140625" style="126"/>
    <col min="8961" max="8961" width="5.7109375" style="126" customWidth="1"/>
    <col min="8962" max="8962" width="16.28515625" style="126" customWidth="1"/>
    <col min="8963" max="8963" width="67" style="126" customWidth="1"/>
    <col min="8964" max="8964" width="15.140625" style="126" customWidth="1"/>
    <col min="8965" max="8965" width="15" style="126" customWidth="1"/>
    <col min="8966" max="8966" width="15.140625" style="126" customWidth="1"/>
    <col min="8967" max="8967" width="18.28515625" style="126" customWidth="1"/>
    <col min="8968" max="8968" width="5.7109375" style="126" customWidth="1"/>
    <col min="8969" max="8969" width="20.7109375" style="126" customWidth="1"/>
    <col min="8970" max="9216" width="9.140625" style="126"/>
    <col min="9217" max="9217" width="5.7109375" style="126" customWidth="1"/>
    <col min="9218" max="9218" width="16.28515625" style="126" customWidth="1"/>
    <col min="9219" max="9219" width="67" style="126" customWidth="1"/>
    <col min="9220" max="9220" width="15.140625" style="126" customWidth="1"/>
    <col min="9221" max="9221" width="15" style="126" customWidth="1"/>
    <col min="9222" max="9222" width="15.140625" style="126" customWidth="1"/>
    <col min="9223" max="9223" width="18.28515625" style="126" customWidth="1"/>
    <col min="9224" max="9224" width="5.7109375" style="126" customWidth="1"/>
    <col min="9225" max="9225" width="20.7109375" style="126" customWidth="1"/>
    <col min="9226" max="9472" width="9.140625" style="126"/>
    <col min="9473" max="9473" width="5.7109375" style="126" customWidth="1"/>
    <col min="9474" max="9474" width="16.28515625" style="126" customWidth="1"/>
    <col min="9475" max="9475" width="67" style="126" customWidth="1"/>
    <col min="9476" max="9476" width="15.140625" style="126" customWidth="1"/>
    <col min="9477" max="9477" width="15" style="126" customWidth="1"/>
    <col min="9478" max="9478" width="15.140625" style="126" customWidth="1"/>
    <col min="9479" max="9479" width="18.28515625" style="126" customWidth="1"/>
    <col min="9480" max="9480" width="5.7109375" style="126" customWidth="1"/>
    <col min="9481" max="9481" width="20.7109375" style="126" customWidth="1"/>
    <col min="9482" max="9728" width="9.140625" style="126"/>
    <col min="9729" max="9729" width="5.7109375" style="126" customWidth="1"/>
    <col min="9730" max="9730" width="16.28515625" style="126" customWidth="1"/>
    <col min="9731" max="9731" width="67" style="126" customWidth="1"/>
    <col min="9732" max="9732" width="15.140625" style="126" customWidth="1"/>
    <col min="9733" max="9733" width="15" style="126" customWidth="1"/>
    <col min="9734" max="9734" width="15.140625" style="126" customWidth="1"/>
    <col min="9735" max="9735" width="18.28515625" style="126" customWidth="1"/>
    <col min="9736" max="9736" width="5.7109375" style="126" customWidth="1"/>
    <col min="9737" max="9737" width="20.7109375" style="126" customWidth="1"/>
    <col min="9738" max="9984" width="9.140625" style="126"/>
    <col min="9985" max="9985" width="5.7109375" style="126" customWidth="1"/>
    <col min="9986" max="9986" width="16.28515625" style="126" customWidth="1"/>
    <col min="9987" max="9987" width="67" style="126" customWidth="1"/>
    <col min="9988" max="9988" width="15.140625" style="126" customWidth="1"/>
    <col min="9989" max="9989" width="15" style="126" customWidth="1"/>
    <col min="9990" max="9990" width="15.140625" style="126" customWidth="1"/>
    <col min="9991" max="9991" width="18.28515625" style="126" customWidth="1"/>
    <col min="9992" max="9992" width="5.7109375" style="126" customWidth="1"/>
    <col min="9993" max="9993" width="20.7109375" style="126" customWidth="1"/>
    <col min="9994" max="10240" width="9.140625" style="126"/>
    <col min="10241" max="10241" width="5.7109375" style="126" customWidth="1"/>
    <col min="10242" max="10242" width="16.28515625" style="126" customWidth="1"/>
    <col min="10243" max="10243" width="67" style="126" customWidth="1"/>
    <col min="10244" max="10244" width="15.140625" style="126" customWidth="1"/>
    <col min="10245" max="10245" width="15" style="126" customWidth="1"/>
    <col min="10246" max="10246" width="15.140625" style="126" customWidth="1"/>
    <col min="10247" max="10247" width="18.28515625" style="126" customWidth="1"/>
    <col min="10248" max="10248" width="5.7109375" style="126" customWidth="1"/>
    <col min="10249" max="10249" width="20.7109375" style="126" customWidth="1"/>
    <col min="10250" max="10496" width="9.140625" style="126"/>
    <col min="10497" max="10497" width="5.7109375" style="126" customWidth="1"/>
    <col min="10498" max="10498" width="16.28515625" style="126" customWidth="1"/>
    <col min="10499" max="10499" width="67" style="126" customWidth="1"/>
    <col min="10500" max="10500" width="15.140625" style="126" customWidth="1"/>
    <col min="10501" max="10501" width="15" style="126" customWidth="1"/>
    <col min="10502" max="10502" width="15.140625" style="126" customWidth="1"/>
    <col min="10503" max="10503" width="18.28515625" style="126" customWidth="1"/>
    <col min="10504" max="10504" width="5.7109375" style="126" customWidth="1"/>
    <col min="10505" max="10505" width="20.7109375" style="126" customWidth="1"/>
    <col min="10506" max="10752" width="9.140625" style="126"/>
    <col min="10753" max="10753" width="5.7109375" style="126" customWidth="1"/>
    <col min="10754" max="10754" width="16.28515625" style="126" customWidth="1"/>
    <col min="10755" max="10755" width="67" style="126" customWidth="1"/>
    <col min="10756" max="10756" width="15.140625" style="126" customWidth="1"/>
    <col min="10757" max="10757" width="15" style="126" customWidth="1"/>
    <col min="10758" max="10758" width="15.140625" style="126" customWidth="1"/>
    <col min="10759" max="10759" width="18.28515625" style="126" customWidth="1"/>
    <col min="10760" max="10760" width="5.7109375" style="126" customWidth="1"/>
    <col min="10761" max="10761" width="20.7109375" style="126" customWidth="1"/>
    <col min="10762" max="11008" width="9.140625" style="126"/>
    <col min="11009" max="11009" width="5.7109375" style="126" customWidth="1"/>
    <col min="11010" max="11010" width="16.28515625" style="126" customWidth="1"/>
    <col min="11011" max="11011" width="67" style="126" customWidth="1"/>
    <col min="11012" max="11012" width="15.140625" style="126" customWidth="1"/>
    <col min="11013" max="11013" width="15" style="126" customWidth="1"/>
    <col min="11014" max="11014" width="15.140625" style="126" customWidth="1"/>
    <col min="11015" max="11015" width="18.28515625" style="126" customWidth="1"/>
    <col min="11016" max="11016" width="5.7109375" style="126" customWidth="1"/>
    <col min="11017" max="11017" width="20.7109375" style="126" customWidth="1"/>
    <col min="11018" max="11264" width="9.140625" style="126"/>
    <col min="11265" max="11265" width="5.7109375" style="126" customWidth="1"/>
    <col min="11266" max="11266" width="16.28515625" style="126" customWidth="1"/>
    <col min="11267" max="11267" width="67" style="126" customWidth="1"/>
    <col min="11268" max="11268" width="15.140625" style="126" customWidth="1"/>
    <col min="11269" max="11269" width="15" style="126" customWidth="1"/>
    <col min="11270" max="11270" width="15.140625" style="126" customWidth="1"/>
    <col min="11271" max="11271" width="18.28515625" style="126" customWidth="1"/>
    <col min="11272" max="11272" width="5.7109375" style="126" customWidth="1"/>
    <col min="11273" max="11273" width="20.7109375" style="126" customWidth="1"/>
    <col min="11274" max="11520" width="9.140625" style="126"/>
    <col min="11521" max="11521" width="5.7109375" style="126" customWidth="1"/>
    <col min="11522" max="11522" width="16.28515625" style="126" customWidth="1"/>
    <col min="11523" max="11523" width="67" style="126" customWidth="1"/>
    <col min="11524" max="11524" width="15.140625" style="126" customWidth="1"/>
    <col min="11525" max="11525" width="15" style="126" customWidth="1"/>
    <col min="11526" max="11526" width="15.140625" style="126" customWidth="1"/>
    <col min="11527" max="11527" width="18.28515625" style="126" customWidth="1"/>
    <col min="11528" max="11528" width="5.7109375" style="126" customWidth="1"/>
    <col min="11529" max="11529" width="20.7109375" style="126" customWidth="1"/>
    <col min="11530" max="11776" width="9.140625" style="126"/>
    <col min="11777" max="11777" width="5.7109375" style="126" customWidth="1"/>
    <col min="11778" max="11778" width="16.28515625" style="126" customWidth="1"/>
    <col min="11779" max="11779" width="67" style="126" customWidth="1"/>
    <col min="11780" max="11780" width="15.140625" style="126" customWidth="1"/>
    <col min="11781" max="11781" width="15" style="126" customWidth="1"/>
    <col min="11782" max="11782" width="15.140625" style="126" customWidth="1"/>
    <col min="11783" max="11783" width="18.28515625" style="126" customWidth="1"/>
    <col min="11784" max="11784" width="5.7109375" style="126" customWidth="1"/>
    <col min="11785" max="11785" width="20.7109375" style="126" customWidth="1"/>
    <col min="11786" max="12032" width="9.140625" style="126"/>
    <col min="12033" max="12033" width="5.7109375" style="126" customWidth="1"/>
    <col min="12034" max="12034" width="16.28515625" style="126" customWidth="1"/>
    <col min="12035" max="12035" width="67" style="126" customWidth="1"/>
    <col min="12036" max="12036" width="15.140625" style="126" customWidth="1"/>
    <col min="12037" max="12037" width="15" style="126" customWidth="1"/>
    <col min="12038" max="12038" width="15.140625" style="126" customWidth="1"/>
    <col min="12039" max="12039" width="18.28515625" style="126" customWidth="1"/>
    <col min="12040" max="12040" width="5.7109375" style="126" customWidth="1"/>
    <col min="12041" max="12041" width="20.7109375" style="126" customWidth="1"/>
    <col min="12042" max="12288" width="9.140625" style="126"/>
    <col min="12289" max="12289" width="5.7109375" style="126" customWidth="1"/>
    <col min="12290" max="12290" width="16.28515625" style="126" customWidth="1"/>
    <col min="12291" max="12291" width="67" style="126" customWidth="1"/>
    <col min="12292" max="12292" width="15.140625" style="126" customWidth="1"/>
    <col min="12293" max="12293" width="15" style="126" customWidth="1"/>
    <col min="12294" max="12294" width="15.140625" style="126" customWidth="1"/>
    <col min="12295" max="12295" width="18.28515625" style="126" customWidth="1"/>
    <col min="12296" max="12296" width="5.7109375" style="126" customWidth="1"/>
    <col min="12297" max="12297" width="20.7109375" style="126" customWidth="1"/>
    <col min="12298" max="12544" width="9.140625" style="126"/>
    <col min="12545" max="12545" width="5.7109375" style="126" customWidth="1"/>
    <col min="12546" max="12546" width="16.28515625" style="126" customWidth="1"/>
    <col min="12547" max="12547" width="67" style="126" customWidth="1"/>
    <col min="12548" max="12548" width="15.140625" style="126" customWidth="1"/>
    <col min="12549" max="12549" width="15" style="126" customWidth="1"/>
    <col min="12550" max="12550" width="15.140625" style="126" customWidth="1"/>
    <col min="12551" max="12551" width="18.28515625" style="126" customWidth="1"/>
    <col min="12552" max="12552" width="5.7109375" style="126" customWidth="1"/>
    <col min="12553" max="12553" width="20.7109375" style="126" customWidth="1"/>
    <col min="12554" max="12800" width="9.140625" style="126"/>
    <col min="12801" max="12801" width="5.7109375" style="126" customWidth="1"/>
    <col min="12802" max="12802" width="16.28515625" style="126" customWidth="1"/>
    <col min="12803" max="12803" width="67" style="126" customWidth="1"/>
    <col min="12804" max="12804" width="15.140625" style="126" customWidth="1"/>
    <col min="12805" max="12805" width="15" style="126" customWidth="1"/>
    <col min="12806" max="12806" width="15.140625" style="126" customWidth="1"/>
    <col min="12807" max="12807" width="18.28515625" style="126" customWidth="1"/>
    <col min="12808" max="12808" width="5.7109375" style="126" customWidth="1"/>
    <col min="12809" max="12809" width="20.7109375" style="126" customWidth="1"/>
    <col min="12810" max="13056" width="9.140625" style="126"/>
    <col min="13057" max="13057" width="5.7109375" style="126" customWidth="1"/>
    <col min="13058" max="13058" width="16.28515625" style="126" customWidth="1"/>
    <col min="13059" max="13059" width="67" style="126" customWidth="1"/>
    <col min="13060" max="13060" width="15.140625" style="126" customWidth="1"/>
    <col min="13061" max="13061" width="15" style="126" customWidth="1"/>
    <col min="13062" max="13062" width="15.140625" style="126" customWidth="1"/>
    <col min="13063" max="13063" width="18.28515625" style="126" customWidth="1"/>
    <col min="13064" max="13064" width="5.7109375" style="126" customWidth="1"/>
    <col min="13065" max="13065" width="20.7109375" style="126" customWidth="1"/>
    <col min="13066" max="13312" width="9.140625" style="126"/>
    <col min="13313" max="13313" width="5.7109375" style="126" customWidth="1"/>
    <col min="13314" max="13314" width="16.28515625" style="126" customWidth="1"/>
    <col min="13315" max="13315" width="67" style="126" customWidth="1"/>
    <col min="13316" max="13316" width="15.140625" style="126" customWidth="1"/>
    <col min="13317" max="13317" width="15" style="126" customWidth="1"/>
    <col min="13318" max="13318" width="15.140625" style="126" customWidth="1"/>
    <col min="13319" max="13319" width="18.28515625" style="126" customWidth="1"/>
    <col min="13320" max="13320" width="5.7109375" style="126" customWidth="1"/>
    <col min="13321" max="13321" width="20.7109375" style="126" customWidth="1"/>
    <col min="13322" max="13568" width="9.140625" style="126"/>
    <col min="13569" max="13569" width="5.7109375" style="126" customWidth="1"/>
    <col min="13570" max="13570" width="16.28515625" style="126" customWidth="1"/>
    <col min="13571" max="13571" width="67" style="126" customWidth="1"/>
    <col min="13572" max="13572" width="15.140625" style="126" customWidth="1"/>
    <col min="13573" max="13573" width="15" style="126" customWidth="1"/>
    <col min="13574" max="13574" width="15.140625" style="126" customWidth="1"/>
    <col min="13575" max="13575" width="18.28515625" style="126" customWidth="1"/>
    <col min="13576" max="13576" width="5.7109375" style="126" customWidth="1"/>
    <col min="13577" max="13577" width="20.7109375" style="126" customWidth="1"/>
    <col min="13578" max="13824" width="9.140625" style="126"/>
    <col min="13825" max="13825" width="5.7109375" style="126" customWidth="1"/>
    <col min="13826" max="13826" width="16.28515625" style="126" customWidth="1"/>
    <col min="13827" max="13827" width="67" style="126" customWidth="1"/>
    <col min="13828" max="13828" width="15.140625" style="126" customWidth="1"/>
    <col min="13829" max="13829" width="15" style="126" customWidth="1"/>
    <col min="13830" max="13830" width="15.140625" style="126" customWidth="1"/>
    <col min="13831" max="13831" width="18.28515625" style="126" customWidth="1"/>
    <col min="13832" max="13832" width="5.7109375" style="126" customWidth="1"/>
    <col min="13833" max="13833" width="20.7109375" style="126" customWidth="1"/>
    <col min="13834" max="14080" width="9.140625" style="126"/>
    <col min="14081" max="14081" width="5.7109375" style="126" customWidth="1"/>
    <col min="14082" max="14082" width="16.28515625" style="126" customWidth="1"/>
    <col min="14083" max="14083" width="67" style="126" customWidth="1"/>
    <col min="14084" max="14084" width="15.140625" style="126" customWidth="1"/>
    <col min="14085" max="14085" width="15" style="126" customWidth="1"/>
    <col min="14086" max="14086" width="15.140625" style="126" customWidth="1"/>
    <col min="14087" max="14087" width="18.28515625" style="126" customWidth="1"/>
    <col min="14088" max="14088" width="5.7109375" style="126" customWidth="1"/>
    <col min="14089" max="14089" width="20.7109375" style="126" customWidth="1"/>
    <col min="14090" max="14336" width="9.140625" style="126"/>
    <col min="14337" max="14337" width="5.7109375" style="126" customWidth="1"/>
    <col min="14338" max="14338" width="16.28515625" style="126" customWidth="1"/>
    <col min="14339" max="14339" width="67" style="126" customWidth="1"/>
    <col min="14340" max="14340" width="15.140625" style="126" customWidth="1"/>
    <col min="14341" max="14341" width="15" style="126" customWidth="1"/>
    <col min="14342" max="14342" width="15.140625" style="126" customWidth="1"/>
    <col min="14343" max="14343" width="18.28515625" style="126" customWidth="1"/>
    <col min="14344" max="14344" width="5.7109375" style="126" customWidth="1"/>
    <col min="14345" max="14345" width="20.7109375" style="126" customWidth="1"/>
    <col min="14346" max="14592" width="9.140625" style="126"/>
    <col min="14593" max="14593" width="5.7109375" style="126" customWidth="1"/>
    <col min="14594" max="14594" width="16.28515625" style="126" customWidth="1"/>
    <col min="14595" max="14595" width="67" style="126" customWidth="1"/>
    <col min="14596" max="14596" width="15.140625" style="126" customWidth="1"/>
    <col min="14597" max="14597" width="15" style="126" customWidth="1"/>
    <col min="14598" max="14598" width="15.140625" style="126" customWidth="1"/>
    <col min="14599" max="14599" width="18.28515625" style="126" customWidth="1"/>
    <col min="14600" max="14600" width="5.7109375" style="126" customWidth="1"/>
    <col min="14601" max="14601" width="20.7109375" style="126" customWidth="1"/>
    <col min="14602" max="14848" width="9.140625" style="126"/>
    <col min="14849" max="14849" width="5.7109375" style="126" customWidth="1"/>
    <col min="14850" max="14850" width="16.28515625" style="126" customWidth="1"/>
    <col min="14851" max="14851" width="67" style="126" customWidth="1"/>
    <col min="14852" max="14852" width="15.140625" style="126" customWidth="1"/>
    <col min="14853" max="14853" width="15" style="126" customWidth="1"/>
    <col min="14854" max="14854" width="15.140625" style="126" customWidth="1"/>
    <col min="14855" max="14855" width="18.28515625" style="126" customWidth="1"/>
    <col min="14856" max="14856" width="5.7109375" style="126" customWidth="1"/>
    <col min="14857" max="14857" width="20.7109375" style="126" customWidth="1"/>
    <col min="14858" max="15104" width="9.140625" style="126"/>
    <col min="15105" max="15105" width="5.7109375" style="126" customWidth="1"/>
    <col min="15106" max="15106" width="16.28515625" style="126" customWidth="1"/>
    <col min="15107" max="15107" width="67" style="126" customWidth="1"/>
    <col min="15108" max="15108" width="15.140625" style="126" customWidth="1"/>
    <col min="15109" max="15109" width="15" style="126" customWidth="1"/>
    <col min="15110" max="15110" width="15.140625" style="126" customWidth="1"/>
    <col min="15111" max="15111" width="18.28515625" style="126" customWidth="1"/>
    <col min="15112" max="15112" width="5.7109375" style="126" customWidth="1"/>
    <col min="15113" max="15113" width="20.7109375" style="126" customWidth="1"/>
    <col min="15114" max="15360" width="9.140625" style="126"/>
    <col min="15361" max="15361" width="5.7109375" style="126" customWidth="1"/>
    <col min="15362" max="15362" width="16.28515625" style="126" customWidth="1"/>
    <col min="15363" max="15363" width="67" style="126" customWidth="1"/>
    <col min="15364" max="15364" width="15.140625" style="126" customWidth="1"/>
    <col min="15365" max="15365" width="15" style="126" customWidth="1"/>
    <col min="15366" max="15366" width="15.140625" style="126" customWidth="1"/>
    <col min="15367" max="15367" width="18.28515625" style="126" customWidth="1"/>
    <col min="15368" max="15368" width="5.7109375" style="126" customWidth="1"/>
    <col min="15369" max="15369" width="20.7109375" style="126" customWidth="1"/>
    <col min="15370" max="15616" width="9.140625" style="126"/>
    <col min="15617" max="15617" width="5.7109375" style="126" customWidth="1"/>
    <col min="15618" max="15618" width="16.28515625" style="126" customWidth="1"/>
    <col min="15619" max="15619" width="67" style="126" customWidth="1"/>
    <col min="15620" max="15620" width="15.140625" style="126" customWidth="1"/>
    <col min="15621" max="15621" width="15" style="126" customWidth="1"/>
    <col min="15622" max="15622" width="15.140625" style="126" customWidth="1"/>
    <col min="15623" max="15623" width="18.28515625" style="126" customWidth="1"/>
    <col min="15624" max="15624" width="5.7109375" style="126" customWidth="1"/>
    <col min="15625" max="15625" width="20.7109375" style="126" customWidth="1"/>
    <col min="15626" max="15872" width="9.140625" style="126"/>
    <col min="15873" max="15873" width="5.7109375" style="126" customWidth="1"/>
    <col min="15874" max="15874" width="16.28515625" style="126" customWidth="1"/>
    <col min="15875" max="15875" width="67" style="126" customWidth="1"/>
    <col min="15876" max="15876" width="15.140625" style="126" customWidth="1"/>
    <col min="15877" max="15877" width="15" style="126" customWidth="1"/>
    <col min="15878" max="15878" width="15.140625" style="126" customWidth="1"/>
    <col min="15879" max="15879" width="18.28515625" style="126" customWidth="1"/>
    <col min="15880" max="15880" width="5.7109375" style="126" customWidth="1"/>
    <col min="15881" max="15881" width="20.7109375" style="126" customWidth="1"/>
    <col min="15882" max="16128" width="9.140625" style="126"/>
    <col min="16129" max="16129" width="5.7109375" style="126" customWidth="1"/>
    <col min="16130" max="16130" width="16.28515625" style="126" customWidth="1"/>
    <col min="16131" max="16131" width="67" style="126" customWidth="1"/>
    <col min="16132" max="16132" width="15.140625" style="126" customWidth="1"/>
    <col min="16133" max="16133" width="15" style="126" customWidth="1"/>
    <col min="16134" max="16134" width="15.140625" style="126" customWidth="1"/>
    <col min="16135" max="16135" width="18.28515625" style="126" customWidth="1"/>
    <col min="16136" max="16136" width="5.7109375" style="126" customWidth="1"/>
    <col min="16137" max="16137" width="20.7109375" style="126" customWidth="1"/>
    <col min="16138" max="16384" width="9.140625" style="126"/>
  </cols>
  <sheetData>
    <row r="1" spans="1:10" s="69" customFormat="1" x14ac:dyDescent="0.2">
      <c r="C1" s="123"/>
      <c r="F1" s="122" t="s">
        <v>163</v>
      </c>
    </row>
    <row r="2" spans="1:10" ht="20.25" x14ac:dyDescent="0.3">
      <c r="A2" s="124"/>
      <c r="B2" s="117" t="s">
        <v>166</v>
      </c>
      <c r="C2" s="124"/>
      <c r="D2" s="124"/>
      <c r="E2" s="124"/>
      <c r="F2" s="124"/>
      <c r="G2" s="125"/>
    </row>
    <row r="3" spans="1:10" ht="21.75" customHeight="1" x14ac:dyDescent="0.25">
      <c r="A3" s="124"/>
      <c r="B3" s="381"/>
      <c r="C3" s="381"/>
      <c r="D3" s="124"/>
      <c r="E3" s="124"/>
      <c r="F3" s="124"/>
      <c r="G3" s="124"/>
    </row>
    <row r="4" spans="1:10" ht="27.75" customHeight="1" x14ac:dyDescent="0.25">
      <c r="A4" s="124"/>
      <c r="B4" s="127" t="s">
        <v>85</v>
      </c>
      <c r="C4" s="124"/>
      <c r="D4" s="124"/>
      <c r="E4" s="124"/>
      <c r="F4" s="124"/>
      <c r="G4" s="128"/>
    </row>
    <row r="5" spans="1:10" ht="12.75" customHeight="1" x14ac:dyDescent="0.25">
      <c r="C5" s="129"/>
    </row>
    <row r="6" spans="1:10" ht="39.75" customHeight="1" x14ac:dyDescent="0.2">
      <c r="B6" s="382" t="s">
        <v>86</v>
      </c>
      <c r="C6" s="383"/>
      <c r="D6" s="383"/>
      <c r="E6" s="383"/>
      <c r="F6" s="383"/>
      <c r="G6" s="383"/>
    </row>
    <row r="8" spans="1:10" s="129" customFormat="1" ht="15.75" x14ac:dyDescent="0.25">
      <c r="B8" s="384" t="s">
        <v>87</v>
      </c>
      <c r="C8" s="386" t="s">
        <v>88</v>
      </c>
      <c r="D8" s="388" t="s">
        <v>89</v>
      </c>
      <c r="E8" s="389"/>
      <c r="F8" s="389"/>
      <c r="G8" s="390"/>
    </row>
    <row r="9" spans="1:10" s="129" customFormat="1" ht="39" thickBot="1" x14ac:dyDescent="0.3">
      <c r="B9" s="385"/>
      <c r="C9" s="387"/>
      <c r="D9" s="130" t="s">
        <v>90</v>
      </c>
      <c r="E9" s="131" t="s">
        <v>91</v>
      </c>
      <c r="F9" s="132" t="s">
        <v>92</v>
      </c>
      <c r="G9" s="131" t="s">
        <v>93</v>
      </c>
      <c r="I9" s="133" t="s">
        <v>94</v>
      </c>
      <c r="J9" s="134"/>
    </row>
    <row r="10" spans="1:10" ht="38.85" customHeight="1" x14ac:dyDescent="0.2">
      <c r="B10" s="135" t="s">
        <v>75</v>
      </c>
      <c r="C10" s="136" t="s">
        <v>95</v>
      </c>
      <c r="D10" s="137">
        <v>1</v>
      </c>
      <c r="E10" s="138">
        <v>1</v>
      </c>
      <c r="F10" s="139" t="s">
        <v>96</v>
      </c>
      <c r="G10" s="140">
        <f>D10</f>
        <v>1</v>
      </c>
      <c r="I10" s="141" t="str">
        <f>IF(D10=E10,IF(D11=E11,"Y","N"),"N")</f>
        <v>Y</v>
      </c>
    </row>
    <row r="11" spans="1:10" ht="38.85" customHeight="1" x14ac:dyDescent="0.2">
      <c r="B11" s="142" t="s">
        <v>75</v>
      </c>
      <c r="C11" s="143" t="s">
        <v>97</v>
      </c>
      <c r="D11" s="144">
        <v>1</v>
      </c>
      <c r="E11" s="145">
        <v>1</v>
      </c>
      <c r="F11" s="146" t="s">
        <v>96</v>
      </c>
      <c r="G11" s="147">
        <f>D11</f>
        <v>1</v>
      </c>
    </row>
    <row r="12" spans="1:10" ht="14.25" customHeight="1" x14ac:dyDescent="0.2">
      <c r="B12" s="259"/>
      <c r="C12" s="259"/>
      <c r="D12" s="259"/>
      <c r="E12" s="259"/>
      <c r="F12" s="259"/>
      <c r="G12" s="259"/>
    </row>
    <row r="13" spans="1:10" x14ac:dyDescent="0.2">
      <c r="B13" s="379"/>
      <c r="C13" s="379"/>
      <c r="D13" s="379"/>
      <c r="E13" s="379"/>
      <c r="F13" s="379"/>
      <c r="G13" s="379"/>
    </row>
    <row r="14" spans="1:10" x14ac:dyDescent="0.2">
      <c r="B14" s="148"/>
      <c r="C14" s="148"/>
      <c r="D14" s="148"/>
      <c r="E14" s="148"/>
      <c r="F14" s="148"/>
      <c r="G14" s="148"/>
    </row>
    <row r="15" spans="1:10" x14ac:dyDescent="0.2">
      <c r="C15" s="149" t="s">
        <v>98</v>
      </c>
      <c r="D15" s="150">
        <f>'Cost-Benefit Summary'!B90</f>
        <v>7.3181513179324753E-2</v>
      </c>
      <c r="E15" s="151"/>
    </row>
    <row r="16" spans="1:10" x14ac:dyDescent="0.2">
      <c r="C16" s="149"/>
      <c r="D16" s="151"/>
      <c r="E16" s="151"/>
    </row>
    <row r="17" spans="3:7" x14ac:dyDescent="0.2">
      <c r="C17" s="149"/>
      <c r="D17" s="152"/>
      <c r="E17" s="151"/>
    </row>
    <row r="18" spans="3:7" x14ac:dyDescent="0.2">
      <c r="C18" s="149" t="s">
        <v>99</v>
      </c>
      <c r="D18" s="153"/>
      <c r="E18" s="154" t="s">
        <v>52</v>
      </c>
      <c r="F18" s="155" t="s">
        <v>100</v>
      </c>
      <c r="G18" s="156" t="s">
        <v>53</v>
      </c>
    </row>
    <row r="19" spans="3:7" x14ac:dyDescent="0.2">
      <c r="C19" s="149"/>
      <c r="D19" s="157" t="s">
        <v>101</v>
      </c>
      <c r="E19" s="169">
        <v>0.10299999999999999</v>
      </c>
      <c r="F19" s="158" t="s">
        <v>102</v>
      </c>
      <c r="G19" s="159">
        <f>D15</f>
        <v>7.3181513179324753E-2</v>
      </c>
    </row>
    <row r="20" spans="3:7" x14ac:dyDescent="0.2">
      <c r="D20" s="157" t="s">
        <v>103</v>
      </c>
      <c r="E20" s="160">
        <v>39239</v>
      </c>
      <c r="F20" s="161" t="s">
        <v>102</v>
      </c>
      <c r="G20" s="162">
        <v>41653</v>
      </c>
    </row>
    <row r="22" spans="3:7" x14ac:dyDescent="0.2">
      <c r="C22" s="163" t="s">
        <v>108</v>
      </c>
      <c r="D22" s="170">
        <f>NPV(0.1,'Cost-Benefit Summary'!B94:AA94)</f>
        <v>51.307308666659353</v>
      </c>
    </row>
    <row r="23" spans="3:7" x14ac:dyDescent="0.2">
      <c r="C23" s="163"/>
      <c r="D23" s="164"/>
      <c r="F23" s="369">
        <f>D22*1000000</f>
        <v>51307308.666659355</v>
      </c>
    </row>
    <row r="24" spans="3:7" x14ac:dyDescent="0.2">
      <c r="C24" s="163" t="s">
        <v>109</v>
      </c>
      <c r="D24" s="170">
        <f>NPV(0.1,'Cost-Benefit Summary'!B95:AA95)</f>
        <v>-64.588537517015794</v>
      </c>
    </row>
    <row r="25" spans="3:7" x14ac:dyDescent="0.2">
      <c r="C25" s="165"/>
      <c r="D25" s="165"/>
    </row>
    <row r="26" spans="3:7" x14ac:dyDescent="0.2">
      <c r="C26" s="166" t="s">
        <v>104</v>
      </c>
    </row>
    <row r="73" spans="3:6" x14ac:dyDescent="0.2">
      <c r="C73" s="380"/>
      <c r="D73" s="380"/>
      <c r="E73" s="380"/>
      <c r="F73" s="380"/>
    </row>
    <row r="74" spans="3:6" x14ac:dyDescent="0.2">
      <c r="C74" s="380"/>
      <c r="D74" s="380"/>
      <c r="E74" s="380"/>
      <c r="F74" s="380"/>
    </row>
    <row r="75" spans="3:6" x14ac:dyDescent="0.2">
      <c r="C75" s="166"/>
      <c r="D75" s="166"/>
      <c r="E75" s="166"/>
      <c r="F75" s="166"/>
    </row>
  </sheetData>
  <mergeCells count="8">
    <mergeCell ref="B13:G13"/>
    <mergeCell ref="C73:F73"/>
    <mergeCell ref="C74:F74"/>
    <mergeCell ref="B3:C3"/>
    <mergeCell ref="B6:G6"/>
    <mergeCell ref="B8:B9"/>
    <mergeCell ref="C8:C9"/>
    <mergeCell ref="D8:G8"/>
  </mergeCells>
  <conditionalFormatting sqref="B12:B14">
    <cfRule type="cellIs" dxfId="1" priority="1" stopIfTrue="1" operator="equal">
      <formula>0</formula>
    </cfRule>
    <cfRule type="cellIs" dxfId="0" priority="2" stopIfTrue="1" operator="not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98"/>
  <sheetViews>
    <sheetView workbookViewId="0">
      <pane xSplit="1" topLeftCell="B1" activePane="topRight" state="frozen"/>
      <selection activeCell="A64" sqref="A64"/>
      <selection pane="topRight" activeCell="G35" sqref="G35"/>
    </sheetView>
  </sheetViews>
  <sheetFormatPr defaultRowHeight="15" x14ac:dyDescent="0.25"/>
  <cols>
    <col min="1" max="1" width="42" style="3" customWidth="1"/>
    <col min="2" max="2" width="9.28515625" style="3" bestFit="1" customWidth="1"/>
    <col min="3" max="3" width="11.5703125" style="3" customWidth="1"/>
    <col min="4" max="4" width="12" style="3" customWidth="1"/>
    <col min="5" max="5" width="10" style="3" bestFit="1" customWidth="1"/>
    <col min="6" max="6" width="9.28515625" style="3" bestFit="1" customWidth="1"/>
    <col min="7" max="7" width="9.7109375" style="3" bestFit="1" customWidth="1"/>
    <col min="8" max="8" width="10" style="3" bestFit="1" customWidth="1"/>
    <col min="9" max="27" width="9.28515625" style="3" bestFit="1" customWidth="1"/>
    <col min="28" max="16384" width="9.140625" style="3"/>
  </cols>
  <sheetData>
    <row r="1" spans="1:49" x14ac:dyDescent="0.25">
      <c r="H1" s="122" t="s">
        <v>163</v>
      </c>
    </row>
    <row r="2" spans="1:49" ht="21" x14ac:dyDescent="0.35">
      <c r="A2" s="260" t="s">
        <v>66</v>
      </c>
    </row>
    <row r="3" spans="1:49" ht="9.75" customHeight="1" x14ac:dyDescent="0.35">
      <c r="A3" s="260"/>
    </row>
    <row r="4" spans="1:49" x14ac:dyDescent="0.25">
      <c r="A4" s="3" t="s">
        <v>171</v>
      </c>
      <c r="E4" s="3">
        <v>1</v>
      </c>
      <c r="F4" s="3">
        <f>E4+1</f>
        <v>2</v>
      </c>
      <c r="G4" s="3">
        <f t="shared" ref="G4:X4" si="0">F4+1</f>
        <v>3</v>
      </c>
      <c r="H4" s="3">
        <f t="shared" si="0"/>
        <v>4</v>
      </c>
      <c r="I4" s="3">
        <f t="shared" si="0"/>
        <v>5</v>
      </c>
      <c r="J4" s="3">
        <f t="shared" si="0"/>
        <v>6</v>
      </c>
      <c r="K4" s="3">
        <f t="shared" si="0"/>
        <v>7</v>
      </c>
      <c r="L4" s="3">
        <f t="shared" si="0"/>
        <v>8</v>
      </c>
      <c r="M4" s="3">
        <f t="shared" si="0"/>
        <v>9</v>
      </c>
      <c r="N4" s="3">
        <f t="shared" si="0"/>
        <v>10</v>
      </c>
      <c r="O4" s="3">
        <f t="shared" si="0"/>
        <v>11</v>
      </c>
      <c r="P4" s="3">
        <f t="shared" si="0"/>
        <v>12</v>
      </c>
      <c r="Q4" s="3">
        <f t="shared" si="0"/>
        <v>13</v>
      </c>
      <c r="R4" s="3">
        <f t="shared" si="0"/>
        <v>14</v>
      </c>
      <c r="S4" s="3">
        <f t="shared" si="0"/>
        <v>15</v>
      </c>
      <c r="T4" s="3">
        <f t="shared" si="0"/>
        <v>16</v>
      </c>
      <c r="U4" s="3">
        <f t="shared" si="0"/>
        <v>17</v>
      </c>
      <c r="V4" s="3">
        <f t="shared" si="0"/>
        <v>18</v>
      </c>
      <c r="W4" s="3">
        <f t="shared" si="0"/>
        <v>19</v>
      </c>
      <c r="X4" s="3">
        <f t="shared" si="0"/>
        <v>20</v>
      </c>
      <c r="Y4" s="68"/>
      <c r="Z4" s="68"/>
      <c r="AA4" s="68"/>
      <c r="AB4" s="68"/>
    </row>
    <row r="5" spans="1:49" s="52" customFormat="1" x14ac:dyDescent="0.25">
      <c r="A5" s="48" t="s">
        <v>42</v>
      </c>
      <c r="B5" s="49"/>
      <c r="C5" s="50">
        <v>2007</v>
      </c>
      <c r="D5" s="50">
        <f>C5+1</f>
        <v>2008</v>
      </c>
      <c r="E5" s="50">
        <f t="shared" ref="E5:T5" si="1">D5+1</f>
        <v>2009</v>
      </c>
      <c r="F5" s="50">
        <f t="shared" si="1"/>
        <v>2010</v>
      </c>
      <c r="G5" s="50">
        <f t="shared" si="1"/>
        <v>2011</v>
      </c>
      <c r="H5" s="50">
        <f t="shared" si="1"/>
        <v>2012</v>
      </c>
      <c r="I5" s="50">
        <f>H5+1</f>
        <v>2013</v>
      </c>
      <c r="J5" s="50">
        <f t="shared" si="1"/>
        <v>2014</v>
      </c>
      <c r="K5" s="50">
        <f t="shared" si="1"/>
        <v>2015</v>
      </c>
      <c r="L5" s="50">
        <f>K5+1</f>
        <v>2016</v>
      </c>
      <c r="M5" s="50">
        <f t="shared" si="1"/>
        <v>2017</v>
      </c>
      <c r="N5" s="50">
        <f t="shared" si="1"/>
        <v>2018</v>
      </c>
      <c r="O5" s="50">
        <f t="shared" si="1"/>
        <v>2019</v>
      </c>
      <c r="P5" s="50">
        <f t="shared" si="1"/>
        <v>2020</v>
      </c>
      <c r="Q5" s="50">
        <f t="shared" si="1"/>
        <v>2021</v>
      </c>
      <c r="R5" s="50">
        <f t="shared" si="1"/>
        <v>2022</v>
      </c>
      <c r="S5" s="50">
        <f t="shared" si="1"/>
        <v>2023</v>
      </c>
      <c r="T5" s="50">
        <f t="shared" si="1"/>
        <v>2024</v>
      </c>
      <c r="U5" s="50">
        <f t="shared" ref="U5:X5" si="2">T5+1</f>
        <v>2025</v>
      </c>
      <c r="V5" s="50">
        <f t="shared" si="2"/>
        <v>2026</v>
      </c>
      <c r="W5" s="50">
        <f t="shared" si="2"/>
        <v>2027</v>
      </c>
      <c r="X5" s="50">
        <f t="shared" si="2"/>
        <v>2028</v>
      </c>
      <c r="Y5" s="353"/>
      <c r="Z5" s="289"/>
      <c r="AA5" s="289"/>
      <c r="AB5" s="23"/>
      <c r="AC5" s="16"/>
      <c r="AD5" s="16"/>
      <c r="AE5" s="16"/>
      <c r="AF5" s="16"/>
      <c r="AG5" s="16"/>
      <c r="AH5" s="16"/>
      <c r="AI5" s="16"/>
      <c r="AJ5" s="16"/>
      <c r="AK5" s="16"/>
      <c r="AL5" s="16"/>
      <c r="AM5" s="16"/>
      <c r="AN5" s="16"/>
      <c r="AO5" s="16"/>
      <c r="AP5" s="16"/>
      <c r="AQ5" s="16"/>
      <c r="AR5" s="16"/>
      <c r="AS5" s="16"/>
      <c r="AT5" s="16"/>
      <c r="AU5" s="16"/>
      <c r="AV5" s="16"/>
      <c r="AW5" s="16"/>
    </row>
    <row r="6" spans="1:49" s="8" customFormat="1" ht="18.75" customHeight="1" x14ac:dyDescent="0.25">
      <c r="A6" s="9" t="s">
        <v>1</v>
      </c>
      <c r="B6" s="10"/>
      <c r="C6" s="10"/>
      <c r="D6" s="10"/>
      <c r="E6" s="10"/>
      <c r="F6" s="10"/>
      <c r="G6" s="10"/>
      <c r="H6" s="10"/>
      <c r="I6" s="10"/>
      <c r="J6" s="10"/>
      <c r="K6" s="10"/>
      <c r="L6" s="10"/>
      <c r="M6" s="10"/>
      <c r="N6" s="10"/>
      <c r="O6" s="10"/>
      <c r="P6" s="10"/>
      <c r="Q6" s="10"/>
      <c r="R6" s="10"/>
      <c r="S6" s="10"/>
      <c r="T6" s="10"/>
      <c r="U6" s="10"/>
      <c r="V6" s="10"/>
      <c r="W6" s="10"/>
      <c r="X6" s="10"/>
      <c r="Y6" s="11"/>
      <c r="Z6" s="23"/>
      <c r="AA6" s="23"/>
      <c r="AB6" s="23"/>
      <c r="AC6" s="16"/>
      <c r="AD6" s="16"/>
      <c r="AE6" s="16"/>
      <c r="AF6" s="16"/>
      <c r="AG6" s="16"/>
      <c r="AH6" s="16"/>
      <c r="AI6" s="16"/>
      <c r="AJ6" s="16"/>
      <c r="AK6" s="16"/>
      <c r="AL6" s="16"/>
      <c r="AM6" s="16"/>
      <c r="AN6" s="16"/>
      <c r="AO6" s="16"/>
      <c r="AP6" s="16"/>
      <c r="AQ6" s="16"/>
      <c r="AR6" s="16"/>
      <c r="AS6" s="16"/>
      <c r="AT6" s="16"/>
      <c r="AU6" s="16"/>
      <c r="AV6" s="16"/>
      <c r="AW6" s="16"/>
    </row>
    <row r="7" spans="1:49" s="16" customFormat="1" x14ac:dyDescent="0.25">
      <c r="A7" s="11" t="s">
        <v>5</v>
      </c>
      <c r="B7" s="12"/>
      <c r="C7" s="13"/>
      <c r="D7" s="13"/>
      <c r="E7" s="13"/>
      <c r="F7" s="13"/>
      <c r="G7" s="13">
        <v>0.58445677000000007</v>
      </c>
      <c r="H7" s="13">
        <v>0.32536969999999998</v>
      </c>
      <c r="I7" s="13">
        <v>1.8379574900000002</v>
      </c>
      <c r="J7" s="13">
        <v>2.2630609399999999</v>
      </c>
      <c r="K7" s="13">
        <v>10.44764429</v>
      </c>
      <c r="L7" s="13">
        <v>2.7772187600000002</v>
      </c>
      <c r="M7" s="13">
        <v>3.3032785600000003</v>
      </c>
      <c r="N7" s="13">
        <v>3.9039714999999999</v>
      </c>
      <c r="O7" s="13">
        <v>4.6485067899999999</v>
      </c>
      <c r="P7" s="13">
        <v>5.5829492399999996</v>
      </c>
      <c r="Q7" s="13">
        <v>6.7240534000000007</v>
      </c>
      <c r="R7" s="13">
        <v>8.087856529999998</v>
      </c>
      <c r="S7" s="13">
        <v>9.5857999400000011</v>
      </c>
      <c r="T7" s="13">
        <v>12.85078547</v>
      </c>
      <c r="U7" s="13">
        <v>20.875404579999998</v>
      </c>
      <c r="V7" s="13">
        <v>17.617335159999996</v>
      </c>
      <c r="W7" s="13">
        <v>20.366912710000001</v>
      </c>
      <c r="X7" s="13">
        <v>22.370202670000001</v>
      </c>
      <c r="Y7" s="354"/>
      <c r="Z7" s="348"/>
      <c r="AA7" s="13"/>
      <c r="AB7" s="23"/>
    </row>
    <row r="8" spans="1:49" s="16" customFormat="1" x14ac:dyDescent="0.25">
      <c r="A8" s="11" t="s">
        <v>6</v>
      </c>
      <c r="B8" s="12"/>
      <c r="C8" s="13"/>
      <c r="D8" s="13"/>
      <c r="E8" s="13"/>
      <c r="F8" s="13"/>
      <c r="G8" s="13">
        <v>-3.0422440000000002E-2</v>
      </c>
      <c r="H8" s="13">
        <v>0.20238107</v>
      </c>
      <c r="I8" s="13">
        <v>1.8258067100000002</v>
      </c>
      <c r="J8" s="13">
        <v>2.24936889</v>
      </c>
      <c r="K8" s="13">
        <v>2.71875066</v>
      </c>
      <c r="L8" s="13">
        <v>2.76246919</v>
      </c>
      <c r="M8" s="13">
        <v>3.2870390400000002</v>
      </c>
      <c r="N8" s="13">
        <v>3.8857823599999999</v>
      </c>
      <c r="O8" s="13">
        <v>4.62791277</v>
      </c>
      <c r="P8" s="13">
        <v>5.5641696700000001</v>
      </c>
      <c r="Q8" s="13">
        <v>7.35689481</v>
      </c>
      <c r="R8" s="13">
        <v>8.9349971000000004</v>
      </c>
      <c r="S8" s="13">
        <v>10.60817647</v>
      </c>
      <c r="T8" s="13">
        <v>12.50958619</v>
      </c>
      <c r="U8" s="13">
        <v>14.478921360000001</v>
      </c>
      <c r="V8" s="13">
        <v>16.632678079999998</v>
      </c>
      <c r="W8" s="13">
        <v>19.211408710000001</v>
      </c>
      <c r="X8" s="13">
        <v>20.88576209</v>
      </c>
      <c r="Y8" s="354"/>
      <c r="Z8" s="348"/>
      <c r="AA8" s="13"/>
      <c r="AB8" s="23"/>
    </row>
    <row r="9" spans="1:49" s="16" customFormat="1" x14ac:dyDescent="0.25">
      <c r="A9" s="11" t="s">
        <v>49</v>
      </c>
      <c r="B9" s="12"/>
      <c r="C9" s="13"/>
      <c r="D9" s="13"/>
      <c r="E9" s="13"/>
      <c r="F9" s="13"/>
      <c r="G9" s="13">
        <f>$B$24*G7+$B$25*G8</f>
        <v>0.39999300700000001</v>
      </c>
      <c r="H9" s="13">
        <f t="shared" ref="H9:X9" si="3">$B$24*H7+$B$25*H8</f>
        <v>0.28847311099999995</v>
      </c>
      <c r="I9" s="13">
        <f t="shared" si="3"/>
        <v>1.8343122560000003</v>
      </c>
      <c r="J9" s="13">
        <f t="shared" si="3"/>
        <v>2.2589533249999998</v>
      </c>
      <c r="K9" s="13">
        <f t="shared" si="3"/>
        <v>8.1289762009999986</v>
      </c>
      <c r="L9" s="13">
        <f t="shared" si="3"/>
        <v>2.7727938890000003</v>
      </c>
      <c r="M9" s="13">
        <f t="shared" si="3"/>
        <v>3.2984067040000005</v>
      </c>
      <c r="N9" s="13">
        <f t="shared" si="3"/>
        <v>3.8985147580000001</v>
      </c>
      <c r="O9" s="13">
        <f t="shared" si="3"/>
        <v>4.6423285840000004</v>
      </c>
      <c r="P9" s="13">
        <f t="shared" si="3"/>
        <v>5.5773153689999999</v>
      </c>
      <c r="Q9" s="13">
        <f t="shared" si="3"/>
        <v>6.9139058230000003</v>
      </c>
      <c r="R9" s="13">
        <f t="shared" si="3"/>
        <v>8.3419987009999979</v>
      </c>
      <c r="S9" s="13">
        <f t="shared" si="3"/>
        <v>9.8925128990000015</v>
      </c>
      <c r="T9" s="13">
        <f t="shared" si="3"/>
        <v>12.748425686000001</v>
      </c>
      <c r="U9" s="13">
        <f t="shared" si="3"/>
        <v>18.956459614</v>
      </c>
      <c r="V9" s="13">
        <f t="shared" si="3"/>
        <v>17.321938035999999</v>
      </c>
      <c r="W9" s="13">
        <f t="shared" si="3"/>
        <v>20.020261510000001</v>
      </c>
      <c r="X9" s="13">
        <f t="shared" si="3"/>
        <v>21.924870496</v>
      </c>
      <c r="Y9" s="354"/>
      <c r="Z9" s="13"/>
      <c r="AA9" s="13"/>
      <c r="AB9" s="23"/>
    </row>
    <row r="10" spans="1:49" s="16" customFormat="1" x14ac:dyDescent="0.25">
      <c r="A10" s="11"/>
      <c r="B10" s="12"/>
      <c r="C10" s="13"/>
      <c r="D10" s="13"/>
      <c r="E10" s="13"/>
      <c r="F10" s="13"/>
      <c r="G10" s="13"/>
      <c r="H10" s="13"/>
      <c r="I10" s="13"/>
      <c r="J10" s="13"/>
      <c r="K10" s="13"/>
      <c r="L10" s="13"/>
      <c r="M10" s="13"/>
      <c r="N10" s="13"/>
      <c r="O10" s="13"/>
      <c r="P10" s="13"/>
      <c r="Q10" s="13"/>
      <c r="R10" s="13"/>
      <c r="S10" s="13"/>
      <c r="T10" s="13"/>
      <c r="U10" s="13"/>
      <c r="V10" s="13"/>
      <c r="W10" s="13"/>
      <c r="X10" s="13"/>
      <c r="Y10" s="354"/>
      <c r="Z10" s="12"/>
      <c r="AA10" s="13"/>
      <c r="AB10" s="23"/>
    </row>
    <row r="11" spans="1:49" s="16" customFormat="1" x14ac:dyDescent="0.25">
      <c r="A11" s="17" t="s">
        <v>3</v>
      </c>
      <c r="B11" s="12"/>
      <c r="C11" s="13"/>
      <c r="D11" s="13"/>
      <c r="E11" s="13"/>
      <c r="F11" s="13"/>
      <c r="G11" s="65"/>
      <c r="H11" s="13"/>
      <c r="I11" s="13"/>
      <c r="J11" s="13"/>
      <c r="K11" s="13"/>
      <c r="L11" s="13"/>
      <c r="M11" s="13"/>
      <c r="N11" s="13"/>
      <c r="O11" s="13"/>
      <c r="P11" s="13"/>
      <c r="Q11" s="13"/>
      <c r="R11" s="13"/>
      <c r="S11" s="13"/>
      <c r="T11" s="13"/>
      <c r="U11" s="13"/>
      <c r="V11" s="13"/>
      <c r="W11" s="13"/>
      <c r="X11" s="13"/>
      <c r="Y11" s="354"/>
      <c r="Z11" s="12"/>
      <c r="AA11" s="13"/>
      <c r="AB11" s="23"/>
    </row>
    <row r="12" spans="1:49" s="64" customFormat="1" x14ac:dyDescent="0.25">
      <c r="A12" s="61" t="s">
        <v>5</v>
      </c>
      <c r="B12" s="62"/>
      <c r="C12" s="63"/>
      <c r="D12" s="63"/>
      <c r="E12" s="63"/>
      <c r="F12" s="63"/>
      <c r="G12" s="63">
        <f>-'Cost Summary'!H46*'Dollar Conversion'!$C$5/'Dollar Conversion'!E5</f>
        <v>-39.465203545970418</v>
      </c>
      <c r="H12" s="63">
        <f>-'Cost Summary'!I46*'Dollar Conversion'!$C$5/'Dollar Conversion'!F5</f>
        <v>-40.258004233948562</v>
      </c>
      <c r="I12" s="63">
        <v>0</v>
      </c>
      <c r="J12" s="63">
        <v>0</v>
      </c>
      <c r="K12" s="63">
        <v>0</v>
      </c>
      <c r="L12" s="63">
        <v>0</v>
      </c>
      <c r="M12" s="63">
        <v>0</v>
      </c>
      <c r="N12" s="63">
        <v>0</v>
      </c>
      <c r="O12" s="63">
        <v>0</v>
      </c>
      <c r="P12" s="63">
        <v>0</v>
      </c>
      <c r="Q12" s="63">
        <v>0</v>
      </c>
      <c r="R12" s="63">
        <v>0</v>
      </c>
      <c r="S12" s="63">
        <v>-7.0857600000000005</v>
      </c>
      <c r="T12" s="63">
        <v>0</v>
      </c>
      <c r="U12" s="63">
        <v>-8.8448799999999999</v>
      </c>
      <c r="V12" s="63">
        <v>0</v>
      </c>
      <c r="W12" s="63">
        <v>0</v>
      </c>
      <c r="X12" s="63">
        <v>0</v>
      </c>
      <c r="Y12" s="356"/>
      <c r="Z12" s="63"/>
      <c r="AA12" s="63"/>
      <c r="AB12" s="349"/>
    </row>
    <row r="13" spans="1:49" s="64" customFormat="1" x14ac:dyDescent="0.25">
      <c r="A13" s="61" t="s">
        <v>6</v>
      </c>
      <c r="B13" s="62"/>
      <c r="C13" s="63"/>
      <c r="D13" s="63"/>
      <c r="E13" s="66" t="s">
        <v>2</v>
      </c>
      <c r="F13" s="63" t="s">
        <v>2</v>
      </c>
      <c r="G13" s="63">
        <f>G12+G14</f>
        <v>-37.559986385970412</v>
      </c>
      <c r="H13" s="63">
        <f>H12+H14</f>
        <v>-39.107154546743594</v>
      </c>
      <c r="I13" s="63">
        <v>1.2150779999999998E-2</v>
      </c>
      <c r="J13" s="63">
        <v>1.3692050000000001E-2</v>
      </c>
      <c r="K13" s="63">
        <v>7.72889363</v>
      </c>
      <c r="L13" s="63">
        <v>1.474957E-2</v>
      </c>
      <c r="M13" s="63">
        <v>1.623952E-2</v>
      </c>
      <c r="N13" s="63">
        <v>1.8189139999999999E-2</v>
      </c>
      <c r="O13" s="63">
        <v>2.0594019999999998E-2</v>
      </c>
      <c r="P13" s="63">
        <v>-14.4512</v>
      </c>
      <c r="Q13" s="63">
        <v>2.2039E-2</v>
      </c>
      <c r="R13" s="63">
        <v>3.1134429999999998E-2</v>
      </c>
      <c r="S13" s="63">
        <v>3.5455159999999999E-2</v>
      </c>
      <c r="T13" s="63">
        <v>4.070986E-2</v>
      </c>
      <c r="U13" s="63">
        <v>-8.7172349999999987</v>
      </c>
      <c r="V13" s="63">
        <v>5.6071129999999997E-2</v>
      </c>
      <c r="W13" s="63">
        <v>6.305651000000001E-2</v>
      </c>
      <c r="X13" s="63">
        <v>7.1542400000000006E-2</v>
      </c>
      <c r="Y13" s="356"/>
      <c r="Z13" s="63"/>
      <c r="AA13" s="63"/>
      <c r="AB13" s="349"/>
    </row>
    <row r="14" spans="1:49" s="64" customFormat="1" x14ac:dyDescent="0.25">
      <c r="A14" s="61"/>
      <c r="B14" s="62"/>
      <c r="C14" s="63"/>
      <c r="D14" s="63"/>
      <c r="E14" s="63"/>
      <c r="F14" s="63"/>
      <c r="G14" s="63">
        <v>1.9052171600000065</v>
      </c>
      <c r="H14" s="63">
        <v>1.1508496872049676</v>
      </c>
      <c r="I14" s="63"/>
      <c r="J14" s="63"/>
      <c r="K14" s="63"/>
      <c r="L14" s="63"/>
      <c r="M14" s="63"/>
      <c r="N14" s="63"/>
      <c r="O14" s="63"/>
      <c r="P14" s="63"/>
      <c r="Q14" s="63"/>
      <c r="R14" s="63"/>
      <c r="S14" s="63"/>
      <c r="T14" s="63"/>
      <c r="U14" s="63"/>
      <c r="V14" s="63"/>
      <c r="W14" s="63"/>
      <c r="X14" s="63"/>
      <c r="Y14" s="356"/>
      <c r="Z14" s="63"/>
      <c r="AA14" s="63"/>
      <c r="AB14" s="349"/>
    </row>
    <row r="15" spans="1:49" s="16" customFormat="1" x14ac:dyDescent="0.25">
      <c r="A15" s="11" t="s">
        <v>110</v>
      </c>
      <c r="B15" s="12"/>
      <c r="C15" s="13"/>
      <c r="D15" s="13"/>
      <c r="E15" s="13"/>
      <c r="F15" s="13"/>
      <c r="G15" s="13">
        <f>G12*$B$86+G13*$B$85</f>
        <v>-38.893638397970413</v>
      </c>
      <c r="H15" s="13">
        <f t="shared" ref="H15:X15" si="4">H12*$B$86+H13*$B$85</f>
        <v>-39.912749327787068</v>
      </c>
      <c r="I15" s="13">
        <f t="shared" si="4"/>
        <v>3.6452339999999994E-3</v>
      </c>
      <c r="J15" s="13">
        <f t="shared" si="4"/>
        <v>4.1076150000000002E-3</v>
      </c>
      <c r="K15" s="13">
        <f t="shared" si="4"/>
        <v>2.318668089</v>
      </c>
      <c r="L15" s="13">
        <f t="shared" si="4"/>
        <v>4.4248709999999995E-3</v>
      </c>
      <c r="M15" s="13">
        <f t="shared" si="4"/>
        <v>4.8718559999999999E-3</v>
      </c>
      <c r="N15" s="13">
        <f t="shared" si="4"/>
        <v>5.4567419999999997E-3</v>
      </c>
      <c r="O15" s="13">
        <f t="shared" si="4"/>
        <v>6.1782059999999995E-3</v>
      </c>
      <c r="P15" s="13">
        <f t="shared" si="4"/>
        <v>-4.3353599999999997</v>
      </c>
      <c r="Q15" s="13">
        <f t="shared" si="4"/>
        <v>6.6116999999999999E-3</v>
      </c>
      <c r="R15" s="13">
        <f t="shared" si="4"/>
        <v>9.3403289999999996E-3</v>
      </c>
      <c r="S15" s="13">
        <f t="shared" si="4"/>
        <v>-4.9493954520000001</v>
      </c>
      <c r="T15" s="13">
        <f t="shared" si="4"/>
        <v>1.2212957999999999E-2</v>
      </c>
      <c r="U15" s="13">
        <f t="shared" si="4"/>
        <v>-8.8065864999999981</v>
      </c>
      <c r="V15" s="13">
        <f t="shared" si="4"/>
        <v>1.6821338999999998E-2</v>
      </c>
      <c r="W15" s="13">
        <f t="shared" si="4"/>
        <v>1.8916953000000004E-2</v>
      </c>
      <c r="X15" s="13">
        <f t="shared" si="4"/>
        <v>2.1462720000000001E-2</v>
      </c>
      <c r="Y15" s="354"/>
      <c r="Z15" s="13"/>
      <c r="AA15" s="13"/>
      <c r="AB15" s="23"/>
    </row>
    <row r="16" spans="1:49" s="16" customFormat="1" x14ac:dyDescent="0.25">
      <c r="A16" s="11"/>
      <c r="B16" s="12"/>
      <c r="C16" s="13"/>
      <c r="D16" s="13"/>
      <c r="E16" s="13"/>
      <c r="F16" s="13"/>
      <c r="G16" s="13"/>
      <c r="H16" s="13"/>
      <c r="I16" s="13"/>
      <c r="J16" s="13"/>
      <c r="K16" s="13"/>
      <c r="L16" s="13"/>
      <c r="M16" s="13"/>
      <c r="N16" s="13"/>
      <c r="O16" s="13"/>
      <c r="P16" s="13"/>
      <c r="Q16" s="13"/>
      <c r="R16" s="13"/>
      <c r="S16" s="13"/>
      <c r="T16" s="13"/>
      <c r="U16" s="13"/>
      <c r="V16" s="13"/>
      <c r="W16" s="13"/>
      <c r="X16" s="13"/>
      <c r="Y16" s="354"/>
      <c r="Z16" s="13"/>
      <c r="AA16" s="13"/>
      <c r="AB16" s="23"/>
    </row>
    <row r="17" spans="1:49" s="16" customFormat="1" x14ac:dyDescent="0.25">
      <c r="A17" s="17" t="s">
        <v>4</v>
      </c>
      <c r="B17" s="12"/>
      <c r="C17" s="13"/>
      <c r="D17" s="13"/>
      <c r="E17" s="13" t="s">
        <v>2</v>
      </c>
      <c r="F17" s="13"/>
      <c r="G17" s="13"/>
      <c r="H17" s="13"/>
      <c r="I17" s="13" t="s">
        <v>2</v>
      </c>
      <c r="J17" s="13"/>
      <c r="K17" s="13"/>
      <c r="L17" s="13"/>
      <c r="M17" s="13"/>
      <c r="N17" s="13"/>
      <c r="O17" s="13"/>
      <c r="P17" s="13"/>
      <c r="Q17" s="13"/>
      <c r="R17" s="13"/>
      <c r="S17" s="13"/>
      <c r="T17" s="13"/>
      <c r="U17" s="13"/>
      <c r="V17" s="13"/>
      <c r="W17" s="13"/>
      <c r="X17" s="13"/>
      <c r="Y17" s="354"/>
      <c r="Z17" s="12"/>
      <c r="AA17" s="13"/>
      <c r="AB17" s="23"/>
    </row>
    <row r="18" spans="1:49" s="16" customFormat="1" x14ac:dyDescent="0.25">
      <c r="A18" s="11" t="s">
        <v>5</v>
      </c>
      <c r="B18" s="12"/>
      <c r="C18" s="13"/>
      <c r="D18" s="13"/>
      <c r="E18" s="13"/>
      <c r="F18" s="13"/>
      <c r="G18" s="13">
        <f t="shared" ref="G18:G19" si="5">G12*$B$97+G7*$B$98</f>
        <v>-38.880746775970415</v>
      </c>
      <c r="H18" s="13">
        <f t="shared" ref="H18:X18" si="6">H12*$B$97+H7*$B$98</f>
        <v>-39.932634533948558</v>
      </c>
      <c r="I18" s="13">
        <f t="shared" si="6"/>
        <v>1.8379574900000002</v>
      </c>
      <c r="J18" s="13">
        <f t="shared" si="6"/>
        <v>2.2630609399999999</v>
      </c>
      <c r="K18" s="13">
        <f t="shared" si="6"/>
        <v>10.44764429</v>
      </c>
      <c r="L18" s="13">
        <f t="shared" si="6"/>
        <v>2.7772187600000002</v>
      </c>
      <c r="M18" s="13">
        <f t="shared" si="6"/>
        <v>3.3032785600000003</v>
      </c>
      <c r="N18" s="13">
        <f t="shared" si="6"/>
        <v>3.9039714999999999</v>
      </c>
      <c r="O18" s="13">
        <f t="shared" si="6"/>
        <v>4.6485067899999999</v>
      </c>
      <c r="P18" s="13">
        <f t="shared" si="6"/>
        <v>5.5829492399999996</v>
      </c>
      <c r="Q18" s="13">
        <f t="shared" si="6"/>
        <v>6.7240534000000007</v>
      </c>
      <c r="R18" s="13">
        <f t="shared" si="6"/>
        <v>8.087856529999998</v>
      </c>
      <c r="S18" s="13">
        <f t="shared" si="6"/>
        <v>2.5000399400000006</v>
      </c>
      <c r="T18" s="13">
        <f t="shared" si="6"/>
        <v>12.85078547</v>
      </c>
      <c r="U18" s="13">
        <f t="shared" si="6"/>
        <v>12.030524579999998</v>
      </c>
      <c r="V18" s="13">
        <f t="shared" si="6"/>
        <v>17.617335159999996</v>
      </c>
      <c r="W18" s="13">
        <f t="shared" si="6"/>
        <v>20.366912710000001</v>
      </c>
      <c r="X18" s="13">
        <f t="shared" si="6"/>
        <v>22.370202670000001</v>
      </c>
      <c r="Y18" s="354"/>
      <c r="Z18" s="13"/>
      <c r="AA18" s="13"/>
      <c r="AB18" s="23"/>
    </row>
    <row r="19" spans="1:49" s="16" customFormat="1" x14ac:dyDescent="0.25">
      <c r="A19" s="11" t="s">
        <v>6</v>
      </c>
      <c r="B19" s="12"/>
      <c r="C19" s="12"/>
      <c r="D19" s="12"/>
      <c r="E19" s="12"/>
      <c r="F19" s="12"/>
      <c r="G19" s="13">
        <f t="shared" si="5"/>
        <v>-37.590408825970414</v>
      </c>
      <c r="H19" s="13">
        <f t="shared" ref="H19:X19" si="7">H13*$B$97+H8*$B$98</f>
        <v>-38.904773476743593</v>
      </c>
      <c r="I19" s="13">
        <f t="shared" si="7"/>
        <v>1.8379574900000002</v>
      </c>
      <c r="J19" s="13">
        <f t="shared" si="7"/>
        <v>2.2630609399999999</v>
      </c>
      <c r="K19" s="13">
        <f t="shared" si="7"/>
        <v>10.44764429</v>
      </c>
      <c r="L19" s="13">
        <f t="shared" si="7"/>
        <v>2.7772187600000002</v>
      </c>
      <c r="M19" s="13">
        <f t="shared" si="7"/>
        <v>3.3032785600000003</v>
      </c>
      <c r="N19" s="13">
        <f t="shared" si="7"/>
        <v>3.9039714999999999</v>
      </c>
      <c r="O19" s="13">
        <f t="shared" si="7"/>
        <v>4.6485067899999999</v>
      </c>
      <c r="P19" s="13">
        <f t="shared" si="7"/>
        <v>-8.88703033</v>
      </c>
      <c r="Q19" s="13">
        <f t="shared" si="7"/>
        <v>7.3789338100000004</v>
      </c>
      <c r="R19" s="13">
        <f t="shared" si="7"/>
        <v>8.9661315300000002</v>
      </c>
      <c r="S19" s="13">
        <f t="shared" si="7"/>
        <v>10.64363163</v>
      </c>
      <c r="T19" s="13">
        <f t="shared" si="7"/>
        <v>12.55029605</v>
      </c>
      <c r="U19" s="13">
        <f t="shared" si="7"/>
        <v>5.7616863600000023</v>
      </c>
      <c r="V19" s="13">
        <f t="shared" si="7"/>
        <v>16.688749209999997</v>
      </c>
      <c r="W19" s="13">
        <f t="shared" si="7"/>
        <v>19.27446522</v>
      </c>
      <c r="X19" s="13">
        <f t="shared" si="7"/>
        <v>20.957304489999999</v>
      </c>
      <c r="Y19" s="354"/>
      <c r="Z19" s="13"/>
      <c r="AA19" s="13"/>
      <c r="AB19" s="23"/>
    </row>
    <row r="20" spans="1:49" s="16" customFormat="1" x14ac:dyDescent="0.25">
      <c r="A20" s="18" t="s">
        <v>17</v>
      </c>
      <c r="B20" s="19"/>
      <c r="C20" s="19"/>
      <c r="D20" s="19"/>
      <c r="E20" s="19"/>
      <c r="F20" s="19"/>
      <c r="G20" s="20">
        <f t="shared" ref="G20:X20" si="8">G18*$B$24+G19*$B$25</f>
        <v>-38.493645390970414</v>
      </c>
      <c r="H20" s="20">
        <f t="shared" si="8"/>
        <v>-39.624276216787067</v>
      </c>
      <c r="I20" s="20">
        <f t="shared" si="8"/>
        <v>1.8379574900000004</v>
      </c>
      <c r="J20" s="20">
        <f t="shared" si="8"/>
        <v>2.2630609399999999</v>
      </c>
      <c r="K20" s="20">
        <f t="shared" si="8"/>
        <v>10.44764429</v>
      </c>
      <c r="L20" s="20">
        <f t="shared" si="8"/>
        <v>2.7772187600000002</v>
      </c>
      <c r="M20" s="20">
        <f t="shared" si="8"/>
        <v>3.3032785600000003</v>
      </c>
      <c r="N20" s="20">
        <f t="shared" si="8"/>
        <v>3.9039714999999999</v>
      </c>
      <c r="O20" s="20">
        <f t="shared" si="8"/>
        <v>4.6485067899999999</v>
      </c>
      <c r="P20" s="20">
        <f t="shared" si="8"/>
        <v>1.2419553689999994</v>
      </c>
      <c r="Q20" s="20">
        <f t="shared" si="8"/>
        <v>6.9205175230000009</v>
      </c>
      <c r="R20" s="20">
        <f t="shared" si="8"/>
        <v>8.3513390299999983</v>
      </c>
      <c r="S20" s="20">
        <f t="shared" si="8"/>
        <v>4.9431174470000006</v>
      </c>
      <c r="T20" s="20">
        <f t="shared" si="8"/>
        <v>12.760638644</v>
      </c>
      <c r="U20" s="20">
        <f t="shared" si="8"/>
        <v>10.149873113999998</v>
      </c>
      <c r="V20" s="20">
        <f t="shared" si="8"/>
        <v>17.338759374999995</v>
      </c>
      <c r="W20" s="20">
        <f t="shared" si="8"/>
        <v>20.039178462999999</v>
      </c>
      <c r="X20" s="20">
        <f t="shared" si="8"/>
        <v>21.946333215999999</v>
      </c>
      <c r="Y20" s="357"/>
      <c r="Z20" s="348"/>
      <c r="AA20" s="350"/>
      <c r="AB20" s="23"/>
    </row>
    <row r="21" spans="1:49" x14ac:dyDescent="0.25">
      <c r="Y21" s="68"/>
      <c r="Z21" s="68"/>
      <c r="AA21" s="68"/>
      <c r="AB21" s="68"/>
      <c r="AC21" s="346"/>
      <c r="AD21" s="346"/>
      <c r="AE21" s="346"/>
      <c r="AF21" s="346"/>
      <c r="AG21" s="346"/>
      <c r="AH21" s="346"/>
      <c r="AI21" s="346"/>
      <c r="AJ21" s="346"/>
      <c r="AK21" s="346"/>
      <c r="AL21" s="346"/>
      <c r="AM21" s="346"/>
      <c r="AN21" s="346"/>
      <c r="AO21" s="346"/>
      <c r="AP21" s="346"/>
      <c r="AQ21" s="346"/>
      <c r="AR21" s="346"/>
      <c r="AS21" s="346"/>
      <c r="AT21" s="346"/>
      <c r="AU21" s="346"/>
      <c r="AV21" s="346"/>
      <c r="AW21" s="346"/>
    </row>
    <row r="22" spans="1:49" x14ac:dyDescent="0.25">
      <c r="A22" s="21" t="s">
        <v>9</v>
      </c>
      <c r="B22" s="1">
        <f>IRR(G18:Z18, 0.001)</f>
        <v>5.021535346367334E-2</v>
      </c>
      <c r="F22" s="2"/>
      <c r="Y22" s="68"/>
      <c r="Z22" s="68"/>
      <c r="AA22" s="68"/>
      <c r="AB22" s="68"/>
      <c r="AC22" s="346"/>
      <c r="AD22" s="346"/>
      <c r="AE22" s="346"/>
      <c r="AF22" s="346"/>
      <c r="AG22" s="346"/>
      <c r="AH22" s="346"/>
      <c r="AI22" s="346"/>
      <c r="AJ22" s="346"/>
      <c r="AK22" s="346"/>
      <c r="AL22" s="346"/>
      <c r="AM22" s="346"/>
      <c r="AN22" s="346"/>
      <c r="AO22" s="346"/>
      <c r="AP22" s="346"/>
      <c r="AQ22" s="346"/>
      <c r="AR22" s="346"/>
      <c r="AS22" s="346"/>
      <c r="AT22" s="346"/>
      <c r="AU22" s="346"/>
      <c r="AV22" s="346"/>
      <c r="AW22" s="346"/>
    </row>
    <row r="23" spans="1:49" x14ac:dyDescent="0.25">
      <c r="A23" s="11" t="s">
        <v>10</v>
      </c>
      <c r="B23" s="4">
        <f>IRR(G19:Z19)</f>
        <v>4.1598964313128928E-2</v>
      </c>
      <c r="F23" s="67" t="s">
        <v>2</v>
      </c>
      <c r="Y23" s="68"/>
      <c r="Z23" s="68"/>
      <c r="AA23" s="68"/>
      <c r="AB23" s="68"/>
      <c r="AC23" s="346"/>
      <c r="AD23" s="346"/>
      <c r="AE23" s="346"/>
      <c r="AF23" s="346"/>
      <c r="AG23" s="346"/>
      <c r="AH23" s="346"/>
      <c r="AI23" s="346"/>
      <c r="AJ23" s="346"/>
      <c r="AK23" s="346"/>
      <c r="AL23" s="346"/>
      <c r="AM23" s="346"/>
      <c r="AN23" s="346"/>
      <c r="AO23" s="346"/>
      <c r="AP23" s="346"/>
      <c r="AQ23" s="346"/>
      <c r="AR23" s="346"/>
      <c r="AS23" s="346"/>
      <c r="AT23" s="346"/>
      <c r="AU23" s="346"/>
      <c r="AV23" s="346"/>
      <c r="AW23" s="346"/>
    </row>
    <row r="24" spans="1:49" x14ac:dyDescent="0.25">
      <c r="A24" s="11" t="s">
        <v>11</v>
      </c>
      <c r="B24" s="5">
        <v>0.7</v>
      </c>
      <c r="C24" s="6"/>
      <c r="D24" s="6"/>
      <c r="E24" s="6"/>
      <c r="F24" t="s">
        <v>2</v>
      </c>
      <c r="G24" s="6"/>
      <c r="H24" s="44"/>
      <c r="I24" s="6"/>
      <c r="J24" s="6"/>
      <c r="K24" s="6"/>
      <c r="L24" s="6"/>
      <c r="M24" s="6"/>
      <c r="N24" s="6"/>
      <c r="O24" s="6"/>
      <c r="P24" s="6"/>
      <c r="Q24" s="6"/>
      <c r="R24" s="6"/>
      <c r="S24" s="6"/>
      <c r="T24" s="6"/>
      <c r="U24" s="6"/>
      <c r="V24" s="6"/>
      <c r="W24" s="6"/>
      <c r="X24" s="6"/>
      <c r="Y24" s="351"/>
      <c r="Z24" s="351"/>
      <c r="AA24" s="68"/>
      <c r="AB24" s="68"/>
      <c r="AC24" s="346"/>
      <c r="AD24" s="346"/>
      <c r="AE24" s="346"/>
      <c r="AF24" s="346"/>
      <c r="AG24" s="346"/>
      <c r="AH24" s="346"/>
      <c r="AI24" s="346"/>
      <c r="AJ24" s="346"/>
      <c r="AK24" s="346"/>
      <c r="AL24" s="346"/>
      <c r="AM24" s="346"/>
      <c r="AN24" s="346"/>
      <c r="AO24" s="346"/>
      <c r="AP24" s="346"/>
      <c r="AQ24" s="346"/>
      <c r="AR24" s="346"/>
      <c r="AS24" s="346"/>
      <c r="AT24" s="346"/>
      <c r="AU24" s="346"/>
      <c r="AV24" s="346"/>
      <c r="AW24" s="346"/>
    </row>
    <row r="25" spans="1:49" x14ac:dyDescent="0.25">
      <c r="A25" s="11" t="s">
        <v>12</v>
      </c>
      <c r="B25" s="5">
        <v>0.30000000000000004</v>
      </c>
      <c r="H25" t="s">
        <v>2</v>
      </c>
      <c r="Y25" s="68"/>
      <c r="Z25" s="68"/>
      <c r="AA25" s="68"/>
      <c r="AB25" s="68"/>
      <c r="AC25" s="346"/>
      <c r="AD25" s="346"/>
      <c r="AE25" s="346"/>
      <c r="AF25" s="346"/>
      <c r="AG25" s="346"/>
      <c r="AH25" s="346"/>
      <c r="AI25" s="346"/>
      <c r="AJ25" s="346"/>
      <c r="AK25" s="346"/>
      <c r="AL25" s="346"/>
      <c r="AM25" s="346"/>
      <c r="AN25" s="346"/>
      <c r="AO25" s="346"/>
      <c r="AP25" s="346"/>
      <c r="AQ25" s="346"/>
      <c r="AR25" s="346"/>
      <c r="AS25" s="346"/>
      <c r="AT25" s="346"/>
      <c r="AU25" s="346"/>
      <c r="AV25" s="346"/>
      <c r="AW25" s="346"/>
    </row>
    <row r="26" spans="1:49" x14ac:dyDescent="0.25">
      <c r="A26" s="18" t="s">
        <v>13</v>
      </c>
      <c r="B26" s="7">
        <f>IRR(G20:Z20)</f>
        <v>4.7723564318023159E-2</v>
      </c>
      <c r="Y26" s="68"/>
      <c r="Z26" s="68"/>
      <c r="AA26" s="68"/>
      <c r="AB26" s="68"/>
      <c r="AC26" s="346"/>
      <c r="AD26" s="346"/>
      <c r="AE26" s="346"/>
      <c r="AF26" s="346"/>
      <c r="AG26" s="346"/>
      <c r="AH26" s="346"/>
      <c r="AI26" s="346"/>
      <c r="AJ26" s="346"/>
      <c r="AK26" s="346"/>
      <c r="AL26" s="346"/>
      <c r="AM26" s="346"/>
      <c r="AN26" s="346"/>
      <c r="AO26" s="346"/>
      <c r="AP26" s="346"/>
      <c r="AQ26" s="346"/>
      <c r="AR26" s="346"/>
      <c r="AS26" s="346"/>
      <c r="AT26" s="346"/>
      <c r="AU26" s="346"/>
      <c r="AV26" s="346"/>
      <c r="AW26" s="346"/>
    </row>
    <row r="27" spans="1:49" x14ac:dyDescent="0.25">
      <c r="B27"/>
      <c r="E27" s="3">
        <f>E4</f>
        <v>1</v>
      </c>
      <c r="F27" s="3">
        <f t="shared" ref="F27:X27" si="9">F4</f>
        <v>2</v>
      </c>
      <c r="G27" s="3">
        <f t="shared" si="9"/>
        <v>3</v>
      </c>
      <c r="H27" s="3">
        <f t="shared" si="9"/>
        <v>4</v>
      </c>
      <c r="I27" s="3">
        <f t="shared" si="9"/>
        <v>5</v>
      </c>
      <c r="J27" s="3">
        <f t="shared" si="9"/>
        <v>6</v>
      </c>
      <c r="K27" s="3">
        <f t="shared" si="9"/>
        <v>7</v>
      </c>
      <c r="L27" s="3">
        <f t="shared" si="9"/>
        <v>8</v>
      </c>
      <c r="M27" s="3">
        <f t="shared" si="9"/>
        <v>9</v>
      </c>
      <c r="N27" s="3">
        <f t="shared" si="9"/>
        <v>10</v>
      </c>
      <c r="O27" s="3">
        <f t="shared" si="9"/>
        <v>11</v>
      </c>
      <c r="P27" s="3">
        <f t="shared" si="9"/>
        <v>12</v>
      </c>
      <c r="Q27" s="3">
        <f t="shared" si="9"/>
        <v>13</v>
      </c>
      <c r="R27" s="3">
        <f t="shared" si="9"/>
        <v>14</v>
      </c>
      <c r="S27" s="3">
        <f t="shared" si="9"/>
        <v>15</v>
      </c>
      <c r="T27" s="3">
        <f t="shared" si="9"/>
        <v>16</v>
      </c>
      <c r="U27" s="3">
        <f t="shared" si="9"/>
        <v>17</v>
      </c>
      <c r="V27" s="3">
        <f t="shared" si="9"/>
        <v>18</v>
      </c>
      <c r="W27" s="3">
        <f t="shared" si="9"/>
        <v>19</v>
      </c>
      <c r="X27" s="3">
        <f t="shared" si="9"/>
        <v>20</v>
      </c>
      <c r="Y27" s="68"/>
      <c r="Z27" s="68"/>
      <c r="AA27" s="68"/>
      <c r="AB27" s="68"/>
      <c r="AC27" s="346"/>
      <c r="AD27" s="346"/>
      <c r="AE27" s="346"/>
      <c r="AF27" s="346"/>
      <c r="AG27" s="346"/>
      <c r="AH27" s="346"/>
      <c r="AI27" s="346"/>
      <c r="AJ27" s="346"/>
      <c r="AK27" s="346"/>
      <c r="AL27" s="346"/>
      <c r="AM27" s="346"/>
      <c r="AN27" s="346"/>
      <c r="AO27" s="346"/>
      <c r="AP27" s="346"/>
      <c r="AQ27" s="346"/>
      <c r="AR27" s="346"/>
      <c r="AS27" s="346"/>
      <c r="AT27" s="346"/>
      <c r="AU27" s="346"/>
      <c r="AV27" s="346"/>
      <c r="AW27" s="346"/>
    </row>
    <row r="28" spans="1:49" s="52" customFormat="1" x14ac:dyDescent="0.25">
      <c r="A28" s="48" t="s">
        <v>41</v>
      </c>
      <c r="B28" s="49"/>
      <c r="C28" s="50">
        <v>2007</v>
      </c>
      <c r="D28" s="50">
        <f>C28+1</f>
        <v>2008</v>
      </c>
      <c r="E28" s="50">
        <f t="shared" ref="E28" si="10">D28+1</f>
        <v>2009</v>
      </c>
      <c r="F28" s="50">
        <f t="shared" ref="F28" si="11">E28+1</f>
        <v>2010</v>
      </c>
      <c r="G28" s="50">
        <f t="shared" ref="G28" si="12">F28+1</f>
        <v>2011</v>
      </c>
      <c r="H28" s="50">
        <f t="shared" ref="H28" si="13">G28+1</f>
        <v>2012</v>
      </c>
      <c r="I28" s="50">
        <f>H28+1</f>
        <v>2013</v>
      </c>
      <c r="J28" s="50">
        <f t="shared" ref="J28" si="14">I28+1</f>
        <v>2014</v>
      </c>
      <c r="K28" s="50">
        <f t="shared" ref="K28" si="15">J28+1</f>
        <v>2015</v>
      </c>
      <c r="L28" s="50">
        <f>K28+1</f>
        <v>2016</v>
      </c>
      <c r="M28" s="50">
        <f t="shared" ref="M28" si="16">L28+1</f>
        <v>2017</v>
      </c>
      <c r="N28" s="50">
        <f t="shared" ref="N28" si="17">M28+1</f>
        <v>2018</v>
      </c>
      <c r="O28" s="50">
        <f t="shared" ref="O28" si="18">N28+1</f>
        <v>2019</v>
      </c>
      <c r="P28" s="50">
        <f t="shared" ref="P28" si="19">O28+1</f>
        <v>2020</v>
      </c>
      <c r="Q28" s="50">
        <f t="shared" ref="Q28" si="20">P28+1</f>
        <v>2021</v>
      </c>
      <c r="R28" s="50">
        <f t="shared" ref="R28" si="21">Q28+1</f>
        <v>2022</v>
      </c>
      <c r="S28" s="50">
        <f t="shared" ref="S28" si="22">R28+1</f>
        <v>2023</v>
      </c>
      <c r="T28" s="50">
        <f t="shared" ref="T28" si="23">S28+1</f>
        <v>2024</v>
      </c>
      <c r="U28" s="50">
        <f t="shared" ref="U28" si="24">T28+1</f>
        <v>2025</v>
      </c>
      <c r="V28" s="50">
        <f t="shared" ref="V28" si="25">U28+1</f>
        <v>2026</v>
      </c>
      <c r="W28" s="50">
        <f t="shared" ref="W28" si="26">V28+1</f>
        <v>2027</v>
      </c>
      <c r="X28" s="50">
        <f t="shared" ref="X28" si="27">W28+1</f>
        <v>2028</v>
      </c>
      <c r="Y28" s="353"/>
      <c r="Z28" s="289"/>
      <c r="AA28" s="289"/>
      <c r="AB28" s="23"/>
      <c r="AC28" s="16"/>
      <c r="AD28" s="16"/>
      <c r="AE28" s="16"/>
      <c r="AF28" s="16"/>
      <c r="AG28" s="16"/>
      <c r="AH28" s="16"/>
      <c r="AI28" s="16"/>
      <c r="AJ28" s="16"/>
      <c r="AK28" s="16"/>
      <c r="AL28" s="16"/>
      <c r="AM28" s="16"/>
      <c r="AN28" s="16"/>
      <c r="AO28" s="16"/>
      <c r="AP28" s="16"/>
      <c r="AQ28" s="16"/>
      <c r="AR28" s="16"/>
      <c r="AS28" s="16"/>
      <c r="AT28" s="16"/>
      <c r="AU28" s="16"/>
      <c r="AV28" s="16"/>
      <c r="AW28" s="16"/>
    </row>
    <row r="29" spans="1:49" s="8" customFormat="1" ht="18.75" customHeight="1" x14ac:dyDescent="0.25">
      <c r="A29" s="9" t="s">
        <v>1</v>
      </c>
      <c r="B29" s="10"/>
      <c r="C29" s="10"/>
      <c r="D29" s="10"/>
      <c r="E29" s="10"/>
      <c r="F29" s="10"/>
      <c r="G29" s="10"/>
      <c r="H29" s="10"/>
      <c r="I29" s="10"/>
      <c r="J29" s="10"/>
      <c r="K29" s="10"/>
      <c r="L29" s="10"/>
      <c r="M29" s="10"/>
      <c r="N29" s="10"/>
      <c r="O29" s="10"/>
      <c r="P29" s="10"/>
      <c r="Q29" s="10"/>
      <c r="R29" s="10"/>
      <c r="S29" s="10"/>
      <c r="T29" s="10"/>
      <c r="U29" s="10"/>
      <c r="V29" s="10"/>
      <c r="W29" s="10"/>
      <c r="X29" s="10"/>
      <c r="Y29" s="11"/>
      <c r="Z29" s="23"/>
      <c r="AA29" s="23"/>
      <c r="AB29" s="23"/>
    </row>
    <row r="30" spans="1:49" s="16" customFormat="1" x14ac:dyDescent="0.25">
      <c r="A30" s="11" t="s">
        <v>7</v>
      </c>
      <c r="B30" s="12"/>
      <c r="C30" s="13"/>
      <c r="D30" s="13"/>
      <c r="E30" s="13"/>
      <c r="F30" s="13"/>
      <c r="G30" s="13">
        <v>0</v>
      </c>
      <c r="H30" s="13">
        <v>0</v>
      </c>
      <c r="I30" s="13">
        <v>1.7794091899999998</v>
      </c>
      <c r="J30" s="13">
        <v>2.1093716699999998</v>
      </c>
      <c r="K30" s="13">
        <v>3.7579514199999999</v>
      </c>
      <c r="L30" s="13">
        <v>5.5751716299999989</v>
      </c>
      <c r="M30" s="13">
        <v>5.74957429</v>
      </c>
      <c r="N30" s="13">
        <v>6.0863599200000005</v>
      </c>
      <c r="O30" s="13">
        <v>6.4695989999999997</v>
      </c>
      <c r="P30" s="13">
        <v>6.9912808599999998</v>
      </c>
      <c r="Q30" s="13">
        <v>7.2882921999999999</v>
      </c>
      <c r="R30" s="13">
        <v>7.6031048299999995</v>
      </c>
      <c r="S30" s="13">
        <v>8.0848169199999997</v>
      </c>
      <c r="T30" s="13">
        <v>8.2108336800000004</v>
      </c>
      <c r="U30" s="13">
        <v>8.7005540899999989</v>
      </c>
      <c r="V30" s="13">
        <v>9.0396362099999994</v>
      </c>
      <c r="W30" s="13">
        <v>9.9145717200000014</v>
      </c>
      <c r="X30" s="13">
        <v>10.854586079999999</v>
      </c>
      <c r="Y30" s="354"/>
      <c r="Z30" s="13"/>
      <c r="AA30" s="13"/>
      <c r="AB30" s="23"/>
    </row>
    <row r="31" spans="1:49" s="16" customFormat="1" x14ac:dyDescent="0.25">
      <c r="A31" s="11" t="s">
        <v>8</v>
      </c>
      <c r="B31" s="12"/>
      <c r="C31" s="13"/>
      <c r="D31" s="13"/>
      <c r="E31" s="13"/>
      <c r="F31" s="13"/>
      <c r="G31" s="13">
        <v>0</v>
      </c>
      <c r="H31" s="13">
        <v>0</v>
      </c>
      <c r="I31" s="13">
        <v>1.78047954</v>
      </c>
      <c r="J31" s="13">
        <v>2.1111763799999999</v>
      </c>
      <c r="K31" s="13">
        <v>3.76042268</v>
      </c>
      <c r="L31" s="13">
        <v>10.388901259999999</v>
      </c>
      <c r="M31" s="13">
        <v>5.7607539700000006</v>
      </c>
      <c r="N31" s="13">
        <v>6.0991846799999987</v>
      </c>
      <c r="O31" s="13">
        <v>6.4853259699999999</v>
      </c>
      <c r="P31" s="13">
        <v>11.228861260000002</v>
      </c>
      <c r="Q31" s="13">
        <v>7.317912820000001</v>
      </c>
      <c r="R31" s="13">
        <v>7.62119182</v>
      </c>
      <c r="S31" s="13">
        <v>8.0960415900000005</v>
      </c>
      <c r="T31" s="13">
        <v>12.650374800000002</v>
      </c>
      <c r="U31" s="13">
        <v>3.7507511399999998</v>
      </c>
      <c r="V31" s="13">
        <v>0.32545846000000034</v>
      </c>
      <c r="W31" s="13">
        <v>4.6036222700000007</v>
      </c>
      <c r="X31" s="13">
        <v>10.632297959999999</v>
      </c>
      <c r="Y31" s="354"/>
      <c r="Z31" s="13"/>
      <c r="AA31" s="13"/>
      <c r="AB31" s="23"/>
    </row>
    <row r="32" spans="1:49" s="16" customFormat="1" x14ac:dyDescent="0.25">
      <c r="A32" s="11" t="s">
        <v>49</v>
      </c>
      <c r="B32" s="12"/>
      <c r="C32" s="13"/>
      <c r="D32" s="13"/>
      <c r="E32" s="13"/>
      <c r="F32" s="13"/>
      <c r="G32" s="13">
        <f>G30*$B$47+G31*$B$48</f>
        <v>0</v>
      </c>
      <c r="H32" s="13">
        <f t="shared" ref="H32:X32" si="28">H30*$B$47+H31*$B$48</f>
        <v>0</v>
      </c>
      <c r="I32" s="13">
        <f t="shared" si="28"/>
        <v>1.7797302949999998</v>
      </c>
      <c r="J32" s="13">
        <f t="shared" si="28"/>
        <v>2.1099130829999999</v>
      </c>
      <c r="K32" s="13">
        <f t="shared" si="28"/>
        <v>3.7586927980000002</v>
      </c>
      <c r="L32" s="13">
        <f t="shared" si="28"/>
        <v>7.0192905189999992</v>
      </c>
      <c r="M32" s="13">
        <f t="shared" si="28"/>
        <v>5.7529281940000008</v>
      </c>
      <c r="N32" s="13">
        <f t="shared" si="28"/>
        <v>6.0902073479999999</v>
      </c>
      <c r="O32" s="13">
        <f t="shared" si="28"/>
        <v>6.4743170909999996</v>
      </c>
      <c r="P32" s="13">
        <f t="shared" si="28"/>
        <v>8.2625549800000009</v>
      </c>
      <c r="Q32" s="13">
        <f t="shared" si="28"/>
        <v>7.2971783860000006</v>
      </c>
      <c r="R32" s="13">
        <f t="shared" si="28"/>
        <v>7.6085309269999994</v>
      </c>
      <c r="S32" s="13">
        <f t="shared" si="28"/>
        <v>8.088184321</v>
      </c>
      <c r="T32" s="13">
        <f t="shared" si="28"/>
        <v>9.5426960160000007</v>
      </c>
      <c r="U32" s="13">
        <f t="shared" si="28"/>
        <v>7.2156132049999995</v>
      </c>
      <c r="V32" s="13">
        <f t="shared" si="28"/>
        <v>6.4253828849999994</v>
      </c>
      <c r="W32" s="13">
        <f t="shared" si="28"/>
        <v>8.321286885000001</v>
      </c>
      <c r="X32" s="13">
        <f t="shared" si="28"/>
        <v>10.787899643999999</v>
      </c>
      <c r="Y32" s="354"/>
      <c r="Z32" s="13"/>
      <c r="AA32" s="13"/>
      <c r="AB32" s="23"/>
    </row>
    <row r="33" spans="1:28" s="16" customFormat="1" x14ac:dyDescent="0.25">
      <c r="A33" s="11"/>
      <c r="B33" s="12"/>
      <c r="C33" s="13"/>
      <c r="D33" s="13"/>
      <c r="E33" s="13"/>
      <c r="F33" s="13"/>
      <c r="G33" s="13"/>
      <c r="H33" s="13"/>
      <c r="I33" s="13"/>
      <c r="J33" s="13"/>
      <c r="K33" s="13"/>
      <c r="L33" s="13"/>
      <c r="M33" s="13"/>
      <c r="N33" s="13"/>
      <c r="O33" s="13"/>
      <c r="P33" s="13"/>
      <c r="Q33" s="13"/>
      <c r="R33" s="13"/>
      <c r="S33" s="13"/>
      <c r="T33" s="13"/>
      <c r="U33" s="13"/>
      <c r="V33" s="13"/>
      <c r="W33" s="13"/>
      <c r="X33" s="13"/>
      <c r="Y33" s="354"/>
      <c r="Z33" s="13"/>
      <c r="AA33" s="13"/>
      <c r="AB33" s="23"/>
    </row>
    <row r="34" spans="1:28" s="16" customFormat="1" x14ac:dyDescent="0.25">
      <c r="A34" s="17" t="s">
        <v>3</v>
      </c>
      <c r="B34" s="12"/>
      <c r="C34" s="13"/>
      <c r="D34" s="13"/>
      <c r="E34" s="13"/>
      <c r="F34" s="13" t="s">
        <v>2</v>
      </c>
      <c r="G34" s="345"/>
      <c r="H34" s="345"/>
      <c r="I34" s="345"/>
      <c r="J34" s="345"/>
      <c r="K34" s="345"/>
      <c r="L34" s="345"/>
      <c r="M34" s="345"/>
      <c r="N34" s="345"/>
      <c r="O34" s="345"/>
      <c r="P34" s="345"/>
      <c r="Q34" s="345"/>
      <c r="R34" s="345"/>
      <c r="S34" s="345"/>
      <c r="T34" s="345"/>
      <c r="U34" s="345"/>
      <c r="V34" s="345"/>
      <c r="W34" s="345"/>
      <c r="X34" s="345"/>
      <c r="Y34" s="355"/>
      <c r="Z34" s="345"/>
      <c r="AA34" s="345"/>
      <c r="AB34" s="23"/>
    </row>
    <row r="35" spans="1:28" s="64" customFormat="1" x14ac:dyDescent="0.25">
      <c r="A35" s="61" t="s">
        <v>7</v>
      </c>
      <c r="B35" s="62"/>
      <c r="C35" s="63"/>
      <c r="D35" s="63"/>
      <c r="E35" s="63" t="s">
        <v>2</v>
      </c>
      <c r="F35" s="63"/>
      <c r="G35" s="63">
        <f>-'Cost Summary'!H55*'Dollar Conversion'!$C$5/'Dollar Conversion'!E5</f>
        <v>-32.053523060688725</v>
      </c>
      <c r="H35" s="63">
        <f>-'Cost Summary'!I55*'Dollar Conversion'!$C$5/'Dollar Conversion'!F5</f>
        <v>-6.8449077175528918</v>
      </c>
      <c r="I35" s="63">
        <v>0</v>
      </c>
      <c r="J35" s="63">
        <v>7.3006999999999998E-4</v>
      </c>
      <c r="K35" s="63">
        <v>0</v>
      </c>
      <c r="L35" s="63">
        <v>4.8079329699999995</v>
      </c>
      <c r="M35" s="63">
        <v>3.6476E-4</v>
      </c>
      <c r="N35" s="63">
        <v>1.2409999999999999E-3</v>
      </c>
      <c r="O35" s="63">
        <v>1.7471799999999997E-3</v>
      </c>
      <c r="P35" s="63">
        <v>4.2214365599999999</v>
      </c>
      <c r="Q35" s="63">
        <v>1.175522E-2</v>
      </c>
      <c r="R35" s="63">
        <v>1.2956000000000001E-3</v>
      </c>
      <c r="S35" s="63">
        <v>1.51694E-3</v>
      </c>
      <c r="T35" s="63">
        <v>3.6983871600000002</v>
      </c>
      <c r="U35" s="63">
        <v>1.3644969999999999E-2</v>
      </c>
      <c r="V35" s="63">
        <v>-1.84046289</v>
      </c>
      <c r="W35" s="63">
        <v>6.0687100000000006E-3</v>
      </c>
      <c r="X35" s="63">
        <v>-3.26859521</v>
      </c>
      <c r="Y35" s="356"/>
      <c r="Z35" s="63"/>
      <c r="AA35" s="63"/>
      <c r="AB35" s="352"/>
    </row>
    <row r="36" spans="1:28" s="64" customFormat="1" x14ac:dyDescent="0.25">
      <c r="A36" s="61" t="s">
        <v>8</v>
      </c>
      <c r="B36" s="62"/>
      <c r="C36" s="63"/>
      <c r="D36" s="63"/>
      <c r="E36" s="66" t="s">
        <v>2</v>
      </c>
      <c r="F36" s="63" t="s">
        <v>2</v>
      </c>
      <c r="G36" s="63">
        <f>G35+G37</f>
        <v>-32.717233360688724</v>
      </c>
      <c r="H36" s="63">
        <f>H35+H37</f>
        <v>-6.8372027475528911</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356"/>
      <c r="Z36" s="63"/>
      <c r="AA36" s="63"/>
      <c r="AB36" s="352"/>
    </row>
    <row r="37" spans="1:28" s="64" customFormat="1" x14ac:dyDescent="0.25">
      <c r="A37" s="61"/>
      <c r="B37" s="62"/>
      <c r="C37" s="63"/>
      <c r="D37" s="63"/>
      <c r="E37" s="63"/>
      <c r="F37" s="63"/>
      <c r="G37" s="63">
        <v>-0.6637102999999982</v>
      </c>
      <c r="H37" s="63">
        <v>7.7049700000006993E-3</v>
      </c>
      <c r="I37" s="63"/>
      <c r="J37" s="63"/>
      <c r="K37" s="63"/>
      <c r="L37" s="63"/>
      <c r="M37" s="63"/>
      <c r="N37" s="63"/>
      <c r="O37" s="63"/>
      <c r="P37" s="63"/>
      <c r="Q37" s="63"/>
      <c r="R37" s="63"/>
      <c r="S37" s="63"/>
      <c r="T37" s="63"/>
      <c r="U37" s="63"/>
      <c r="V37" s="63"/>
      <c r="W37" s="63"/>
      <c r="X37" s="63"/>
      <c r="Y37" s="356"/>
      <c r="Z37" s="63"/>
      <c r="AA37" s="63"/>
      <c r="AB37" s="349"/>
    </row>
    <row r="38" spans="1:28" s="16" customFormat="1" x14ac:dyDescent="0.25">
      <c r="A38" s="11" t="s">
        <v>110</v>
      </c>
      <c r="B38" s="12"/>
      <c r="C38" s="13"/>
      <c r="D38" s="13"/>
      <c r="E38" s="13"/>
      <c r="F38" s="13"/>
      <c r="G38" s="13">
        <f>G35*$B$47+G36*$B$48</f>
        <v>-32.252636150688723</v>
      </c>
      <c r="H38" s="13">
        <f t="shared" ref="H38:X38" si="29">H35*$B$47+H36*$B$48</f>
        <v>-6.8425962265528915</v>
      </c>
      <c r="I38" s="13">
        <f t="shared" si="29"/>
        <v>0</v>
      </c>
      <c r="J38" s="13">
        <f t="shared" si="29"/>
        <v>5.1104899999999997E-4</v>
      </c>
      <c r="K38" s="13">
        <f t="shared" si="29"/>
        <v>0</v>
      </c>
      <c r="L38" s="13">
        <f t="shared" si="29"/>
        <v>3.3655530789999997</v>
      </c>
      <c r="M38" s="13">
        <f t="shared" si="29"/>
        <v>2.5533199999999999E-4</v>
      </c>
      <c r="N38" s="13">
        <f t="shared" si="29"/>
        <v>8.6869999999999992E-4</v>
      </c>
      <c r="O38" s="13">
        <f t="shared" si="29"/>
        <v>1.2230259999999997E-3</v>
      </c>
      <c r="P38" s="13">
        <f t="shared" si="29"/>
        <v>2.9550055919999996</v>
      </c>
      <c r="Q38" s="13">
        <f t="shared" si="29"/>
        <v>8.2286540000000002E-3</v>
      </c>
      <c r="R38" s="13">
        <f t="shared" si="29"/>
        <v>9.0691999999999997E-4</v>
      </c>
      <c r="S38" s="13">
        <f t="shared" si="29"/>
        <v>1.0618579999999999E-3</v>
      </c>
      <c r="T38" s="13">
        <f t="shared" si="29"/>
        <v>2.5888710119999998</v>
      </c>
      <c r="U38" s="13">
        <f t="shared" si="29"/>
        <v>9.5514789999999981E-3</v>
      </c>
      <c r="V38" s="13">
        <f t="shared" si="29"/>
        <v>-1.2883240229999999</v>
      </c>
      <c r="W38" s="13">
        <f t="shared" si="29"/>
        <v>4.2480970000000002E-3</v>
      </c>
      <c r="X38" s="13">
        <f t="shared" si="29"/>
        <v>-2.2880166469999996</v>
      </c>
      <c r="Y38" s="354"/>
      <c r="Z38" s="13"/>
      <c r="AA38" s="13"/>
      <c r="AB38" s="23"/>
    </row>
    <row r="39" spans="1:28" s="16" customFormat="1" x14ac:dyDescent="0.25">
      <c r="A39" s="11"/>
      <c r="B39" s="12"/>
      <c r="C39" s="13"/>
      <c r="D39" s="13"/>
      <c r="E39" s="13"/>
      <c r="F39" s="13"/>
      <c r="G39" s="13"/>
      <c r="H39" s="13"/>
      <c r="I39" s="13"/>
      <c r="J39" s="13"/>
      <c r="K39" s="13"/>
      <c r="L39" s="13"/>
      <c r="M39" s="13"/>
      <c r="N39" s="13"/>
      <c r="O39" s="13"/>
      <c r="P39" s="13"/>
      <c r="Q39" s="13"/>
      <c r="R39" s="13"/>
      <c r="S39" s="13"/>
      <c r="T39" s="13"/>
      <c r="U39" s="13"/>
      <c r="V39" s="13"/>
      <c r="W39" s="13"/>
      <c r="X39" s="13"/>
      <c r="Y39" s="354"/>
      <c r="Z39" s="13"/>
      <c r="AA39" s="13"/>
      <c r="AB39" s="23"/>
    </row>
    <row r="40" spans="1:28" s="16" customFormat="1" x14ac:dyDescent="0.25">
      <c r="A40" s="17" t="s">
        <v>4</v>
      </c>
      <c r="B40" s="12"/>
      <c r="C40" s="13"/>
      <c r="D40" s="13"/>
      <c r="E40" s="13" t="s">
        <v>2</v>
      </c>
      <c r="F40" s="13"/>
      <c r="G40" s="13"/>
      <c r="H40" s="13"/>
      <c r="I40" s="13"/>
      <c r="J40" s="13"/>
      <c r="K40" s="13"/>
      <c r="L40" s="13"/>
      <c r="M40" s="13"/>
      <c r="N40" s="13"/>
      <c r="O40" s="13"/>
      <c r="P40" s="13"/>
      <c r="Q40" s="13"/>
      <c r="R40" s="13"/>
      <c r="S40" s="13"/>
      <c r="T40" s="13"/>
      <c r="U40" s="13"/>
      <c r="V40" s="13"/>
      <c r="W40" s="13"/>
      <c r="X40" s="13"/>
      <c r="Y40" s="354"/>
      <c r="Z40" s="13"/>
      <c r="AA40" s="13"/>
      <c r="AB40" s="23"/>
    </row>
    <row r="41" spans="1:28" s="16" customFormat="1" x14ac:dyDescent="0.25">
      <c r="A41" s="11" t="s">
        <v>7</v>
      </c>
      <c r="B41" s="12"/>
      <c r="C41" s="13"/>
      <c r="D41" s="13"/>
      <c r="E41" s="13"/>
      <c r="F41" s="13"/>
      <c r="G41" s="13">
        <f>G35*$B$97+G30*$B$98</f>
        <v>-32.053523060688725</v>
      </c>
      <c r="H41" s="13">
        <f t="shared" ref="H41:X41" si="30">H35*$B$97+H30*$B$98</f>
        <v>-6.8449077175528918</v>
      </c>
      <c r="I41" s="13">
        <f t="shared" si="30"/>
        <v>1.7794091899999998</v>
      </c>
      <c r="J41" s="13">
        <f t="shared" si="30"/>
        <v>2.1101017399999997</v>
      </c>
      <c r="K41" s="13">
        <f t="shared" si="30"/>
        <v>3.7579514199999999</v>
      </c>
      <c r="L41" s="13">
        <f t="shared" si="30"/>
        <v>10.383104599999999</v>
      </c>
      <c r="M41" s="13">
        <f t="shared" si="30"/>
        <v>5.7499390500000001</v>
      </c>
      <c r="N41" s="13">
        <f t="shared" si="30"/>
        <v>6.0876009200000007</v>
      </c>
      <c r="O41" s="13">
        <f t="shared" si="30"/>
        <v>6.4713461799999994</v>
      </c>
      <c r="P41" s="13">
        <f t="shared" si="30"/>
        <v>11.212717420000001</v>
      </c>
      <c r="Q41" s="13">
        <f t="shared" si="30"/>
        <v>7.3000474200000003</v>
      </c>
      <c r="R41" s="13">
        <f t="shared" si="30"/>
        <v>7.6044004299999992</v>
      </c>
      <c r="S41" s="13">
        <f t="shared" si="30"/>
        <v>8.0863338599999999</v>
      </c>
      <c r="T41" s="13">
        <f t="shared" si="30"/>
        <v>11.90922084</v>
      </c>
      <c r="U41" s="13">
        <f t="shared" si="30"/>
        <v>8.7141990599999986</v>
      </c>
      <c r="V41" s="13">
        <f t="shared" si="30"/>
        <v>7.1991733199999999</v>
      </c>
      <c r="W41" s="13">
        <f t="shared" si="30"/>
        <v>9.9206404300000006</v>
      </c>
      <c r="X41" s="13">
        <f t="shared" si="30"/>
        <v>7.5859908699999989</v>
      </c>
      <c r="Y41" s="354"/>
      <c r="Z41" s="13"/>
      <c r="AA41" s="13"/>
      <c r="AB41" s="23"/>
    </row>
    <row r="42" spans="1:28" s="16" customFormat="1" x14ac:dyDescent="0.25">
      <c r="A42" s="11" t="s">
        <v>8</v>
      </c>
      <c r="B42" s="12"/>
      <c r="C42" s="13"/>
      <c r="D42" s="13"/>
      <c r="E42" s="13"/>
      <c r="F42" s="13"/>
      <c r="G42" s="13">
        <f>G36*$B$97+G31*$B$98</f>
        <v>-32.717233360688724</v>
      </c>
      <c r="H42" s="13">
        <f t="shared" ref="H42:X42" si="31">H36*$B$97+H31*$B$98</f>
        <v>-6.8372027475528911</v>
      </c>
      <c r="I42" s="13">
        <f t="shared" si="31"/>
        <v>1.78047954</v>
      </c>
      <c r="J42" s="13">
        <f t="shared" si="31"/>
        <v>2.1111763799999999</v>
      </c>
      <c r="K42" s="13">
        <f t="shared" si="31"/>
        <v>3.76042268</v>
      </c>
      <c r="L42" s="13">
        <f t="shared" si="31"/>
        <v>10.388901259999999</v>
      </c>
      <c r="M42" s="13">
        <f t="shared" si="31"/>
        <v>5.7607539700000006</v>
      </c>
      <c r="N42" s="13">
        <f t="shared" si="31"/>
        <v>6.0991846799999987</v>
      </c>
      <c r="O42" s="13">
        <f t="shared" si="31"/>
        <v>6.4853259699999999</v>
      </c>
      <c r="P42" s="13">
        <f t="shared" si="31"/>
        <v>11.228861260000002</v>
      </c>
      <c r="Q42" s="13">
        <f t="shared" si="31"/>
        <v>7.317912820000001</v>
      </c>
      <c r="R42" s="13">
        <f t="shared" si="31"/>
        <v>7.62119182</v>
      </c>
      <c r="S42" s="13">
        <f t="shared" si="31"/>
        <v>8.0960415900000005</v>
      </c>
      <c r="T42" s="13">
        <f t="shared" si="31"/>
        <v>12.650374800000002</v>
      </c>
      <c r="U42" s="13">
        <f t="shared" si="31"/>
        <v>3.7507511399999998</v>
      </c>
      <c r="V42" s="13">
        <f t="shared" si="31"/>
        <v>0.32545846000000034</v>
      </c>
      <c r="W42" s="13">
        <f t="shared" si="31"/>
        <v>4.6036222700000007</v>
      </c>
      <c r="X42" s="13">
        <f t="shared" si="31"/>
        <v>10.632297959999999</v>
      </c>
      <c r="Y42" s="354"/>
      <c r="Z42" s="13"/>
      <c r="AA42" s="13"/>
      <c r="AB42" s="23"/>
    </row>
    <row r="43" spans="1:28" s="16" customFormat="1" x14ac:dyDescent="0.25">
      <c r="A43" s="18" t="s">
        <v>17</v>
      </c>
      <c r="B43" s="19"/>
      <c r="C43" s="22"/>
      <c r="D43" s="22"/>
      <c r="E43" s="22"/>
      <c r="F43" s="22"/>
      <c r="G43" s="22">
        <f t="shared" ref="G43:X43" si="32">G41*$B$47+G42*$B$48</f>
        <v>-32.252636150688723</v>
      </c>
      <c r="H43" s="22">
        <f t="shared" si="32"/>
        <v>-6.8425962265528915</v>
      </c>
      <c r="I43" s="22">
        <f t="shared" si="32"/>
        <v>1.7797302949999998</v>
      </c>
      <c r="J43" s="22">
        <f t="shared" si="32"/>
        <v>2.1104241319999995</v>
      </c>
      <c r="K43" s="22">
        <f t="shared" si="32"/>
        <v>3.7586927980000002</v>
      </c>
      <c r="L43" s="22">
        <f t="shared" si="32"/>
        <v>10.384843598</v>
      </c>
      <c r="M43" s="22">
        <f t="shared" si="32"/>
        <v>5.7531835260000008</v>
      </c>
      <c r="N43" s="22">
        <f t="shared" si="32"/>
        <v>6.0910760480000006</v>
      </c>
      <c r="O43" s="22">
        <f t="shared" si="32"/>
        <v>6.4755401169999995</v>
      </c>
      <c r="P43" s="22">
        <f t="shared" si="32"/>
        <v>11.217560572</v>
      </c>
      <c r="Q43" s="22">
        <f t="shared" si="32"/>
        <v>7.3054070400000004</v>
      </c>
      <c r="R43" s="22">
        <f t="shared" si="32"/>
        <v>7.6094378469999997</v>
      </c>
      <c r="S43" s="22">
        <f t="shared" si="32"/>
        <v>8.0892461789999999</v>
      </c>
      <c r="T43" s="22">
        <f t="shared" si="32"/>
        <v>12.131567027999999</v>
      </c>
      <c r="U43" s="22">
        <f t="shared" si="32"/>
        <v>7.2251646839999992</v>
      </c>
      <c r="V43" s="22">
        <f t="shared" si="32"/>
        <v>5.1370588619999991</v>
      </c>
      <c r="W43" s="22">
        <f t="shared" si="32"/>
        <v>8.3255349820000006</v>
      </c>
      <c r="X43" s="22">
        <f t="shared" si="32"/>
        <v>8.4998829969999985</v>
      </c>
      <c r="Y43" s="354"/>
      <c r="Z43" s="13"/>
      <c r="AA43" s="13"/>
      <c r="AB43" s="23"/>
    </row>
    <row r="44" spans="1:28" x14ac:dyDescent="0.25">
      <c r="Z44" s="347"/>
    </row>
    <row r="45" spans="1:28" x14ac:dyDescent="0.25">
      <c r="A45" s="21" t="s">
        <v>14</v>
      </c>
      <c r="B45" s="1">
        <f>IRR(G41:X41,-0.1)</f>
        <v>0.12177978923513444</v>
      </c>
    </row>
    <row r="46" spans="1:28" x14ac:dyDescent="0.25">
      <c r="A46" s="11" t="s">
        <v>15</v>
      </c>
      <c r="B46" s="4">
        <f>IRR(G42:X42)</f>
        <v>0.11052138699013492</v>
      </c>
    </row>
    <row r="47" spans="1:28" x14ac:dyDescent="0.25">
      <c r="A47" s="11" t="s">
        <v>11</v>
      </c>
      <c r="B47" s="5">
        <v>0.7</v>
      </c>
      <c r="H47" s="44"/>
    </row>
    <row r="48" spans="1:28" x14ac:dyDescent="0.25">
      <c r="A48" s="11" t="s">
        <v>12</v>
      </c>
      <c r="B48" s="5">
        <v>0.30000000000000004</v>
      </c>
    </row>
    <row r="49" spans="1:27" x14ac:dyDescent="0.25">
      <c r="A49" s="18" t="s">
        <v>16</v>
      </c>
      <c r="B49" s="7">
        <f>IRR(G43:Z43)</f>
        <v>0.11854348855656305</v>
      </c>
    </row>
    <row r="51" spans="1:27" s="8" customFormat="1" hidden="1" x14ac:dyDescent="0.25">
      <c r="A51" s="39" t="s">
        <v>0</v>
      </c>
      <c r="B51" s="40"/>
      <c r="C51" s="41">
        <v>2007</v>
      </c>
      <c r="D51" s="41">
        <f>C51+1</f>
        <v>2008</v>
      </c>
      <c r="E51" s="41">
        <f t="shared" ref="E51" si="33">D51+1</f>
        <v>2009</v>
      </c>
      <c r="F51" s="41">
        <f t="shared" ref="F51" si="34">E51+1</f>
        <v>2010</v>
      </c>
      <c r="G51" s="41">
        <f t="shared" ref="G51" si="35">F51+1</f>
        <v>2011</v>
      </c>
      <c r="H51" s="41">
        <f t="shared" ref="H51" si="36">G51+1</f>
        <v>2012</v>
      </c>
      <c r="I51" s="41">
        <f>H51+1</f>
        <v>2013</v>
      </c>
      <c r="J51" s="41">
        <f t="shared" ref="J51" si="37">I51+1</f>
        <v>2014</v>
      </c>
      <c r="K51" s="41">
        <f t="shared" ref="K51" si="38">J51+1</f>
        <v>2015</v>
      </c>
      <c r="L51" s="41">
        <f>K51+1</f>
        <v>2016</v>
      </c>
      <c r="M51" s="41">
        <f t="shared" ref="M51" si="39">L51+1</f>
        <v>2017</v>
      </c>
      <c r="N51" s="41">
        <f t="shared" ref="N51" si="40">M51+1</f>
        <v>2018</v>
      </c>
      <c r="O51" s="41">
        <f t="shared" ref="O51" si="41">N51+1</f>
        <v>2019</v>
      </c>
      <c r="P51" s="41">
        <f t="shared" ref="P51" si="42">O51+1</f>
        <v>2020</v>
      </c>
      <c r="Q51" s="41">
        <f t="shared" ref="Q51" si="43">P51+1</f>
        <v>2021</v>
      </c>
      <c r="R51" s="41">
        <f t="shared" ref="R51" si="44">Q51+1</f>
        <v>2022</v>
      </c>
      <c r="S51" s="41">
        <f t="shared" ref="S51" si="45">R51+1</f>
        <v>2023</v>
      </c>
      <c r="T51" s="41">
        <f t="shared" ref="T51" si="46">S51+1</f>
        <v>2024</v>
      </c>
      <c r="U51" s="41">
        <f t="shared" ref="U51" si="47">T51+1</f>
        <v>2025</v>
      </c>
      <c r="V51" s="41">
        <f t="shared" ref="V51" si="48">U51+1</f>
        <v>2026</v>
      </c>
      <c r="W51" s="41">
        <f t="shared" ref="W51" si="49">V51+1</f>
        <v>2027</v>
      </c>
      <c r="X51" s="41">
        <f t="shared" ref="X51" si="50">W51+1</f>
        <v>2028</v>
      </c>
      <c r="Y51" s="41">
        <f t="shared" ref="Y51" si="51">X51+1</f>
        <v>2029</v>
      </c>
      <c r="Z51" s="42">
        <f t="shared" ref="Z51" si="52">Y51+1</f>
        <v>2030</v>
      </c>
      <c r="AA51" s="42">
        <v>2031</v>
      </c>
    </row>
    <row r="52" spans="1:27" s="8" customFormat="1" hidden="1" x14ac:dyDescent="0.25">
      <c r="A52" s="10" t="s">
        <v>31</v>
      </c>
      <c r="B52" s="10"/>
      <c r="C52" s="45"/>
      <c r="D52" s="45"/>
      <c r="E52" s="45"/>
      <c r="F52" s="45"/>
      <c r="G52" s="47">
        <f>G41+G18</f>
        <v>-70.934269836659141</v>
      </c>
      <c r="H52" s="47">
        <f t="shared" ref="H52:AA52" si="53">H41+H18</f>
        <v>-46.777542251501451</v>
      </c>
      <c r="I52" s="47">
        <f t="shared" si="53"/>
        <v>3.6173666799999999</v>
      </c>
      <c r="J52" s="47">
        <f t="shared" si="53"/>
        <v>4.3731626800000001</v>
      </c>
      <c r="K52" s="47">
        <f t="shared" si="53"/>
        <v>14.205595709999999</v>
      </c>
      <c r="L52" s="47">
        <f t="shared" si="53"/>
        <v>13.16032336</v>
      </c>
      <c r="M52" s="47">
        <f t="shared" si="53"/>
        <v>9.0532176100000008</v>
      </c>
      <c r="N52" s="47">
        <f t="shared" si="53"/>
        <v>9.9915724200000007</v>
      </c>
      <c r="O52" s="47">
        <f t="shared" si="53"/>
        <v>11.11985297</v>
      </c>
      <c r="P52" s="47">
        <f t="shared" si="53"/>
        <v>16.795666660000002</v>
      </c>
      <c r="Q52" s="47">
        <f t="shared" si="53"/>
        <v>14.024100820000001</v>
      </c>
      <c r="R52" s="47">
        <f t="shared" si="53"/>
        <v>15.692256959999998</v>
      </c>
      <c r="S52" s="47">
        <f t="shared" si="53"/>
        <v>10.586373800000001</v>
      </c>
      <c r="T52" s="47">
        <f t="shared" si="53"/>
        <v>24.760006310000001</v>
      </c>
      <c r="U52" s="47">
        <f t="shared" si="53"/>
        <v>20.744723639999997</v>
      </c>
      <c r="V52" s="47">
        <f t="shared" si="53"/>
        <v>24.816508479999996</v>
      </c>
      <c r="W52" s="47">
        <f t="shared" si="53"/>
        <v>30.28755314</v>
      </c>
      <c r="X52" s="47">
        <f t="shared" si="53"/>
        <v>29.956193540000001</v>
      </c>
      <c r="Y52" s="47">
        <f t="shared" si="53"/>
        <v>0</v>
      </c>
      <c r="Z52" s="47">
        <f t="shared" si="53"/>
        <v>0</v>
      </c>
      <c r="AA52" s="47">
        <f t="shared" si="53"/>
        <v>0</v>
      </c>
    </row>
    <row r="53" spans="1:27" s="8" customFormat="1" hidden="1" x14ac:dyDescent="0.25">
      <c r="A53" s="10" t="s">
        <v>32</v>
      </c>
      <c r="B53" s="10"/>
      <c r="C53" s="45"/>
      <c r="D53" s="45"/>
      <c r="E53" s="45"/>
      <c r="F53" s="45"/>
      <c r="G53" s="47">
        <f>G42+G19</f>
        <v>-70.307642186659137</v>
      </c>
      <c r="H53" s="47">
        <f t="shared" ref="H53:AA53" si="54">H42+H19</f>
        <v>-45.741976224296486</v>
      </c>
      <c r="I53" s="47">
        <f t="shared" si="54"/>
        <v>3.6184370299999999</v>
      </c>
      <c r="J53" s="47">
        <f t="shared" si="54"/>
        <v>4.3742373199999998</v>
      </c>
      <c r="K53" s="47">
        <f t="shared" si="54"/>
        <v>14.208066969999999</v>
      </c>
      <c r="L53" s="47">
        <f t="shared" si="54"/>
        <v>13.166120019999999</v>
      </c>
      <c r="M53" s="47">
        <f t="shared" si="54"/>
        <v>9.0640325300000004</v>
      </c>
      <c r="N53" s="47">
        <f t="shared" si="54"/>
        <v>10.003156179999998</v>
      </c>
      <c r="O53" s="47">
        <f t="shared" si="54"/>
        <v>11.133832760000001</v>
      </c>
      <c r="P53" s="47">
        <f t="shared" si="54"/>
        <v>2.3418309300000022</v>
      </c>
      <c r="Q53" s="47">
        <f t="shared" si="54"/>
        <v>14.696846630000001</v>
      </c>
      <c r="R53" s="47">
        <f t="shared" si="54"/>
        <v>16.587323349999998</v>
      </c>
      <c r="S53" s="47">
        <f t="shared" si="54"/>
        <v>18.73967322</v>
      </c>
      <c r="T53" s="47">
        <f t="shared" si="54"/>
        <v>25.200670850000002</v>
      </c>
      <c r="U53" s="47">
        <f t="shared" si="54"/>
        <v>9.5124375000000025</v>
      </c>
      <c r="V53" s="47">
        <f t="shared" si="54"/>
        <v>17.014207669999998</v>
      </c>
      <c r="W53" s="47">
        <f t="shared" si="54"/>
        <v>23.878087489999999</v>
      </c>
      <c r="X53" s="47">
        <f t="shared" si="54"/>
        <v>31.589602449999997</v>
      </c>
      <c r="Y53" s="47">
        <f t="shared" si="54"/>
        <v>0</v>
      </c>
      <c r="Z53" s="47">
        <f t="shared" si="54"/>
        <v>0</v>
      </c>
      <c r="AA53" s="47">
        <f t="shared" si="54"/>
        <v>0</v>
      </c>
    </row>
    <row r="54" spans="1:27" s="8" customFormat="1" hidden="1" x14ac:dyDescent="0.25">
      <c r="A54" s="10" t="s">
        <v>33</v>
      </c>
      <c r="B54" s="10"/>
      <c r="C54" s="45"/>
      <c r="D54" s="45"/>
      <c r="E54" s="45"/>
      <c r="F54" s="45"/>
      <c r="G54" s="47">
        <f>G18+G42</f>
        <v>-71.597980136659146</v>
      </c>
      <c r="H54" s="47">
        <f t="shared" ref="H54:AA54" si="55">H18+H42</f>
        <v>-46.769837281501452</v>
      </c>
      <c r="I54" s="47">
        <f t="shared" si="55"/>
        <v>3.6184370299999999</v>
      </c>
      <c r="J54" s="47">
        <f t="shared" si="55"/>
        <v>4.3742373199999998</v>
      </c>
      <c r="K54" s="47">
        <f t="shared" si="55"/>
        <v>14.208066969999999</v>
      </c>
      <c r="L54" s="47">
        <f t="shared" si="55"/>
        <v>13.166120019999999</v>
      </c>
      <c r="M54" s="47">
        <f t="shared" si="55"/>
        <v>9.0640325300000004</v>
      </c>
      <c r="N54" s="47">
        <f t="shared" si="55"/>
        <v>10.003156179999998</v>
      </c>
      <c r="O54" s="47">
        <f t="shared" si="55"/>
        <v>11.133832760000001</v>
      </c>
      <c r="P54" s="47">
        <f t="shared" si="55"/>
        <v>16.8118105</v>
      </c>
      <c r="Q54" s="47">
        <f t="shared" si="55"/>
        <v>14.041966220000003</v>
      </c>
      <c r="R54" s="47">
        <f t="shared" si="55"/>
        <v>15.709048349999998</v>
      </c>
      <c r="S54" s="47">
        <f t="shared" si="55"/>
        <v>10.596081530000001</v>
      </c>
      <c r="T54" s="47">
        <f t="shared" si="55"/>
        <v>25.50116027</v>
      </c>
      <c r="U54" s="47">
        <f t="shared" si="55"/>
        <v>15.781275719999998</v>
      </c>
      <c r="V54" s="47">
        <f t="shared" si="55"/>
        <v>17.942793619999996</v>
      </c>
      <c r="W54" s="47">
        <f t="shared" si="55"/>
        <v>24.970534980000004</v>
      </c>
      <c r="X54" s="47">
        <f t="shared" si="55"/>
        <v>33.00250063</v>
      </c>
      <c r="Y54" s="47">
        <f t="shared" si="55"/>
        <v>0</v>
      </c>
      <c r="Z54" s="47">
        <f t="shared" si="55"/>
        <v>0</v>
      </c>
      <c r="AA54" s="47">
        <f t="shared" si="55"/>
        <v>0</v>
      </c>
    </row>
    <row r="55" spans="1:27" s="8" customFormat="1" hidden="1" x14ac:dyDescent="0.25">
      <c r="A55" s="10" t="s">
        <v>34</v>
      </c>
      <c r="B55" s="10"/>
      <c r="C55" s="45"/>
      <c r="D55" s="45"/>
      <c r="E55" s="45"/>
      <c r="F55" s="45"/>
      <c r="G55" s="47">
        <f>G19+G41</f>
        <v>-69.643931886659146</v>
      </c>
      <c r="H55" s="47">
        <f t="shared" ref="H55:AA55" si="56">H19+H41</f>
        <v>-45.749681194296485</v>
      </c>
      <c r="I55" s="47">
        <f t="shared" si="56"/>
        <v>3.6173666799999999</v>
      </c>
      <c r="J55" s="47">
        <f t="shared" si="56"/>
        <v>4.3731626800000001</v>
      </c>
      <c r="K55" s="47">
        <f t="shared" si="56"/>
        <v>14.205595709999999</v>
      </c>
      <c r="L55" s="47">
        <f t="shared" si="56"/>
        <v>13.16032336</v>
      </c>
      <c r="M55" s="47">
        <f t="shared" si="56"/>
        <v>9.0532176100000008</v>
      </c>
      <c r="N55" s="47">
        <f t="shared" si="56"/>
        <v>9.9915724200000007</v>
      </c>
      <c r="O55" s="47">
        <f t="shared" si="56"/>
        <v>11.11985297</v>
      </c>
      <c r="P55" s="47">
        <f t="shared" si="56"/>
        <v>2.3256870900000006</v>
      </c>
      <c r="Q55" s="47">
        <f t="shared" si="56"/>
        <v>14.678981230000002</v>
      </c>
      <c r="R55" s="47">
        <f t="shared" si="56"/>
        <v>16.57053196</v>
      </c>
      <c r="S55" s="47">
        <f t="shared" si="56"/>
        <v>18.729965489999998</v>
      </c>
      <c r="T55" s="47">
        <f t="shared" si="56"/>
        <v>24.45951689</v>
      </c>
      <c r="U55" s="47">
        <f t="shared" si="56"/>
        <v>14.475885420000001</v>
      </c>
      <c r="V55" s="47">
        <f t="shared" si="56"/>
        <v>23.887922529999997</v>
      </c>
      <c r="W55" s="47">
        <f t="shared" si="56"/>
        <v>29.195105650000002</v>
      </c>
      <c r="X55" s="47">
        <f t="shared" si="56"/>
        <v>28.543295359999998</v>
      </c>
      <c r="Y55" s="47">
        <f t="shared" si="56"/>
        <v>0</v>
      </c>
      <c r="Z55" s="47">
        <f t="shared" si="56"/>
        <v>0</v>
      </c>
      <c r="AA55" s="47">
        <f t="shared" si="56"/>
        <v>0</v>
      </c>
    </row>
    <row r="56" spans="1:27" hidden="1" x14ac:dyDescent="0.25">
      <c r="A56" s="23" t="s">
        <v>29</v>
      </c>
      <c r="G56" s="38">
        <f t="shared" ref="G56:AA56" si="57">G20+G43</f>
        <v>-70.74628154165913</v>
      </c>
      <c r="H56" s="38">
        <f t="shared" si="57"/>
        <v>-46.466872443339959</v>
      </c>
      <c r="I56" s="38">
        <f t="shared" si="57"/>
        <v>3.6176877850000002</v>
      </c>
      <c r="J56" s="38">
        <f t="shared" si="57"/>
        <v>4.3734850719999994</v>
      </c>
      <c r="K56" s="38">
        <f t="shared" si="57"/>
        <v>14.206337088</v>
      </c>
      <c r="L56" s="38">
        <f t="shared" si="57"/>
        <v>13.162062358</v>
      </c>
      <c r="M56" s="38">
        <f t="shared" si="57"/>
        <v>9.0564620860000016</v>
      </c>
      <c r="N56" s="38">
        <f t="shared" si="57"/>
        <v>9.9950475480000005</v>
      </c>
      <c r="O56" s="38">
        <f t="shared" si="57"/>
        <v>11.124046907</v>
      </c>
      <c r="P56" s="38">
        <f t="shared" si="57"/>
        <v>12.459515940999999</v>
      </c>
      <c r="Q56" s="38">
        <f t="shared" si="57"/>
        <v>14.225924563000001</v>
      </c>
      <c r="R56" s="38">
        <f t="shared" si="57"/>
        <v>15.960776876999997</v>
      </c>
      <c r="S56" s="38">
        <f t="shared" si="57"/>
        <v>13.032363626</v>
      </c>
      <c r="T56" s="38">
        <f t="shared" si="57"/>
        <v>24.892205671999999</v>
      </c>
      <c r="U56" s="38">
        <f t="shared" si="57"/>
        <v>17.375037797999997</v>
      </c>
      <c r="V56" s="38">
        <f t="shared" si="57"/>
        <v>22.475818236999995</v>
      </c>
      <c r="W56" s="38">
        <f t="shared" si="57"/>
        <v>28.364713445</v>
      </c>
      <c r="X56" s="38">
        <f t="shared" si="57"/>
        <v>30.446216213</v>
      </c>
      <c r="Y56" s="38">
        <f t="shared" si="57"/>
        <v>0</v>
      </c>
      <c r="Z56" s="38">
        <f t="shared" si="57"/>
        <v>0</v>
      </c>
      <c r="AA56" s="38">
        <f t="shared" si="57"/>
        <v>0</v>
      </c>
    </row>
    <row r="57" spans="1:27" hidden="1" x14ac:dyDescent="0.25">
      <c r="A57" s="3" t="s">
        <v>30</v>
      </c>
      <c r="B57" s="43">
        <f>IRR(E56:X56)</f>
        <v>7.3181513179324531E-2</v>
      </c>
    </row>
    <row r="58" spans="1:27" hidden="1" x14ac:dyDescent="0.25">
      <c r="A58" s="23" t="s">
        <v>35</v>
      </c>
      <c r="B58" s="46">
        <v>0.7</v>
      </c>
    </row>
    <row r="59" spans="1:27" hidden="1" x14ac:dyDescent="0.25">
      <c r="A59" s="23" t="s">
        <v>36</v>
      </c>
      <c r="B59" s="46">
        <v>0.3</v>
      </c>
    </row>
    <row r="60" spans="1:27" hidden="1" x14ac:dyDescent="0.25">
      <c r="A60" s="23" t="s">
        <v>37</v>
      </c>
      <c r="B60" s="46">
        <v>0</v>
      </c>
    </row>
    <row r="61" spans="1:27" hidden="1" x14ac:dyDescent="0.25">
      <c r="A61" s="23" t="s">
        <v>38</v>
      </c>
      <c r="B61" s="46">
        <v>0</v>
      </c>
    </row>
    <row r="62" spans="1:27" hidden="1" x14ac:dyDescent="0.25">
      <c r="A62" s="23" t="s">
        <v>39</v>
      </c>
      <c r="G62" s="3">
        <f>G52*$B$58+G53*$B$59+G54*$B$60+G55*$B$61</f>
        <v>-70.746281541659144</v>
      </c>
      <c r="H62" s="3">
        <f t="shared" ref="H62:AA62" si="58">H52*$B$58+H53*$B$59+H54*$B$60+H55*$B$61</f>
        <v>-46.466872443339959</v>
      </c>
      <c r="I62" s="3">
        <f t="shared" si="58"/>
        <v>3.6176877849999993</v>
      </c>
      <c r="J62" s="3">
        <f t="shared" si="58"/>
        <v>4.3734850720000003</v>
      </c>
      <c r="K62" s="3">
        <f t="shared" si="58"/>
        <v>14.206337087999998</v>
      </c>
      <c r="L62" s="3">
        <f t="shared" si="58"/>
        <v>13.162062357999998</v>
      </c>
      <c r="M62" s="3">
        <f t="shared" si="58"/>
        <v>9.0564620859999998</v>
      </c>
      <c r="N62" s="3">
        <f t="shared" si="58"/>
        <v>9.9950475479999987</v>
      </c>
      <c r="O62" s="3">
        <f t="shared" si="58"/>
        <v>11.124046907</v>
      </c>
      <c r="P62" s="3">
        <f t="shared" si="58"/>
        <v>12.459515941000001</v>
      </c>
      <c r="Q62" s="3">
        <f t="shared" si="58"/>
        <v>14.225924563</v>
      </c>
      <c r="R62" s="3">
        <f t="shared" si="58"/>
        <v>15.960776876999997</v>
      </c>
      <c r="S62" s="3">
        <f t="shared" si="58"/>
        <v>13.032363626</v>
      </c>
      <c r="T62" s="3">
        <f t="shared" si="58"/>
        <v>24.892205671999999</v>
      </c>
      <c r="U62" s="3">
        <f t="shared" si="58"/>
        <v>17.375037797999997</v>
      </c>
      <c r="V62" s="3">
        <f t="shared" si="58"/>
        <v>22.475818236999995</v>
      </c>
      <c r="W62" s="3">
        <f t="shared" si="58"/>
        <v>28.364713445</v>
      </c>
      <c r="X62" s="3">
        <f t="shared" si="58"/>
        <v>30.446216212999996</v>
      </c>
      <c r="Y62" s="3">
        <f t="shared" si="58"/>
        <v>0</v>
      </c>
      <c r="Z62" s="3">
        <f t="shared" si="58"/>
        <v>0</v>
      </c>
      <c r="AA62" s="3">
        <f t="shared" si="58"/>
        <v>0</v>
      </c>
    </row>
    <row r="63" spans="1:27" hidden="1" x14ac:dyDescent="0.25">
      <c r="A63" s="23" t="s">
        <v>40</v>
      </c>
      <c r="B63" s="44">
        <f>IRR(E62:X62)</f>
        <v>7.3181513179324753E-2</v>
      </c>
    </row>
    <row r="64" spans="1:27" hidden="1" x14ac:dyDescent="0.25"/>
    <row r="65" spans="1:28" ht="15.75" hidden="1" thickBot="1" x14ac:dyDescent="0.3">
      <c r="A65" s="30" t="s">
        <v>18</v>
      </c>
      <c r="B65" s="31" t="s">
        <v>23</v>
      </c>
    </row>
    <row r="66" spans="1:28" ht="15.75" hidden="1" thickTop="1" x14ac:dyDescent="0.25">
      <c r="A66" s="26" t="s">
        <v>19</v>
      </c>
      <c r="B66" s="27">
        <v>0.1</v>
      </c>
    </row>
    <row r="67" spans="1:28" hidden="1" x14ac:dyDescent="0.25">
      <c r="A67" s="21" t="s">
        <v>21</v>
      </c>
      <c r="B67" s="34">
        <f>NPV(B66,E7:X7)</f>
        <v>47.400740636590854</v>
      </c>
    </row>
    <row r="68" spans="1:28" hidden="1" x14ac:dyDescent="0.25">
      <c r="A68" s="18" t="s">
        <v>22</v>
      </c>
      <c r="B68" s="35">
        <f>NPV(B66,E8:X8)</f>
        <v>40.338353983880012</v>
      </c>
    </row>
    <row r="69" spans="1:28" hidden="1" x14ac:dyDescent="0.25">
      <c r="A69" s="26" t="s">
        <v>26</v>
      </c>
      <c r="B69" s="29">
        <f>B67*B24+B68*B25</f>
        <v>45.2820246407776</v>
      </c>
    </row>
    <row r="70" spans="1:28" hidden="1" x14ac:dyDescent="0.25">
      <c r="A70" s="21" t="s">
        <v>7</v>
      </c>
      <c r="B70" s="34">
        <f>NPV(B66,E30:X30)</f>
        <v>36.932120035247912</v>
      </c>
    </row>
    <row r="71" spans="1:28" hidden="1" x14ac:dyDescent="0.25">
      <c r="A71" s="18" t="s">
        <v>8</v>
      </c>
      <c r="B71" s="35">
        <f>NPV(B66,E31:X31)</f>
        <v>38.321416717634811</v>
      </c>
    </row>
    <row r="72" spans="1:28" ht="15.75" hidden="1" thickBot="1" x14ac:dyDescent="0.3">
      <c r="A72" s="11" t="s">
        <v>27</v>
      </c>
      <c r="B72" s="29">
        <f>B70*B47+B71*B48</f>
        <v>37.348909039963985</v>
      </c>
    </row>
    <row r="73" spans="1:28" ht="15.75" hidden="1" thickTop="1" x14ac:dyDescent="0.25">
      <c r="A73" s="32" t="s">
        <v>28</v>
      </c>
      <c r="B73" s="33">
        <f>B69+B72</f>
        <v>82.630933680741578</v>
      </c>
    </row>
    <row r="74" spans="1:28" hidden="1" x14ac:dyDescent="0.25">
      <c r="A74" s="23"/>
      <c r="B74" s="24"/>
      <c r="D74" s="25"/>
    </row>
    <row r="75" spans="1:28" hidden="1" x14ac:dyDescent="0.25"/>
    <row r="76" spans="1:28" hidden="1" x14ac:dyDescent="0.25">
      <c r="A76" s="36" t="s">
        <v>24</v>
      </c>
      <c r="B76" s="37" t="s">
        <v>23</v>
      </c>
    </row>
    <row r="77" spans="1:28" hidden="1" x14ac:dyDescent="0.25">
      <c r="A77" s="11" t="s">
        <v>25</v>
      </c>
      <c r="B77" s="28">
        <v>60.034581662767209</v>
      </c>
    </row>
    <row r="78" spans="1:28" hidden="1" x14ac:dyDescent="0.25">
      <c r="A78" s="18" t="s">
        <v>20</v>
      </c>
      <c r="B78" s="35">
        <v>21.450392468072078</v>
      </c>
    </row>
    <row r="80" spans="1:28" s="52" customFormat="1" x14ac:dyDescent="0.25">
      <c r="A80" s="48" t="s">
        <v>43</v>
      </c>
      <c r="B80" s="49"/>
      <c r="C80" s="50">
        <v>2007</v>
      </c>
      <c r="D80" s="50">
        <f>C80+1</f>
        <v>2008</v>
      </c>
      <c r="E80" s="50">
        <f t="shared" ref="E80" si="59">D80+1</f>
        <v>2009</v>
      </c>
      <c r="F80" s="50">
        <f t="shared" ref="F80" si="60">E80+1</f>
        <v>2010</v>
      </c>
      <c r="G80" s="50">
        <f t="shared" ref="G80" si="61">F80+1</f>
        <v>2011</v>
      </c>
      <c r="H80" s="50">
        <f t="shared" ref="H80" si="62">G80+1</f>
        <v>2012</v>
      </c>
      <c r="I80" s="50">
        <f>H80+1</f>
        <v>2013</v>
      </c>
      <c r="J80" s="50">
        <f t="shared" ref="J80" si="63">I80+1</f>
        <v>2014</v>
      </c>
      <c r="K80" s="50">
        <f t="shared" ref="K80" si="64">J80+1</f>
        <v>2015</v>
      </c>
      <c r="L80" s="50">
        <f>K80+1</f>
        <v>2016</v>
      </c>
      <c r="M80" s="50">
        <f t="shared" ref="M80" si="65">L80+1</f>
        <v>2017</v>
      </c>
      <c r="N80" s="50">
        <f t="shared" ref="N80" si="66">M80+1</f>
        <v>2018</v>
      </c>
      <c r="O80" s="50">
        <f t="shared" ref="O80" si="67">N80+1</f>
        <v>2019</v>
      </c>
      <c r="P80" s="50">
        <f t="shared" ref="P80" si="68">O80+1</f>
        <v>2020</v>
      </c>
      <c r="Q80" s="50">
        <f t="shared" ref="Q80" si="69">P80+1</f>
        <v>2021</v>
      </c>
      <c r="R80" s="50">
        <f t="shared" ref="R80" si="70">Q80+1</f>
        <v>2022</v>
      </c>
      <c r="S80" s="50">
        <f t="shared" ref="S80" si="71">R80+1</f>
        <v>2023</v>
      </c>
      <c r="T80" s="50">
        <f t="shared" ref="T80" si="72">S80+1</f>
        <v>2024</v>
      </c>
      <c r="U80" s="50">
        <f t="shared" ref="U80" si="73">T80+1</f>
        <v>2025</v>
      </c>
      <c r="V80" s="50">
        <f t="shared" ref="V80" si="74">U80+1</f>
        <v>2026</v>
      </c>
      <c r="W80" s="50">
        <f t="shared" ref="W80" si="75">V80+1</f>
        <v>2027</v>
      </c>
      <c r="X80" s="50">
        <f t="shared" ref="X80" si="76">W80+1</f>
        <v>2028</v>
      </c>
      <c r="Y80" s="364"/>
      <c r="Z80" s="362"/>
      <c r="AA80" s="362"/>
      <c r="AB80" s="363"/>
    </row>
    <row r="81" spans="1:28" s="16" customFormat="1" x14ac:dyDescent="0.25">
      <c r="A81" s="17" t="s">
        <v>4</v>
      </c>
      <c r="B81" s="12"/>
      <c r="C81" s="13"/>
      <c r="D81" s="13"/>
      <c r="E81" s="13" t="s">
        <v>2</v>
      </c>
      <c r="F81" s="13"/>
      <c r="G81" s="13"/>
      <c r="H81" s="13"/>
      <c r="I81" s="13"/>
      <c r="J81" s="13"/>
      <c r="K81" s="13"/>
      <c r="L81" s="13"/>
      <c r="M81" s="13"/>
      <c r="N81" s="13"/>
      <c r="O81" s="13"/>
      <c r="P81" s="13"/>
      <c r="Q81" s="13"/>
      <c r="R81" s="13"/>
      <c r="S81" s="13"/>
      <c r="T81" s="13"/>
      <c r="U81" s="13"/>
      <c r="V81" s="13"/>
      <c r="W81" s="13"/>
      <c r="X81" s="13"/>
      <c r="Y81" s="354"/>
      <c r="Z81" s="13"/>
      <c r="AA81" s="13"/>
      <c r="AB81" s="23"/>
    </row>
    <row r="82" spans="1:28" s="16" customFormat="1" x14ac:dyDescent="0.25">
      <c r="A82" s="11" t="s">
        <v>45</v>
      </c>
      <c r="B82" s="12"/>
      <c r="C82" s="13">
        <f>C18+C41</f>
        <v>0</v>
      </c>
      <c r="D82" s="13">
        <f t="shared" ref="D82:F82" si="77">D18+D41</f>
        <v>0</v>
      </c>
      <c r="E82" s="13">
        <f t="shared" si="77"/>
        <v>0</v>
      </c>
      <c r="F82" s="13">
        <f t="shared" si="77"/>
        <v>0</v>
      </c>
      <c r="G82" s="13">
        <f>G18+G41</f>
        <v>-70.934269836659141</v>
      </c>
      <c r="H82" s="13">
        <f t="shared" ref="H82:X82" si="78">H18+H41</f>
        <v>-46.777542251501451</v>
      </c>
      <c r="I82" s="13">
        <f t="shared" si="78"/>
        <v>3.6173666799999999</v>
      </c>
      <c r="J82" s="13">
        <f t="shared" si="78"/>
        <v>4.3731626800000001</v>
      </c>
      <c r="K82" s="13">
        <f t="shared" si="78"/>
        <v>14.205595709999999</v>
      </c>
      <c r="L82" s="13">
        <f t="shared" si="78"/>
        <v>13.16032336</v>
      </c>
      <c r="M82" s="13">
        <f t="shared" si="78"/>
        <v>9.0532176100000008</v>
      </c>
      <c r="N82" s="13">
        <f t="shared" si="78"/>
        <v>9.9915724200000007</v>
      </c>
      <c r="O82" s="13">
        <f t="shared" si="78"/>
        <v>11.11985297</v>
      </c>
      <c r="P82" s="13">
        <f t="shared" si="78"/>
        <v>16.795666660000002</v>
      </c>
      <c r="Q82" s="13">
        <f t="shared" si="78"/>
        <v>14.024100820000001</v>
      </c>
      <c r="R82" s="13">
        <f t="shared" si="78"/>
        <v>15.692256959999998</v>
      </c>
      <c r="S82" s="13">
        <f t="shared" si="78"/>
        <v>10.586373800000001</v>
      </c>
      <c r="T82" s="13">
        <f t="shared" si="78"/>
        <v>24.760006310000001</v>
      </c>
      <c r="U82" s="13">
        <f t="shared" si="78"/>
        <v>20.744723639999997</v>
      </c>
      <c r="V82" s="13">
        <f t="shared" si="78"/>
        <v>24.816508479999996</v>
      </c>
      <c r="W82" s="13">
        <f t="shared" si="78"/>
        <v>30.28755314</v>
      </c>
      <c r="X82" s="13">
        <f t="shared" si="78"/>
        <v>29.956193540000001</v>
      </c>
      <c r="Y82" s="354"/>
      <c r="Z82" s="13"/>
      <c r="AA82" s="13"/>
      <c r="AB82" s="23"/>
    </row>
    <row r="83" spans="1:28" s="16" customFormat="1" x14ac:dyDescent="0.25">
      <c r="A83" s="11" t="s">
        <v>44</v>
      </c>
      <c r="B83" s="12"/>
      <c r="C83" s="13">
        <f t="shared" ref="C83:F83" si="79">C19+C42</f>
        <v>0</v>
      </c>
      <c r="D83" s="13">
        <f t="shared" si="79"/>
        <v>0</v>
      </c>
      <c r="E83" s="13">
        <f t="shared" si="79"/>
        <v>0</v>
      </c>
      <c r="F83" s="13">
        <f t="shared" si="79"/>
        <v>0</v>
      </c>
      <c r="G83" s="13">
        <f>G19+G42</f>
        <v>-70.307642186659137</v>
      </c>
      <c r="H83" s="13">
        <f t="shared" ref="H83:X83" si="80">H19+H42</f>
        <v>-45.741976224296486</v>
      </c>
      <c r="I83" s="13">
        <f t="shared" si="80"/>
        <v>3.6184370299999999</v>
      </c>
      <c r="J83" s="13">
        <f t="shared" si="80"/>
        <v>4.3742373199999998</v>
      </c>
      <c r="K83" s="13">
        <f t="shared" si="80"/>
        <v>14.208066969999999</v>
      </c>
      <c r="L83" s="13">
        <f t="shared" si="80"/>
        <v>13.166120019999999</v>
      </c>
      <c r="M83" s="13">
        <f t="shared" si="80"/>
        <v>9.0640325300000004</v>
      </c>
      <c r="N83" s="13">
        <f t="shared" si="80"/>
        <v>10.003156179999998</v>
      </c>
      <c r="O83" s="13">
        <f t="shared" si="80"/>
        <v>11.133832760000001</v>
      </c>
      <c r="P83" s="13">
        <f t="shared" si="80"/>
        <v>2.3418309300000022</v>
      </c>
      <c r="Q83" s="13">
        <f t="shared" si="80"/>
        <v>14.696846630000001</v>
      </c>
      <c r="R83" s="13">
        <f t="shared" si="80"/>
        <v>16.587323349999998</v>
      </c>
      <c r="S83" s="13">
        <f t="shared" si="80"/>
        <v>18.73967322</v>
      </c>
      <c r="T83" s="13">
        <f t="shared" si="80"/>
        <v>25.200670850000002</v>
      </c>
      <c r="U83" s="13">
        <f t="shared" si="80"/>
        <v>9.5124375000000025</v>
      </c>
      <c r="V83" s="13">
        <f t="shared" si="80"/>
        <v>17.014207669999998</v>
      </c>
      <c r="W83" s="13">
        <f t="shared" si="80"/>
        <v>23.878087489999999</v>
      </c>
      <c r="X83" s="13">
        <f t="shared" si="80"/>
        <v>31.589602449999997</v>
      </c>
      <c r="Y83" s="354"/>
      <c r="Z83" s="13"/>
      <c r="AA83" s="13"/>
      <c r="AB83" s="23"/>
    </row>
    <row r="84" spans="1:28" s="16" customFormat="1" x14ac:dyDescent="0.25">
      <c r="A84" s="18" t="s">
        <v>17</v>
      </c>
      <c r="B84" s="19"/>
      <c r="C84" s="22">
        <f t="shared" ref="C84:F84" si="81">C82*$B$86+C83*$B$85</f>
        <v>0</v>
      </c>
      <c r="D84" s="22">
        <f t="shared" si="81"/>
        <v>0</v>
      </c>
      <c r="E84" s="22">
        <f t="shared" si="81"/>
        <v>0</v>
      </c>
      <c r="F84" s="22">
        <f t="shared" si="81"/>
        <v>0</v>
      </c>
      <c r="G84" s="22">
        <f>G82*$B$86+G83*$B$85</f>
        <v>-70.746281541659144</v>
      </c>
      <c r="H84" s="22">
        <f t="shared" ref="H84:X84" si="82">H82*$B$86+H83*$B$85</f>
        <v>-46.466872443339959</v>
      </c>
      <c r="I84" s="22">
        <f t="shared" si="82"/>
        <v>3.6176877849999993</v>
      </c>
      <c r="J84" s="22">
        <f t="shared" si="82"/>
        <v>4.3734850720000003</v>
      </c>
      <c r="K84" s="22">
        <f t="shared" si="82"/>
        <v>14.206337087999998</v>
      </c>
      <c r="L84" s="22">
        <f t="shared" si="82"/>
        <v>13.162062357999998</v>
      </c>
      <c r="M84" s="22">
        <f t="shared" si="82"/>
        <v>9.0564620859999998</v>
      </c>
      <c r="N84" s="22">
        <f t="shared" si="82"/>
        <v>9.9950475479999987</v>
      </c>
      <c r="O84" s="22">
        <f t="shared" si="82"/>
        <v>11.124046907</v>
      </c>
      <c r="P84" s="22">
        <f t="shared" si="82"/>
        <v>12.459515941000001</v>
      </c>
      <c r="Q84" s="22">
        <f t="shared" si="82"/>
        <v>14.225924563</v>
      </c>
      <c r="R84" s="22">
        <f t="shared" si="82"/>
        <v>15.960776876999997</v>
      </c>
      <c r="S84" s="22">
        <f t="shared" si="82"/>
        <v>13.032363626</v>
      </c>
      <c r="T84" s="22">
        <f t="shared" si="82"/>
        <v>24.892205671999999</v>
      </c>
      <c r="U84" s="22">
        <f t="shared" si="82"/>
        <v>17.375037797999997</v>
      </c>
      <c r="V84" s="22">
        <f t="shared" si="82"/>
        <v>22.475818236999995</v>
      </c>
      <c r="W84" s="22">
        <f t="shared" si="82"/>
        <v>28.364713445</v>
      </c>
      <c r="X84" s="22">
        <f t="shared" si="82"/>
        <v>30.446216212999996</v>
      </c>
      <c r="Y84" s="354"/>
      <c r="Z84" s="13"/>
      <c r="AA84" s="13"/>
      <c r="AB84" s="23"/>
    </row>
    <row r="85" spans="1:28" x14ac:dyDescent="0.25">
      <c r="A85" s="11" t="s">
        <v>12</v>
      </c>
      <c r="B85" s="3">
        <v>0.3</v>
      </c>
      <c r="E85" s="53"/>
    </row>
    <row r="86" spans="1:28" x14ac:dyDescent="0.25">
      <c r="A86" s="11" t="s">
        <v>11</v>
      </c>
      <c r="B86" s="3">
        <v>0.7</v>
      </c>
      <c r="E86" s="53"/>
      <c r="G86" t="s">
        <v>2</v>
      </c>
    </row>
    <row r="87" spans="1:28" x14ac:dyDescent="0.25">
      <c r="E87" s="57"/>
    </row>
    <row r="88" spans="1:28" x14ac:dyDescent="0.25">
      <c r="A88" s="54" t="s">
        <v>46</v>
      </c>
      <c r="B88" s="58">
        <f>IRR(G82:AZ82, 0.001)</f>
        <v>7.6056796413488392E-2</v>
      </c>
      <c r="F88" t="s">
        <v>2</v>
      </c>
      <c r="H88" t="s">
        <v>2</v>
      </c>
    </row>
    <row r="89" spans="1:28" x14ac:dyDescent="0.25">
      <c r="A89" s="55" t="s">
        <v>47</v>
      </c>
      <c r="B89" s="59">
        <f>IRR(G83:AZ83)</f>
        <v>6.6018256791310126E-2</v>
      </c>
      <c r="G89" t="s">
        <v>2</v>
      </c>
    </row>
    <row r="90" spans="1:28" x14ac:dyDescent="0.25">
      <c r="A90" s="56" t="s">
        <v>48</v>
      </c>
      <c r="B90" s="60">
        <f>IRR(G84:AZ84)</f>
        <v>7.3181513179324753E-2</v>
      </c>
    </row>
    <row r="92" spans="1:28" x14ac:dyDescent="0.25">
      <c r="A92" s="68" t="s">
        <v>168</v>
      </c>
    </row>
    <row r="93" spans="1:28" x14ac:dyDescent="0.25">
      <c r="I93" t="s">
        <v>2</v>
      </c>
    </row>
    <row r="94" spans="1:28" x14ac:dyDescent="0.25">
      <c r="A94" s="358" t="s">
        <v>169</v>
      </c>
      <c r="B94" s="359">
        <f>B9+B32</f>
        <v>0</v>
      </c>
      <c r="C94" s="359">
        <f t="shared" ref="C94:X94" si="83">C9+C32</f>
        <v>0</v>
      </c>
      <c r="D94" s="359">
        <f t="shared" si="83"/>
        <v>0</v>
      </c>
      <c r="E94" s="359">
        <f t="shared" si="83"/>
        <v>0</v>
      </c>
      <c r="F94" s="359">
        <f t="shared" si="83"/>
        <v>0</v>
      </c>
      <c r="G94" s="359">
        <f t="shared" si="83"/>
        <v>0.39999300700000001</v>
      </c>
      <c r="H94" s="359">
        <f t="shared" si="83"/>
        <v>0.28847311099999995</v>
      </c>
      <c r="I94" s="359">
        <f t="shared" si="83"/>
        <v>3.6140425509999998</v>
      </c>
      <c r="J94" s="359">
        <f t="shared" si="83"/>
        <v>4.3688664079999997</v>
      </c>
      <c r="K94" s="359">
        <f t="shared" si="83"/>
        <v>11.887668998999999</v>
      </c>
      <c r="L94" s="359">
        <f t="shared" si="83"/>
        <v>9.7920844079999991</v>
      </c>
      <c r="M94" s="359">
        <f t="shared" si="83"/>
        <v>9.0513348980000004</v>
      </c>
      <c r="N94" s="359">
        <f t="shared" si="83"/>
        <v>9.9887221060000009</v>
      </c>
      <c r="O94" s="359">
        <f t="shared" si="83"/>
        <v>11.116645675000001</v>
      </c>
      <c r="P94" s="359">
        <f t="shared" si="83"/>
        <v>13.839870349000002</v>
      </c>
      <c r="Q94" s="359">
        <f t="shared" si="83"/>
        <v>14.211084209000001</v>
      </c>
      <c r="R94" s="359">
        <f t="shared" si="83"/>
        <v>15.950529627999998</v>
      </c>
      <c r="S94" s="359">
        <f t="shared" si="83"/>
        <v>17.980697220000003</v>
      </c>
      <c r="T94" s="359">
        <f t="shared" si="83"/>
        <v>22.291121702000002</v>
      </c>
      <c r="U94" s="359">
        <f t="shared" si="83"/>
        <v>26.172072819</v>
      </c>
      <c r="V94" s="359">
        <f t="shared" si="83"/>
        <v>23.747320920999996</v>
      </c>
      <c r="W94" s="359">
        <f t="shared" si="83"/>
        <v>28.341548395000004</v>
      </c>
      <c r="X94" s="359">
        <f t="shared" si="83"/>
        <v>32.712770140000003</v>
      </c>
      <c r="Y94" s="367"/>
      <c r="Z94" s="365"/>
      <c r="AA94" s="365"/>
    </row>
    <row r="95" spans="1:28" x14ac:dyDescent="0.25">
      <c r="A95" s="360" t="s">
        <v>170</v>
      </c>
      <c r="B95" s="361">
        <f>B15+B38</f>
        <v>0</v>
      </c>
      <c r="C95" s="361">
        <f t="shared" ref="C95:X95" si="84">C15+C38</f>
        <v>0</v>
      </c>
      <c r="D95" s="361">
        <f t="shared" si="84"/>
        <v>0</v>
      </c>
      <c r="E95" s="361">
        <f t="shared" si="84"/>
        <v>0</v>
      </c>
      <c r="F95" s="361">
        <f t="shared" si="84"/>
        <v>0</v>
      </c>
      <c r="G95" s="361">
        <f t="shared" si="84"/>
        <v>-71.146274548659136</v>
      </c>
      <c r="H95" s="361">
        <f t="shared" si="84"/>
        <v>-46.755345554339961</v>
      </c>
      <c r="I95" s="361">
        <f t="shared" si="84"/>
        <v>3.6452339999999994E-3</v>
      </c>
      <c r="J95" s="361">
        <f t="shared" si="84"/>
        <v>4.6186639999999998E-3</v>
      </c>
      <c r="K95" s="361">
        <f t="shared" si="84"/>
        <v>2.318668089</v>
      </c>
      <c r="L95" s="361">
        <f t="shared" si="84"/>
        <v>3.3699779499999996</v>
      </c>
      <c r="M95" s="361">
        <f t="shared" si="84"/>
        <v>5.1271879999999995E-3</v>
      </c>
      <c r="N95" s="361">
        <f t="shared" si="84"/>
        <v>6.3254419999999997E-3</v>
      </c>
      <c r="O95" s="361">
        <f t="shared" si="84"/>
        <v>7.4012319999999989E-3</v>
      </c>
      <c r="P95" s="361">
        <f t="shared" si="84"/>
        <v>-1.3803544080000001</v>
      </c>
      <c r="Q95" s="361">
        <f t="shared" si="84"/>
        <v>1.4840354E-2</v>
      </c>
      <c r="R95" s="361">
        <f t="shared" si="84"/>
        <v>1.0247249E-2</v>
      </c>
      <c r="S95" s="361">
        <f t="shared" si="84"/>
        <v>-4.9483335940000002</v>
      </c>
      <c r="T95" s="361">
        <f t="shared" si="84"/>
        <v>2.6010839699999999</v>
      </c>
      <c r="U95" s="361">
        <f t="shared" si="84"/>
        <v>-8.7970350209999975</v>
      </c>
      <c r="V95" s="361">
        <f t="shared" si="84"/>
        <v>-1.2715026839999999</v>
      </c>
      <c r="W95" s="361">
        <f t="shared" si="84"/>
        <v>2.3165050000000003E-2</v>
      </c>
      <c r="X95" s="361">
        <f t="shared" si="84"/>
        <v>-2.2665539269999995</v>
      </c>
      <c r="Y95" s="368"/>
      <c r="Z95" s="366"/>
      <c r="AA95" s="366"/>
    </row>
    <row r="96" spans="1:28" x14ac:dyDescent="0.25">
      <c r="G96" s="38"/>
    </row>
    <row r="97" spans="1:2" x14ac:dyDescent="0.25">
      <c r="A97" s="255" t="s">
        <v>161</v>
      </c>
      <c r="B97" s="257">
        <f>'ERR &amp; Sensitivity Analysis'!D10</f>
        <v>1</v>
      </c>
    </row>
    <row r="98" spans="1:2" x14ac:dyDescent="0.25">
      <c r="A98" s="256" t="s">
        <v>162</v>
      </c>
      <c r="B98" s="258">
        <f>'ERR &amp; Sensitivity Analysis'!D11</f>
        <v>1</v>
      </c>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9"/>
  <sheetViews>
    <sheetView topLeftCell="A19" workbookViewId="0">
      <selection activeCell="J45" sqref="J45"/>
    </sheetView>
  </sheetViews>
  <sheetFormatPr defaultRowHeight="15" x14ac:dyDescent="0.25"/>
  <cols>
    <col min="1" max="1" width="6.28515625" customWidth="1"/>
    <col min="2" max="2" width="21.7109375" customWidth="1"/>
    <col min="3" max="3" width="13.28515625" customWidth="1"/>
    <col min="4" max="4" width="9.28515625" bestFit="1" customWidth="1"/>
    <col min="5" max="5" width="26.7109375" customWidth="1"/>
    <col min="6" max="6" width="17.5703125" customWidth="1"/>
    <col min="7" max="7" width="9.28515625" bestFit="1" customWidth="1"/>
    <col min="8" max="8" width="10.140625" bestFit="1" customWidth="1"/>
    <col min="9" max="9" width="20.42578125" customWidth="1"/>
    <col min="10" max="10" width="19.85546875" customWidth="1"/>
    <col min="12" max="12" width="16" customWidth="1"/>
  </cols>
  <sheetData>
    <row r="1" spans="1:34" ht="16.5" customHeight="1" x14ac:dyDescent="0.25">
      <c r="A1" s="291"/>
      <c r="I1" s="122" t="s">
        <v>163</v>
      </c>
    </row>
    <row r="2" spans="1:34" ht="21" x14ac:dyDescent="0.35">
      <c r="A2" s="292"/>
      <c r="B2" s="260" t="s">
        <v>111</v>
      </c>
      <c r="C2" t="s">
        <v>114</v>
      </c>
      <c r="D2" t="s">
        <v>177</v>
      </c>
    </row>
    <row r="3" spans="1:34" ht="60" x14ac:dyDescent="0.25">
      <c r="A3" s="293" t="s">
        <v>222</v>
      </c>
      <c r="B3" s="278" t="s">
        <v>189</v>
      </c>
      <c r="C3" s="278" t="s">
        <v>190</v>
      </c>
      <c r="D3" s="278" t="s">
        <v>191</v>
      </c>
      <c r="E3" s="278" t="s">
        <v>192</v>
      </c>
      <c r="F3" s="278" t="s">
        <v>193</v>
      </c>
      <c r="G3" s="278" t="s">
        <v>194</v>
      </c>
      <c r="H3" s="278" t="s">
        <v>195</v>
      </c>
      <c r="I3" s="278" t="s">
        <v>196</v>
      </c>
      <c r="J3" s="279" t="s">
        <v>197</v>
      </c>
      <c r="K3" s="278" t="s">
        <v>198</v>
      </c>
      <c r="L3" s="278" t="s">
        <v>199</v>
      </c>
      <c r="M3" s="280" t="s">
        <v>200</v>
      </c>
      <c r="N3" s="280" t="s">
        <v>201</v>
      </c>
      <c r="O3" s="280" t="s">
        <v>202</v>
      </c>
      <c r="P3" s="280" t="s">
        <v>203</v>
      </c>
      <c r="Q3" s="280" t="s">
        <v>204</v>
      </c>
      <c r="R3" s="278" t="s">
        <v>205</v>
      </c>
      <c r="S3" s="278" t="s">
        <v>206</v>
      </c>
      <c r="T3" s="278" t="s">
        <v>207</v>
      </c>
      <c r="U3" s="278" t="s">
        <v>208</v>
      </c>
      <c r="V3" s="278" t="s">
        <v>209</v>
      </c>
      <c r="W3" s="278" t="s">
        <v>210</v>
      </c>
      <c r="X3" s="281" t="s">
        <v>211</v>
      </c>
      <c r="Y3" s="278" t="s">
        <v>212</v>
      </c>
      <c r="Z3" s="278" t="s">
        <v>213</v>
      </c>
      <c r="AA3" s="278" t="s">
        <v>214</v>
      </c>
      <c r="AB3" s="278" t="s">
        <v>215</v>
      </c>
      <c r="AC3" s="278" t="s">
        <v>216</v>
      </c>
      <c r="AD3" s="278" t="s">
        <v>217</v>
      </c>
      <c r="AE3" s="278" t="s">
        <v>218</v>
      </c>
      <c r="AF3" s="282" t="s">
        <v>219</v>
      </c>
      <c r="AG3" s="282" t="s">
        <v>220</v>
      </c>
      <c r="AH3" s="283" t="s">
        <v>221</v>
      </c>
    </row>
    <row r="4" spans="1:34" ht="15" customHeight="1" x14ac:dyDescent="0.25">
      <c r="A4" s="295">
        <v>1</v>
      </c>
      <c r="B4" s="284" t="s">
        <v>174</v>
      </c>
      <c r="C4" s="284" t="s">
        <v>174</v>
      </c>
      <c r="D4" s="53" t="s">
        <v>175</v>
      </c>
      <c r="E4" s="53" t="s">
        <v>176</v>
      </c>
      <c r="F4" s="53" t="str">
        <f>CONCATENATE($C$2,"-",B4,"-",D4)</f>
        <v>Mozambique-EN1 Highway Construction-Namialo - Rio Lurio</v>
      </c>
      <c r="G4" s="53">
        <v>21020</v>
      </c>
      <c r="H4" s="53" t="s">
        <v>177</v>
      </c>
      <c r="I4" s="53" t="s">
        <v>178</v>
      </c>
      <c r="J4" s="268">
        <v>17750000</v>
      </c>
      <c r="K4" s="53">
        <v>74</v>
      </c>
      <c r="L4" s="268">
        <f t="shared" ref="L4:L9" si="0">J4/K4</f>
        <v>239864.86486486485</v>
      </c>
      <c r="M4" s="269">
        <v>2</v>
      </c>
      <c r="N4" s="269">
        <v>622</v>
      </c>
      <c r="O4" s="269" t="s">
        <v>179</v>
      </c>
      <c r="P4" s="269" t="s">
        <v>180</v>
      </c>
      <c r="Q4" s="269">
        <v>10</v>
      </c>
      <c r="R4" s="53">
        <v>457</v>
      </c>
      <c r="S4" s="53"/>
      <c r="T4" s="53"/>
      <c r="U4" s="53"/>
      <c r="V4" s="53"/>
      <c r="W4" s="53"/>
      <c r="X4" s="53"/>
      <c r="Y4" s="53"/>
      <c r="Z4" s="53"/>
      <c r="AA4" s="53"/>
      <c r="AB4" s="53"/>
      <c r="AC4" s="53"/>
      <c r="AD4" s="53"/>
      <c r="AE4" s="53"/>
      <c r="AF4" s="53"/>
      <c r="AG4" s="53"/>
      <c r="AH4" s="276"/>
    </row>
    <row r="5" spans="1:34" ht="15" customHeight="1" x14ac:dyDescent="0.25">
      <c r="A5" s="296"/>
      <c r="B5" s="53" t="s">
        <v>174</v>
      </c>
      <c r="C5" s="53" t="s">
        <v>174</v>
      </c>
      <c r="D5" s="53" t="s">
        <v>175</v>
      </c>
      <c r="E5" s="53" t="s">
        <v>181</v>
      </c>
      <c r="F5" s="53" t="str">
        <f t="shared" ref="F5:F22" si="1">CONCATENATE($C$2,"-",B5,"-",D5)</f>
        <v>Mozambique-EN1 Highway Construction-Namialo - Rio Lurio</v>
      </c>
      <c r="G5" s="53">
        <v>21020</v>
      </c>
      <c r="H5" s="53" t="s">
        <v>177</v>
      </c>
      <c r="I5" s="53" t="s">
        <v>178</v>
      </c>
      <c r="J5" s="268">
        <v>18750000</v>
      </c>
      <c r="K5" s="53">
        <v>74</v>
      </c>
      <c r="L5" s="268">
        <f t="shared" si="0"/>
        <v>253378.37837837837</v>
      </c>
      <c r="M5" s="269">
        <v>2</v>
      </c>
      <c r="N5" s="269">
        <v>622</v>
      </c>
      <c r="O5" s="269" t="s">
        <v>179</v>
      </c>
      <c r="P5" s="269" t="s">
        <v>180</v>
      </c>
      <c r="Q5" s="269">
        <v>10</v>
      </c>
      <c r="R5" s="53">
        <v>471</v>
      </c>
      <c r="S5" s="53"/>
      <c r="T5" s="53"/>
      <c r="U5" s="53"/>
      <c r="V5" s="53"/>
      <c r="W5" s="53"/>
      <c r="X5" s="53"/>
      <c r="Y5" s="53"/>
      <c r="Z5" s="53"/>
      <c r="AA5" s="53"/>
      <c r="AB5" s="53"/>
      <c r="AC5" s="53"/>
      <c r="AD5" s="53"/>
      <c r="AE5" s="53"/>
      <c r="AF5" s="53"/>
      <c r="AG5" s="53"/>
      <c r="AH5" s="276"/>
    </row>
    <row r="6" spans="1:34" ht="15" customHeight="1" x14ac:dyDescent="0.25">
      <c r="A6" s="296">
        <v>2</v>
      </c>
      <c r="B6" s="53" t="s">
        <v>174</v>
      </c>
      <c r="C6" s="53" t="s">
        <v>174</v>
      </c>
      <c r="D6" s="53" t="s">
        <v>175</v>
      </c>
      <c r="E6" s="53" t="s">
        <v>176</v>
      </c>
      <c r="F6" s="53" t="str">
        <f t="shared" si="1"/>
        <v>Mozambique-EN1 Highway Construction-Namialo - Rio Lurio</v>
      </c>
      <c r="G6" s="53">
        <v>21020</v>
      </c>
      <c r="H6" s="53" t="s">
        <v>177</v>
      </c>
      <c r="I6" s="53" t="s">
        <v>182</v>
      </c>
      <c r="J6" s="268">
        <v>36500000</v>
      </c>
      <c r="K6" s="53">
        <v>74</v>
      </c>
      <c r="L6" s="268">
        <f t="shared" si="0"/>
        <v>493243.24324324325</v>
      </c>
      <c r="M6" s="269"/>
      <c r="N6" s="269"/>
      <c r="O6" s="269"/>
      <c r="P6" s="269"/>
      <c r="Q6" s="269"/>
      <c r="R6" s="53"/>
      <c r="S6" s="53"/>
      <c r="T6" s="53"/>
      <c r="U6" s="53"/>
      <c r="V6" s="53"/>
      <c r="W6" s="53"/>
      <c r="X6" s="53"/>
      <c r="Y6" s="53"/>
      <c r="Z6" s="53"/>
      <c r="AA6" s="53"/>
      <c r="AB6" s="53"/>
      <c r="AC6" s="53"/>
      <c r="AD6" s="53"/>
      <c r="AE6" s="53"/>
      <c r="AF6" s="53"/>
      <c r="AG6" s="53"/>
      <c r="AH6" s="276"/>
    </row>
    <row r="7" spans="1:34" ht="15" customHeight="1" x14ac:dyDescent="0.25">
      <c r="A7" s="296"/>
      <c r="B7" s="53" t="s">
        <v>174</v>
      </c>
      <c r="C7" s="53" t="s">
        <v>174</v>
      </c>
      <c r="D7" s="53" t="s">
        <v>175</v>
      </c>
      <c r="E7" s="53" t="s">
        <v>181</v>
      </c>
      <c r="F7" s="53" t="str">
        <f t="shared" si="1"/>
        <v>Mozambique-EN1 Highway Construction-Namialo - Rio Lurio</v>
      </c>
      <c r="G7" s="53">
        <v>21020</v>
      </c>
      <c r="H7" s="53" t="s">
        <v>177</v>
      </c>
      <c r="I7" s="53" t="s">
        <v>182</v>
      </c>
      <c r="J7" s="268">
        <v>36500000</v>
      </c>
      <c r="K7" s="53">
        <v>74</v>
      </c>
      <c r="L7" s="268">
        <f t="shared" si="0"/>
        <v>493243.24324324325</v>
      </c>
      <c r="M7" s="269"/>
      <c r="N7" s="269"/>
      <c r="O7" s="269"/>
      <c r="P7" s="269"/>
      <c r="Q7" s="269"/>
      <c r="R7" s="53"/>
      <c r="S7" s="53"/>
      <c r="T7" s="53"/>
      <c r="U7" s="53"/>
      <c r="V7" s="53"/>
      <c r="W7" s="53"/>
      <c r="X7" s="53"/>
      <c r="Y7" s="53"/>
      <c r="Z7" s="53"/>
      <c r="AA7" s="53"/>
      <c r="AB7" s="53"/>
      <c r="AC7" s="53"/>
      <c r="AD7" s="53"/>
      <c r="AE7" s="53"/>
      <c r="AF7" s="53"/>
      <c r="AG7" s="53"/>
      <c r="AH7" s="276"/>
    </row>
    <row r="8" spans="1:34" ht="15" customHeight="1" x14ac:dyDescent="0.25">
      <c r="A8" s="296"/>
      <c r="B8" s="53" t="s">
        <v>174</v>
      </c>
      <c r="C8" s="53" t="s">
        <v>174</v>
      </c>
      <c r="D8" s="53" t="s">
        <v>175</v>
      </c>
      <c r="E8" s="53" t="s">
        <v>176</v>
      </c>
      <c r="F8" s="53" t="str">
        <f t="shared" si="1"/>
        <v>Mozambique-EN1 Highway Construction-Namialo - Rio Lurio</v>
      </c>
      <c r="G8" s="53">
        <v>21020</v>
      </c>
      <c r="H8" s="53" t="s">
        <v>177</v>
      </c>
      <c r="I8" s="53" t="s">
        <v>183</v>
      </c>
      <c r="J8" s="268">
        <v>44152300.350000001</v>
      </c>
      <c r="K8" s="53">
        <v>74</v>
      </c>
      <c r="L8" s="268">
        <f t="shared" si="0"/>
        <v>596652.70743243245</v>
      </c>
      <c r="M8" s="269"/>
      <c r="N8" s="269"/>
      <c r="O8" s="269"/>
      <c r="P8" s="269"/>
      <c r="Q8" s="269"/>
      <c r="R8" s="53"/>
      <c r="S8" s="53"/>
      <c r="T8" s="53"/>
      <c r="U8" s="53"/>
      <c r="V8" s="53"/>
      <c r="W8" s="53">
        <v>4</v>
      </c>
      <c r="X8" s="57">
        <v>0</v>
      </c>
      <c r="Y8" s="53"/>
      <c r="Z8" s="53"/>
      <c r="AA8" s="53">
        <v>1.1200000000000001</v>
      </c>
      <c r="AB8" s="270">
        <v>829175652</v>
      </c>
      <c r="AC8" s="53">
        <v>0.6</v>
      </c>
      <c r="AD8" s="53"/>
      <c r="AE8" s="53"/>
      <c r="AF8" s="53"/>
      <c r="AG8" s="53"/>
      <c r="AH8" s="276"/>
    </row>
    <row r="9" spans="1:34" ht="15" customHeight="1" x14ac:dyDescent="0.25">
      <c r="A9" s="296"/>
      <c r="B9" s="53" t="s">
        <v>174</v>
      </c>
      <c r="C9" s="53" t="s">
        <v>174</v>
      </c>
      <c r="D9" s="53" t="s">
        <v>175</v>
      </c>
      <c r="E9" s="53" t="s">
        <v>181</v>
      </c>
      <c r="F9" s="53" t="str">
        <f t="shared" si="1"/>
        <v>Mozambique-EN1 Highway Construction-Namialo - Rio Lurio</v>
      </c>
      <c r="G9" s="53">
        <v>21020</v>
      </c>
      <c r="H9" s="53" t="s">
        <v>177</v>
      </c>
      <c r="I9" s="53" t="s">
        <v>183</v>
      </c>
      <c r="J9" s="268">
        <v>46286933.200000003</v>
      </c>
      <c r="K9" s="53">
        <v>74</v>
      </c>
      <c r="L9" s="268">
        <f t="shared" si="0"/>
        <v>625499.09729729732</v>
      </c>
      <c r="M9" s="269"/>
      <c r="N9" s="269"/>
      <c r="O9" s="269"/>
      <c r="P9" s="269"/>
      <c r="Q9" s="269"/>
      <c r="R9" s="53"/>
      <c r="S9" s="53"/>
      <c r="T9" s="53"/>
      <c r="U9" s="53"/>
      <c r="V9" s="53"/>
      <c r="W9" s="53">
        <v>4</v>
      </c>
      <c r="X9" s="57">
        <v>-7.0000000000000007E-2</v>
      </c>
      <c r="Y9" s="53"/>
      <c r="Z9" s="53"/>
      <c r="AA9" s="53">
        <v>1.24</v>
      </c>
      <c r="AB9" s="270">
        <v>381283138.80000001</v>
      </c>
      <c r="AC9" s="53">
        <v>1.2</v>
      </c>
      <c r="AD9" s="53"/>
      <c r="AE9" s="53"/>
      <c r="AF9" s="53"/>
      <c r="AG9" s="53"/>
      <c r="AH9" s="276"/>
    </row>
    <row r="10" spans="1:34" ht="15" customHeight="1" x14ac:dyDescent="0.25">
      <c r="A10" s="296">
        <v>3</v>
      </c>
      <c r="B10" s="53" t="s">
        <v>174</v>
      </c>
      <c r="C10" s="53" t="s">
        <v>174</v>
      </c>
      <c r="D10" s="53" t="s">
        <v>175</v>
      </c>
      <c r="E10" s="53" t="s">
        <v>176</v>
      </c>
      <c r="F10" s="53" t="str">
        <f t="shared" si="1"/>
        <v>Mozambique-EN1 Highway Construction-Namialo - Rio Lurio</v>
      </c>
      <c r="G10" s="53">
        <v>21020</v>
      </c>
      <c r="H10" s="53" t="s">
        <v>177</v>
      </c>
      <c r="I10" s="53" t="s">
        <v>184</v>
      </c>
      <c r="J10" s="268">
        <v>35378351</v>
      </c>
      <c r="K10" s="53">
        <v>74</v>
      </c>
      <c r="L10" s="268"/>
      <c r="M10" s="269"/>
      <c r="N10" s="269"/>
      <c r="O10" s="269"/>
      <c r="P10" s="269"/>
      <c r="Q10" s="269">
        <v>3.5</v>
      </c>
      <c r="R10" s="53"/>
      <c r="S10" s="53"/>
      <c r="T10" s="53"/>
      <c r="U10" s="53"/>
      <c r="V10" s="53"/>
      <c r="W10" s="53"/>
      <c r="X10" s="57"/>
      <c r="Y10" s="53"/>
      <c r="Z10" s="53"/>
      <c r="AA10" s="53"/>
      <c r="AB10" s="270"/>
      <c r="AC10" s="53"/>
      <c r="AD10" s="53"/>
      <c r="AE10" s="53"/>
      <c r="AF10" s="53"/>
      <c r="AG10" s="53"/>
      <c r="AH10" s="276"/>
    </row>
    <row r="11" spans="1:34" ht="15" customHeight="1" x14ac:dyDescent="0.25">
      <c r="A11" s="296"/>
      <c r="B11" s="53" t="s">
        <v>174</v>
      </c>
      <c r="C11" s="53" t="s">
        <v>174</v>
      </c>
      <c r="D11" s="53" t="s">
        <v>175</v>
      </c>
      <c r="E11" s="53" t="s">
        <v>181</v>
      </c>
      <c r="F11" s="53" t="str">
        <f t="shared" si="1"/>
        <v>Mozambique-EN1 Highway Construction-Namialo - Rio Lurio</v>
      </c>
      <c r="G11" s="53">
        <v>21020</v>
      </c>
      <c r="H11" s="53" t="s">
        <v>177</v>
      </c>
      <c r="I11" s="53" t="s">
        <v>184</v>
      </c>
      <c r="J11" s="268">
        <v>42766004</v>
      </c>
      <c r="K11" s="53">
        <v>74</v>
      </c>
      <c r="L11" s="268"/>
      <c r="M11" s="269"/>
      <c r="N11" s="269"/>
      <c r="O11" s="269"/>
      <c r="P11" s="269"/>
      <c r="Q11" s="269">
        <v>3.5</v>
      </c>
      <c r="R11" s="53"/>
      <c r="S11" s="53"/>
      <c r="T11" s="53"/>
      <c r="U11" s="53"/>
      <c r="V11" s="53"/>
      <c r="W11" s="53"/>
      <c r="X11" s="57"/>
      <c r="Y11" s="53"/>
      <c r="Z11" s="53"/>
      <c r="AA11" s="53"/>
      <c r="AB11" s="270"/>
      <c r="AC11" s="53"/>
      <c r="AD11" s="53"/>
      <c r="AE11" s="53"/>
      <c r="AF11" s="53"/>
      <c r="AG11" s="53"/>
      <c r="AH11" s="276"/>
    </row>
    <row r="12" spans="1:34" ht="15" customHeight="1" x14ac:dyDescent="0.25">
      <c r="A12" s="296"/>
      <c r="B12" s="53" t="s">
        <v>174</v>
      </c>
      <c r="C12" s="53" t="s">
        <v>174</v>
      </c>
      <c r="D12" s="53" t="s">
        <v>185</v>
      </c>
      <c r="E12" s="53" t="s">
        <v>185</v>
      </c>
      <c r="F12" s="53" t="str">
        <f t="shared" si="1"/>
        <v>Mozambique-EN1 Highway Construction-Nicoadala - Chimuara</v>
      </c>
      <c r="G12" s="53">
        <v>21020</v>
      </c>
      <c r="H12" s="53" t="s">
        <v>177</v>
      </c>
      <c r="I12" s="53" t="s">
        <v>178</v>
      </c>
      <c r="J12" s="268">
        <v>55000000</v>
      </c>
      <c r="K12" s="53">
        <v>167</v>
      </c>
      <c r="L12" s="268">
        <f>J12/K12</f>
        <v>329341.31736526947</v>
      </c>
      <c r="M12" s="269"/>
      <c r="N12" s="269"/>
      <c r="O12" s="269"/>
      <c r="P12" s="269"/>
      <c r="Q12" s="269"/>
      <c r="R12" s="53">
        <v>569</v>
      </c>
      <c r="S12" s="53"/>
      <c r="T12" s="53"/>
      <c r="U12" s="53"/>
      <c r="V12" s="53"/>
      <c r="W12" s="53"/>
      <c r="X12" s="53"/>
      <c r="Y12" s="53"/>
      <c r="Z12" s="53"/>
      <c r="AA12" s="53"/>
      <c r="AB12" s="53"/>
      <c r="AC12" s="53"/>
      <c r="AD12" s="53"/>
      <c r="AE12" s="53"/>
      <c r="AF12" s="53"/>
      <c r="AG12" s="53"/>
      <c r="AH12" s="276"/>
    </row>
    <row r="13" spans="1:34" ht="15" customHeight="1" x14ac:dyDescent="0.25">
      <c r="A13" s="296"/>
      <c r="B13" s="53" t="s">
        <v>174</v>
      </c>
      <c r="C13" s="53" t="s">
        <v>174</v>
      </c>
      <c r="D13" s="53" t="s">
        <v>185</v>
      </c>
      <c r="E13" s="53" t="s">
        <v>185</v>
      </c>
      <c r="F13" s="53" t="str">
        <f t="shared" si="1"/>
        <v>Mozambique-EN1 Highway Construction-Nicoadala - Chimuara</v>
      </c>
      <c r="G13" s="53">
        <v>21020</v>
      </c>
      <c r="H13" s="53" t="s">
        <v>177</v>
      </c>
      <c r="I13" s="53" t="s">
        <v>182</v>
      </c>
      <c r="J13" s="268">
        <v>74000000</v>
      </c>
      <c r="K13" s="53">
        <v>167</v>
      </c>
      <c r="L13" s="268">
        <f>J13/K13</f>
        <v>443113.77245508984</v>
      </c>
      <c r="M13" s="269"/>
      <c r="N13" s="269"/>
      <c r="O13" s="269"/>
      <c r="P13" s="269"/>
      <c r="Q13" s="269"/>
      <c r="R13" s="53"/>
      <c r="S13" s="53"/>
      <c r="T13" s="53"/>
      <c r="U13" s="53"/>
      <c r="V13" s="53"/>
      <c r="W13" s="53"/>
      <c r="X13" s="53"/>
      <c r="Y13" s="53"/>
      <c r="Z13" s="53"/>
      <c r="AA13" s="53"/>
      <c r="AB13" s="53"/>
      <c r="AC13" s="53"/>
      <c r="AD13" s="53"/>
      <c r="AE13" s="53"/>
      <c r="AF13" s="53"/>
      <c r="AG13" s="53"/>
      <c r="AH13" s="276"/>
    </row>
    <row r="14" spans="1:34" ht="15" customHeight="1" x14ac:dyDescent="0.25">
      <c r="A14" s="296"/>
      <c r="B14" s="53" t="s">
        <v>174</v>
      </c>
      <c r="C14" s="53" t="s">
        <v>174</v>
      </c>
      <c r="D14" s="53" t="s">
        <v>186</v>
      </c>
      <c r="E14" s="53" t="s">
        <v>186</v>
      </c>
      <c r="F14" s="53" t="str">
        <f t="shared" si="1"/>
        <v>Mozambique-EN1 Highway Construction-Rio Ligonha - Nampula</v>
      </c>
      <c r="G14" s="53">
        <v>21020</v>
      </c>
      <c r="H14" s="53" t="s">
        <v>177</v>
      </c>
      <c r="I14" s="53" t="s">
        <v>178</v>
      </c>
      <c r="J14" s="268">
        <v>29775000</v>
      </c>
      <c r="K14" s="53">
        <v>102</v>
      </c>
      <c r="L14" s="268">
        <f>J14/K14</f>
        <v>291911.76470588235</v>
      </c>
      <c r="M14" s="269">
        <v>2</v>
      </c>
      <c r="N14" s="269">
        <v>4598</v>
      </c>
      <c r="O14" s="269" t="s">
        <v>179</v>
      </c>
      <c r="P14" s="269" t="s">
        <v>180</v>
      </c>
      <c r="Q14" s="269">
        <v>10</v>
      </c>
      <c r="R14" s="53">
        <v>608</v>
      </c>
      <c r="S14" s="53"/>
      <c r="T14" s="53"/>
      <c r="U14" s="53"/>
      <c r="V14" s="53"/>
      <c r="W14" s="53"/>
      <c r="X14" s="53"/>
      <c r="Y14" s="53"/>
      <c r="Z14" s="53"/>
      <c r="AA14" s="53"/>
      <c r="AB14" s="53"/>
      <c r="AC14" s="53"/>
      <c r="AD14" s="53"/>
      <c r="AE14" s="53"/>
      <c r="AF14" s="53"/>
      <c r="AG14" s="53"/>
      <c r="AH14" s="276"/>
    </row>
    <row r="15" spans="1:34" ht="15" customHeight="1" x14ac:dyDescent="0.25">
      <c r="A15" s="296"/>
      <c r="B15" s="53" t="s">
        <v>174</v>
      </c>
      <c r="C15" s="53" t="s">
        <v>174</v>
      </c>
      <c r="D15" s="53" t="s">
        <v>186</v>
      </c>
      <c r="E15" s="53" t="s">
        <v>186</v>
      </c>
      <c r="F15" s="53" t="str">
        <f t="shared" si="1"/>
        <v>Mozambique-EN1 Highway Construction-Rio Ligonha - Nampula</v>
      </c>
      <c r="G15" s="53">
        <v>21020</v>
      </c>
      <c r="H15" s="53" t="s">
        <v>177</v>
      </c>
      <c r="I15" s="53" t="s">
        <v>182</v>
      </c>
      <c r="J15" s="268">
        <v>50000000</v>
      </c>
      <c r="K15" s="53">
        <v>102</v>
      </c>
      <c r="L15" s="268">
        <f>J15/K15</f>
        <v>490196.07843137253</v>
      </c>
      <c r="M15" s="269"/>
      <c r="N15" s="269"/>
      <c r="O15" s="269"/>
      <c r="P15" s="269"/>
      <c r="Q15" s="269"/>
      <c r="R15" s="53"/>
      <c r="S15" s="53"/>
      <c r="T15" s="53"/>
      <c r="U15" s="53"/>
      <c r="V15" s="53"/>
      <c r="W15" s="53"/>
      <c r="X15" s="53"/>
      <c r="Y15" s="53"/>
      <c r="Z15" s="53"/>
      <c r="AA15" s="53"/>
      <c r="AB15" s="53"/>
      <c r="AC15" s="53"/>
      <c r="AD15" s="53"/>
      <c r="AE15" s="53"/>
      <c r="AF15" s="53"/>
      <c r="AG15" s="53"/>
      <c r="AH15" s="276"/>
    </row>
    <row r="16" spans="1:34" ht="15" customHeight="1" x14ac:dyDescent="0.25">
      <c r="A16" s="296"/>
      <c r="B16" s="53" t="s">
        <v>174</v>
      </c>
      <c r="C16" s="53" t="s">
        <v>174</v>
      </c>
      <c r="D16" s="53" t="s">
        <v>186</v>
      </c>
      <c r="E16" s="53" t="s">
        <v>186</v>
      </c>
      <c r="F16" s="53" t="str">
        <f t="shared" si="1"/>
        <v>Mozambique-EN1 Highway Construction-Rio Ligonha - Nampula</v>
      </c>
      <c r="G16" s="53">
        <v>21020</v>
      </c>
      <c r="H16" s="53" t="s">
        <v>177</v>
      </c>
      <c r="I16" s="53" t="s">
        <v>183</v>
      </c>
      <c r="J16" s="268">
        <v>40135444.5</v>
      </c>
      <c r="K16" s="53">
        <v>102</v>
      </c>
      <c r="L16" s="268">
        <f>J16/K16</f>
        <v>393484.75</v>
      </c>
      <c r="M16" s="269"/>
      <c r="N16" s="269"/>
      <c r="O16" s="269"/>
      <c r="P16" s="269"/>
      <c r="Q16" s="269"/>
      <c r="R16" s="53"/>
      <c r="S16" s="53"/>
      <c r="T16" s="53"/>
      <c r="U16" s="53"/>
      <c r="V16" s="53"/>
      <c r="W16" s="53">
        <v>6</v>
      </c>
      <c r="X16" s="57">
        <v>-0.1</v>
      </c>
      <c r="Y16" s="53"/>
      <c r="Z16" s="53"/>
      <c r="AA16" s="53" t="s">
        <v>102</v>
      </c>
      <c r="AB16" s="53" t="s">
        <v>102</v>
      </c>
      <c r="AC16" s="53" t="s">
        <v>102</v>
      </c>
      <c r="AD16" s="53"/>
      <c r="AE16" s="53"/>
      <c r="AF16" s="53"/>
      <c r="AG16" s="53"/>
      <c r="AH16" s="276"/>
    </row>
    <row r="17" spans="1:34" ht="15" customHeight="1" x14ac:dyDescent="0.25">
      <c r="A17" s="296"/>
      <c r="B17" s="53" t="s">
        <v>174</v>
      </c>
      <c r="C17" s="53" t="s">
        <v>174</v>
      </c>
      <c r="D17" s="53" t="s">
        <v>186</v>
      </c>
      <c r="E17" s="53" t="s">
        <v>186</v>
      </c>
      <c r="F17" s="53" t="str">
        <f t="shared" si="1"/>
        <v>Mozambique-EN1 Highway Construction-Rio Ligonha - Nampula</v>
      </c>
      <c r="G17" s="53">
        <v>21020</v>
      </c>
      <c r="H17" s="53" t="s">
        <v>177</v>
      </c>
      <c r="I17" s="53" t="s">
        <v>184</v>
      </c>
      <c r="J17" s="268">
        <v>38460058</v>
      </c>
      <c r="K17" s="53"/>
      <c r="L17" s="268"/>
      <c r="M17" s="269"/>
      <c r="N17" s="269"/>
      <c r="O17" s="269"/>
      <c r="P17" s="269"/>
      <c r="Q17" s="269">
        <v>3.5</v>
      </c>
      <c r="R17" s="53"/>
      <c r="S17" s="53"/>
      <c r="T17" s="53"/>
      <c r="U17" s="53"/>
      <c r="V17" s="53"/>
      <c r="W17" s="53"/>
      <c r="X17" s="57"/>
      <c r="Y17" s="53"/>
      <c r="Z17" s="53"/>
      <c r="AA17" s="53"/>
      <c r="AB17" s="53"/>
      <c r="AC17" s="53"/>
      <c r="AD17" s="53"/>
      <c r="AE17" s="53"/>
      <c r="AF17" s="53"/>
      <c r="AG17" s="53"/>
      <c r="AH17" s="276"/>
    </row>
    <row r="18" spans="1:34" ht="15" customHeight="1" x14ac:dyDescent="0.25">
      <c r="A18" s="296"/>
      <c r="B18" s="53" t="s">
        <v>174</v>
      </c>
      <c r="C18" s="53" t="s">
        <v>174</v>
      </c>
      <c r="D18" s="53" t="s">
        <v>187</v>
      </c>
      <c r="E18" s="53" t="s">
        <v>187</v>
      </c>
      <c r="F18" s="53" t="str">
        <f t="shared" si="1"/>
        <v>Mozambique-EN1 Highway Construction-Rio Lurio - Metoro</v>
      </c>
      <c r="G18" s="53">
        <v>21020</v>
      </c>
      <c r="H18" s="53" t="s">
        <v>177</v>
      </c>
      <c r="I18" s="53" t="s">
        <v>178</v>
      </c>
      <c r="J18" s="268">
        <v>15900000</v>
      </c>
      <c r="K18" s="53">
        <v>74</v>
      </c>
      <c r="L18" s="268">
        <f>J18/K18</f>
        <v>214864.86486486485</v>
      </c>
      <c r="M18" s="269"/>
      <c r="N18" s="269"/>
      <c r="O18" s="269"/>
      <c r="P18" s="269"/>
      <c r="Q18" s="269"/>
      <c r="R18" s="53">
        <v>471</v>
      </c>
      <c r="S18" s="53"/>
      <c r="T18" s="53"/>
      <c r="U18" s="53"/>
      <c r="V18" s="53"/>
      <c r="W18" s="53"/>
      <c r="X18" s="53"/>
      <c r="Y18" s="53"/>
      <c r="Z18" s="53"/>
      <c r="AA18" s="53"/>
      <c r="AB18" s="53"/>
      <c r="AC18" s="53"/>
      <c r="AD18" s="53"/>
      <c r="AE18" s="53"/>
      <c r="AF18" s="53"/>
      <c r="AG18" s="53"/>
      <c r="AH18" s="276"/>
    </row>
    <row r="19" spans="1:34" ht="15" customHeight="1" x14ac:dyDescent="0.25">
      <c r="A19" s="296"/>
      <c r="B19" s="53" t="s">
        <v>174</v>
      </c>
      <c r="C19" s="53" t="s">
        <v>174</v>
      </c>
      <c r="D19" s="53" t="s">
        <v>187</v>
      </c>
      <c r="E19" s="53" t="s">
        <v>187</v>
      </c>
      <c r="F19" s="53" t="str">
        <f t="shared" si="1"/>
        <v>Mozambique-EN1 Highway Construction-Rio Lurio - Metoro</v>
      </c>
      <c r="G19" s="53">
        <v>21020</v>
      </c>
      <c r="H19" s="53" t="s">
        <v>177</v>
      </c>
      <c r="I19" s="53" t="s">
        <v>182</v>
      </c>
      <c r="J19" s="268">
        <v>43000000</v>
      </c>
      <c r="K19" s="53">
        <v>74</v>
      </c>
      <c r="L19" s="268">
        <f>J19/K19</f>
        <v>581081.08108108107</v>
      </c>
      <c r="M19" s="269"/>
      <c r="N19" s="269"/>
      <c r="O19" s="269"/>
      <c r="P19" s="269"/>
      <c r="Q19" s="269"/>
      <c r="R19" s="53"/>
      <c r="S19" s="53"/>
      <c r="T19" s="53"/>
      <c r="U19" s="53"/>
      <c r="V19" s="53"/>
      <c r="W19" s="53"/>
      <c r="X19" s="53"/>
      <c r="Y19" s="53"/>
      <c r="Z19" s="53"/>
      <c r="AA19" s="53"/>
      <c r="AB19" s="53"/>
      <c r="AC19" s="53"/>
      <c r="AD19" s="53"/>
      <c r="AE19" s="53"/>
      <c r="AF19" s="53"/>
      <c r="AG19" s="53"/>
      <c r="AH19" s="276"/>
    </row>
    <row r="20" spans="1:34" x14ac:dyDescent="0.25">
      <c r="A20" s="296">
        <v>4</v>
      </c>
      <c r="B20" s="53" t="s">
        <v>174</v>
      </c>
      <c r="C20" s="53" t="s">
        <v>174</v>
      </c>
      <c r="D20" s="53" t="s">
        <v>175</v>
      </c>
      <c r="E20" s="53" t="s">
        <v>176</v>
      </c>
      <c r="F20" s="53" t="str">
        <f t="shared" si="1"/>
        <v>Mozambique-EN1 Highway Construction-Namialo - Rio Lurio</v>
      </c>
      <c r="G20" s="53">
        <v>21020</v>
      </c>
      <c r="H20" s="53" t="s">
        <v>177</v>
      </c>
      <c r="I20" s="53" t="s">
        <v>188</v>
      </c>
      <c r="J20" s="268">
        <v>917942</v>
      </c>
      <c r="K20" s="53">
        <v>74</v>
      </c>
      <c r="L20" s="53"/>
      <c r="M20" s="271"/>
      <c r="N20" s="271"/>
      <c r="O20" s="271"/>
      <c r="P20" s="271"/>
      <c r="Q20" s="271"/>
      <c r="R20" s="53"/>
      <c r="S20" s="53"/>
      <c r="T20" s="53"/>
      <c r="U20" s="53"/>
      <c r="V20" s="53"/>
      <c r="W20" s="53"/>
      <c r="X20" s="57"/>
      <c r="Y20" s="53"/>
      <c r="Z20" s="53"/>
      <c r="AA20" s="53"/>
      <c r="AB20" s="53"/>
      <c r="AC20" s="53"/>
      <c r="AD20" s="53"/>
      <c r="AE20" s="53"/>
      <c r="AF20" s="53"/>
      <c r="AG20" s="53"/>
      <c r="AH20" s="276"/>
    </row>
    <row r="21" spans="1:34" x14ac:dyDescent="0.25">
      <c r="A21" s="296">
        <v>4</v>
      </c>
      <c r="B21" s="53" t="s">
        <v>174</v>
      </c>
      <c r="C21" s="53" t="s">
        <v>174</v>
      </c>
      <c r="D21" s="53" t="s">
        <v>175</v>
      </c>
      <c r="E21" s="53" t="s">
        <v>181</v>
      </c>
      <c r="F21" s="53" t="str">
        <f t="shared" si="1"/>
        <v>Mozambique-EN1 Highway Construction-Namialo - Rio Lurio</v>
      </c>
      <c r="G21" s="53">
        <v>21020</v>
      </c>
      <c r="H21" s="53" t="s">
        <v>177</v>
      </c>
      <c r="I21" s="53" t="s">
        <v>188</v>
      </c>
      <c r="J21" s="268">
        <v>4623883</v>
      </c>
      <c r="K21" s="53">
        <v>74</v>
      </c>
      <c r="L21" s="53"/>
      <c r="M21" s="271"/>
      <c r="N21" s="271"/>
      <c r="O21" s="271"/>
      <c r="P21" s="271"/>
      <c r="Q21" s="271"/>
      <c r="R21" s="53"/>
      <c r="S21" s="53"/>
      <c r="T21" s="53"/>
      <c r="U21" s="53"/>
      <c r="V21" s="53"/>
      <c r="W21" s="53"/>
      <c r="X21" s="57"/>
      <c r="Y21" s="53"/>
      <c r="Z21" s="53"/>
      <c r="AA21" s="53"/>
      <c r="AB21" s="53"/>
      <c r="AC21" s="53"/>
      <c r="AD21" s="53"/>
      <c r="AE21" s="53"/>
      <c r="AF21" s="53"/>
      <c r="AG21" s="53"/>
      <c r="AH21" s="276"/>
    </row>
    <row r="22" spans="1:34" x14ac:dyDescent="0.25">
      <c r="A22" s="297">
        <v>4</v>
      </c>
      <c r="B22" s="272" t="s">
        <v>174</v>
      </c>
      <c r="C22" s="272" t="s">
        <v>174</v>
      </c>
      <c r="D22" s="272" t="s">
        <v>186</v>
      </c>
      <c r="E22" s="272" t="s">
        <v>186</v>
      </c>
      <c r="F22" s="272" t="str">
        <f t="shared" si="1"/>
        <v>Mozambique-EN1 Highway Construction-Rio Ligonha - Nampula</v>
      </c>
      <c r="G22" s="272">
        <v>21020</v>
      </c>
      <c r="H22" s="272" t="s">
        <v>177</v>
      </c>
      <c r="I22" s="272" t="s">
        <v>188</v>
      </c>
      <c r="J22" s="273">
        <v>1454318</v>
      </c>
      <c r="K22" s="272"/>
      <c r="L22" s="272"/>
      <c r="M22" s="274"/>
      <c r="N22" s="274"/>
      <c r="O22" s="274"/>
      <c r="P22" s="274"/>
      <c r="Q22" s="274"/>
      <c r="R22" s="272"/>
      <c r="S22" s="272"/>
      <c r="T22" s="272"/>
      <c r="U22" s="272"/>
      <c r="V22" s="272"/>
      <c r="W22" s="272"/>
      <c r="X22" s="275"/>
      <c r="Y22" s="272"/>
      <c r="Z22" s="272"/>
      <c r="AA22" s="272"/>
      <c r="AB22" s="272"/>
      <c r="AC22" s="272"/>
      <c r="AD22" s="272"/>
      <c r="AE22" s="272"/>
      <c r="AF22" s="272"/>
      <c r="AG22" s="272"/>
      <c r="AH22" s="277"/>
    </row>
    <row r="23" spans="1:34" x14ac:dyDescent="0.25">
      <c r="A23" s="294"/>
    </row>
    <row r="24" spans="1:34" x14ac:dyDescent="0.25">
      <c r="A24" s="294"/>
    </row>
    <row r="25" spans="1:34" x14ac:dyDescent="0.25">
      <c r="A25" s="294"/>
      <c r="B25" s="54" t="s">
        <v>226</v>
      </c>
      <c r="C25" s="284"/>
      <c r="D25" s="341"/>
    </row>
    <row r="26" spans="1:34" x14ac:dyDescent="0.25">
      <c r="A26" s="294"/>
      <c r="B26" s="55"/>
      <c r="C26" s="53"/>
      <c r="D26" s="276"/>
    </row>
    <row r="27" spans="1:34" x14ac:dyDescent="0.25">
      <c r="A27" s="294"/>
      <c r="B27" s="55" t="s">
        <v>25</v>
      </c>
      <c r="C27" s="53"/>
      <c r="D27" s="276"/>
    </row>
    <row r="28" spans="1:34" x14ac:dyDescent="0.25">
      <c r="A28" s="294"/>
      <c r="B28" s="55" t="s">
        <v>223</v>
      </c>
      <c r="C28" s="342">
        <f>J10+J11</f>
        <v>78144355</v>
      </c>
      <c r="D28" s="276" t="s">
        <v>232</v>
      </c>
    </row>
    <row r="29" spans="1:34" x14ac:dyDescent="0.25">
      <c r="A29" s="294"/>
      <c r="B29" s="55" t="s">
        <v>224</v>
      </c>
      <c r="C29" s="342">
        <f>J20+J21+J22</f>
        <v>6996143</v>
      </c>
      <c r="D29" s="276" t="s">
        <v>232</v>
      </c>
    </row>
    <row r="30" spans="1:34" x14ac:dyDescent="0.25">
      <c r="A30" s="294"/>
      <c r="B30" s="55" t="s">
        <v>248</v>
      </c>
      <c r="C30" s="343">
        <f>C28/(C28+C33)*C37</f>
        <v>7449042.5050805751</v>
      </c>
      <c r="D30" s="276" t="s">
        <v>232</v>
      </c>
    </row>
    <row r="31" spans="1:34" x14ac:dyDescent="0.25">
      <c r="A31" s="294"/>
      <c r="B31" s="55"/>
      <c r="C31" s="53"/>
      <c r="D31" s="276"/>
    </row>
    <row r="32" spans="1:34" x14ac:dyDescent="0.25">
      <c r="A32" s="294"/>
      <c r="B32" s="55" t="s">
        <v>225</v>
      </c>
      <c r="C32" s="53"/>
      <c r="D32" s="276"/>
    </row>
    <row r="33" spans="1:28" x14ac:dyDescent="0.25">
      <c r="A33" s="294"/>
      <c r="B33" s="55" t="s">
        <v>223</v>
      </c>
      <c r="C33" s="342">
        <f>J17</f>
        <v>38460058</v>
      </c>
      <c r="D33" s="276" t="s">
        <v>232</v>
      </c>
    </row>
    <row r="34" spans="1:28" x14ac:dyDescent="0.25">
      <c r="A34" s="294"/>
      <c r="B34" s="55" t="s">
        <v>224</v>
      </c>
      <c r="C34" s="53">
        <f>0</f>
        <v>0</v>
      </c>
      <c r="D34" s="276" t="s">
        <v>232</v>
      </c>
    </row>
    <row r="35" spans="1:28" x14ac:dyDescent="0.25">
      <c r="A35" s="294"/>
      <c r="B35" s="55" t="s">
        <v>248</v>
      </c>
      <c r="C35" s="343">
        <f>C33/(C28+C33)*C37</f>
        <v>3666171.4949194244</v>
      </c>
      <c r="D35" s="276" t="s">
        <v>232</v>
      </c>
    </row>
    <row r="36" spans="1:28" x14ac:dyDescent="0.25">
      <c r="A36" s="294"/>
      <c r="B36" s="55"/>
      <c r="C36" s="53"/>
      <c r="D36" s="276"/>
    </row>
    <row r="37" spans="1:28" x14ac:dyDescent="0.25">
      <c r="A37" s="294"/>
      <c r="B37" s="56" t="s">
        <v>249</v>
      </c>
      <c r="C37" s="344">
        <v>11115214</v>
      </c>
      <c r="D37" s="277" t="s">
        <v>232</v>
      </c>
    </row>
    <row r="38" spans="1:28" x14ac:dyDescent="0.25">
      <c r="A38" s="294"/>
      <c r="C38" s="340"/>
    </row>
    <row r="39" spans="1:28" x14ac:dyDescent="0.25">
      <c r="A39" s="294"/>
      <c r="C39" s="290"/>
    </row>
    <row r="40" spans="1:28" x14ac:dyDescent="0.25">
      <c r="A40" s="294"/>
    </row>
    <row r="41" spans="1:28" x14ac:dyDescent="0.25">
      <c r="A41" s="295"/>
      <c r="B41" s="51" t="s">
        <v>227</v>
      </c>
    </row>
    <row r="42" spans="1:28" s="52" customFormat="1" x14ac:dyDescent="0.25">
      <c r="A42" s="298"/>
      <c r="B42" s="50"/>
      <c r="C42" s="50" t="s">
        <v>228</v>
      </c>
      <c r="D42" s="50">
        <v>2007</v>
      </c>
      <c r="E42" s="50">
        <f>D42+1</f>
        <v>2008</v>
      </c>
      <c r="F42" s="50">
        <f t="shared" ref="F42:I42" si="2">E42+1</f>
        <v>2009</v>
      </c>
      <c r="G42" s="50">
        <f t="shared" si="2"/>
        <v>2010</v>
      </c>
      <c r="H42" s="50">
        <f t="shared" si="2"/>
        <v>2011</v>
      </c>
      <c r="I42" s="50">
        <f t="shared" si="2"/>
        <v>2012</v>
      </c>
      <c r="J42" s="50">
        <f>I42+1</f>
        <v>2013</v>
      </c>
      <c r="K42" s="50">
        <f t="shared" ref="K42:L42" si="3">J42+1</f>
        <v>2014</v>
      </c>
      <c r="L42" s="50">
        <f t="shared" si="3"/>
        <v>2015</v>
      </c>
      <c r="M42" s="50">
        <f>L42+1</f>
        <v>2016</v>
      </c>
      <c r="N42" s="50">
        <f t="shared" ref="N42:AA42" si="4">M42+1</f>
        <v>2017</v>
      </c>
      <c r="O42" s="50">
        <f t="shared" si="4"/>
        <v>2018</v>
      </c>
      <c r="P42" s="50">
        <f t="shared" si="4"/>
        <v>2019</v>
      </c>
      <c r="Q42" s="50">
        <f t="shared" si="4"/>
        <v>2020</v>
      </c>
      <c r="R42" s="50">
        <f t="shared" si="4"/>
        <v>2021</v>
      </c>
      <c r="S42" s="50">
        <f t="shared" si="4"/>
        <v>2022</v>
      </c>
      <c r="T42" s="50">
        <f t="shared" si="4"/>
        <v>2023</v>
      </c>
      <c r="U42" s="50">
        <f t="shared" si="4"/>
        <v>2024</v>
      </c>
      <c r="V42" s="50">
        <f t="shared" si="4"/>
        <v>2025</v>
      </c>
      <c r="W42" s="50">
        <f t="shared" si="4"/>
        <v>2026</v>
      </c>
      <c r="X42" s="50">
        <f t="shared" si="4"/>
        <v>2027</v>
      </c>
      <c r="Y42" s="50">
        <f t="shared" si="4"/>
        <v>2028</v>
      </c>
      <c r="Z42" s="50">
        <f t="shared" si="4"/>
        <v>2029</v>
      </c>
      <c r="AA42" s="51">
        <f t="shared" si="4"/>
        <v>2030</v>
      </c>
      <c r="AB42" s="51">
        <v>2031</v>
      </c>
    </row>
    <row r="43" spans="1:28" s="16" customFormat="1" x14ac:dyDescent="0.25">
      <c r="A43" s="298"/>
      <c r="B43" s="36" t="s">
        <v>25</v>
      </c>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row>
    <row r="44" spans="1:28" s="16" customFormat="1" x14ac:dyDescent="0.25">
      <c r="A44" s="298"/>
      <c r="B44" s="289" t="s">
        <v>239</v>
      </c>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row>
    <row r="45" spans="1:28" x14ac:dyDescent="0.25">
      <c r="A45" s="296">
        <v>5</v>
      </c>
      <c r="B45" t="s">
        <v>230</v>
      </c>
      <c r="C45" t="s">
        <v>231</v>
      </c>
      <c r="D45" s="287">
        <v>0</v>
      </c>
      <c r="E45" s="287">
        <v>0</v>
      </c>
      <c r="F45" s="287">
        <v>0</v>
      </c>
      <c r="G45" s="287">
        <v>0</v>
      </c>
      <c r="H45" s="288">
        <v>0.50164328126712332</v>
      </c>
      <c r="I45" s="287">
        <f>1-H45</f>
        <v>0.49835671873287668</v>
      </c>
      <c r="J45" t="s">
        <v>229</v>
      </c>
    </row>
    <row r="46" spans="1:28" x14ac:dyDescent="0.25">
      <c r="A46" s="296"/>
      <c r="B46" t="s">
        <v>230</v>
      </c>
      <c r="C46" t="s">
        <v>232</v>
      </c>
      <c r="D46" s="290">
        <f>IF(D45="Mozambique Government",$C$29,$C$28*D45)</f>
        <v>0</v>
      </c>
      <c r="E46" s="299">
        <f t="shared" ref="E46:G46" si="5">IF(E45="Mozambique Government",$C$29,$C$28*E45)/1000000</f>
        <v>0</v>
      </c>
      <c r="F46" s="299">
        <f t="shared" si="5"/>
        <v>0</v>
      </c>
      <c r="G46" s="299">
        <f t="shared" si="5"/>
        <v>0</v>
      </c>
      <c r="H46" s="299">
        <f>IF(H45="Mozambique Government",$C$29,($C$28+$C$30)*H45)/1000000</f>
        <v>42.937352779249835</v>
      </c>
      <c r="I46" s="299">
        <f>IF(I45="Mozambique Government",$C$29,($C$28+$C$30)*I45)/1000000</f>
        <v>42.656044725830746</v>
      </c>
      <c r="J46" s="300">
        <f>IF(J45="Mozambique Government",$C$29,$C$28*J45)/1000000+0.0122169130017029</f>
        <v>7.0083599130017031</v>
      </c>
      <c r="K46" s="13">
        <v>4.3095527926355901</v>
      </c>
      <c r="L46" s="13">
        <v>1.0720487747353898E-2</v>
      </c>
      <c r="M46" s="13">
        <v>3.697459928898585</v>
      </c>
      <c r="N46" s="13">
        <v>1.72211001587801</v>
      </c>
      <c r="O46" s="13">
        <v>4.3271417638345619</v>
      </c>
      <c r="P46" s="13">
        <v>7.9604552549148618E-3</v>
      </c>
      <c r="Q46" s="13">
        <v>3.7826918051582226E-3</v>
      </c>
      <c r="R46" s="13">
        <v>4.2593304621487009</v>
      </c>
      <c r="S46" s="13">
        <v>5.4344026791250144</v>
      </c>
      <c r="T46" s="13">
        <v>-7.1811150162170891</v>
      </c>
      <c r="U46" s="13">
        <v>5.9093500482989524E-3</v>
      </c>
      <c r="V46" s="13">
        <v>-8.8777229928723909</v>
      </c>
      <c r="W46" s="13">
        <v>5.9350689508928367</v>
      </c>
      <c r="X46" s="13">
        <v>3.6690672640150201</v>
      </c>
      <c r="Y46" s="13">
        <v>1.3207054460277211E-2</v>
      </c>
      <c r="Z46" s="13">
        <v>1.4221351898950269E-2</v>
      </c>
      <c r="AA46" s="14">
        <v>7.0584920810303995</v>
      </c>
      <c r="AB46" s="8"/>
    </row>
    <row r="47" spans="1:28" x14ac:dyDescent="0.25">
      <c r="A47" s="296"/>
      <c r="J47" s="8"/>
      <c r="K47" s="301"/>
      <c r="L47" s="301"/>
      <c r="M47" s="301"/>
      <c r="N47" s="301"/>
      <c r="O47" s="301"/>
      <c r="P47" s="301"/>
      <c r="Q47" s="301"/>
      <c r="R47" s="301"/>
      <c r="S47" s="301"/>
      <c r="T47" s="301"/>
      <c r="U47" s="301"/>
      <c r="V47" s="301"/>
      <c r="W47" s="301"/>
      <c r="X47" s="301"/>
      <c r="Y47" s="301"/>
      <c r="Z47" s="301"/>
      <c r="AA47" s="301"/>
      <c r="AB47" s="8"/>
    </row>
    <row r="48" spans="1:28" s="16" customFormat="1" x14ac:dyDescent="0.25">
      <c r="A48" s="298"/>
      <c r="B48" s="289" t="s">
        <v>240</v>
      </c>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row>
    <row r="49" spans="1:28" x14ac:dyDescent="0.25">
      <c r="A49" s="296">
        <v>5</v>
      </c>
      <c r="B49" t="s">
        <v>230</v>
      </c>
      <c r="C49" t="s">
        <v>231</v>
      </c>
      <c r="D49" s="287">
        <v>0</v>
      </c>
      <c r="E49" s="287">
        <v>0</v>
      </c>
      <c r="F49" s="287">
        <v>0</v>
      </c>
      <c r="G49" s="287">
        <v>0</v>
      </c>
      <c r="H49" s="288">
        <v>0.50164328126712332</v>
      </c>
      <c r="I49" s="287">
        <f>1-H49</f>
        <v>0.49835671873287668</v>
      </c>
      <c r="J49" s="8" t="s">
        <v>229</v>
      </c>
      <c r="K49" s="8"/>
      <c r="L49" s="8"/>
      <c r="M49" s="8"/>
      <c r="N49" s="8"/>
      <c r="O49" s="8"/>
      <c r="P49" s="8"/>
      <c r="Q49" s="8"/>
      <c r="R49" s="8"/>
      <c r="S49" s="8"/>
      <c r="T49" s="8"/>
      <c r="U49" s="8"/>
      <c r="V49" s="8"/>
      <c r="W49" s="8"/>
      <c r="X49" s="8"/>
      <c r="Y49" s="8"/>
      <c r="Z49" s="8"/>
      <c r="AA49" s="8"/>
      <c r="AB49" s="8"/>
    </row>
    <row r="50" spans="1:28" x14ac:dyDescent="0.25">
      <c r="A50" s="296"/>
      <c r="B50" t="s">
        <v>230</v>
      </c>
      <c r="C50" t="s">
        <v>232</v>
      </c>
      <c r="D50" s="290">
        <f>IF(D49="Mozambique Government",$C$29,$C$28*D49)</f>
        <v>0</v>
      </c>
      <c r="E50" s="299">
        <f t="shared" ref="E50:G50" si="6">IF(E49="Mozambique Government",$C$29,$C$28*E49)/1000000</f>
        <v>0</v>
      </c>
      <c r="F50" s="299">
        <f t="shared" si="6"/>
        <v>0</v>
      </c>
      <c r="G50" s="299">
        <f t="shared" si="6"/>
        <v>0</v>
      </c>
      <c r="H50" s="299">
        <f>IF(H49="Mozambique Government",$C$29,($C$28+$C$30)*H49)/1000000</f>
        <v>42.937352779249835</v>
      </c>
      <c r="I50" s="299">
        <f>IF(I49="Mozambique Government",$C$29,($C$28+$C$30)*I49)/1000000</f>
        <v>42.656044725830746</v>
      </c>
      <c r="J50" s="300">
        <f>IF(J49="Mozambique Government",$C$29,$C$28*J49)/1000000+0.00137244</f>
        <v>6.9975154399999999</v>
      </c>
      <c r="K50" s="13">
        <v>1.8332000000000001E-3</v>
      </c>
      <c r="L50" s="13">
        <v>7.7153817500000006</v>
      </c>
      <c r="M50" s="13">
        <v>1.2095E-4</v>
      </c>
      <c r="N50" s="13">
        <v>1.3632999999999999E-4</v>
      </c>
      <c r="O50" s="13">
        <v>1.5645999999999998E-4</v>
      </c>
      <c r="P50" s="13">
        <v>-1.2366200000000001E-3</v>
      </c>
      <c r="Q50" s="13">
        <v>-14.480547999999999</v>
      </c>
      <c r="R50" s="13">
        <v>2.5148999999999999E-4</v>
      </c>
      <c r="S50" s="13">
        <v>2.9637000000000001E-4</v>
      </c>
      <c r="T50" s="13">
        <v>-4.4642E-4</v>
      </c>
      <c r="U50" s="13">
        <v>-4.1242999999999998E-4</v>
      </c>
      <c r="V50" s="13">
        <v>-8.7761987499999989</v>
      </c>
      <c r="W50" s="13">
        <v>5.8923999999999999E-4</v>
      </c>
      <c r="X50" s="13">
        <v>6.7869000000000002E-4</v>
      </c>
      <c r="Y50" s="13">
        <v>-5.7649000000000003E-4</v>
      </c>
      <c r="Z50" s="13">
        <v>8.4048200000000003E-3</v>
      </c>
      <c r="AA50" s="14">
        <v>8.1288156199999992</v>
      </c>
      <c r="AB50" s="8"/>
    </row>
    <row r="51" spans="1:28" x14ac:dyDescent="0.25">
      <c r="A51" s="296"/>
      <c r="J51" s="8"/>
      <c r="K51" s="301"/>
      <c r="L51" s="301"/>
      <c r="M51" s="301"/>
      <c r="N51" s="301"/>
      <c r="O51" s="301"/>
      <c r="P51" s="301"/>
      <c r="Q51" s="301"/>
      <c r="R51" s="301"/>
      <c r="S51" s="301"/>
      <c r="T51" s="301"/>
      <c r="U51" s="301"/>
      <c r="V51" s="301"/>
      <c r="W51" s="301"/>
      <c r="X51" s="301"/>
      <c r="Y51" s="301"/>
      <c r="Z51" s="301"/>
      <c r="AA51" s="301"/>
      <c r="AB51" s="8"/>
    </row>
    <row r="52" spans="1:28" x14ac:dyDescent="0.25">
      <c r="A52" s="296"/>
      <c r="B52" s="256" t="s">
        <v>225</v>
      </c>
      <c r="J52" s="8"/>
      <c r="K52" s="8"/>
      <c r="L52" s="8"/>
      <c r="M52" s="8"/>
      <c r="N52" s="8"/>
      <c r="O52" s="8"/>
      <c r="P52" s="8"/>
      <c r="Q52" s="8"/>
      <c r="R52" s="8"/>
      <c r="S52" s="8"/>
      <c r="T52" s="8"/>
      <c r="U52" s="8"/>
      <c r="V52" s="8"/>
      <c r="W52" s="8"/>
      <c r="X52" s="8"/>
      <c r="Y52" s="8"/>
      <c r="Z52" s="8"/>
      <c r="AA52" s="8"/>
      <c r="AB52" s="8"/>
    </row>
    <row r="53" spans="1:28" x14ac:dyDescent="0.25">
      <c r="A53" s="296"/>
      <c r="B53" s="285" t="s">
        <v>241</v>
      </c>
      <c r="J53" s="8"/>
      <c r="K53" s="8"/>
      <c r="L53" s="8"/>
      <c r="M53" s="8"/>
      <c r="N53" s="8"/>
      <c r="O53" s="8"/>
      <c r="P53" s="8"/>
      <c r="Q53" s="8"/>
      <c r="R53" s="8"/>
      <c r="S53" s="8"/>
      <c r="T53" s="8"/>
      <c r="U53" s="8"/>
      <c r="V53" s="8"/>
      <c r="W53" s="8"/>
      <c r="X53" s="8"/>
      <c r="Y53" s="8"/>
      <c r="Z53" s="8"/>
      <c r="AA53" s="8"/>
      <c r="AB53" s="8"/>
    </row>
    <row r="54" spans="1:28" x14ac:dyDescent="0.25">
      <c r="A54" s="296">
        <v>5</v>
      </c>
      <c r="B54" t="s">
        <v>230</v>
      </c>
      <c r="C54" t="s">
        <v>231</v>
      </c>
      <c r="D54" s="287">
        <v>0</v>
      </c>
      <c r="E54" s="287">
        <v>0</v>
      </c>
      <c r="F54" s="287">
        <v>0</v>
      </c>
      <c r="G54" s="287">
        <v>0</v>
      </c>
      <c r="H54" s="287">
        <v>0.82783560137146495</v>
      </c>
      <c r="I54" s="287">
        <f>1-H54</f>
        <v>0.17216439862853505</v>
      </c>
      <c r="J54" s="302" t="s">
        <v>229</v>
      </c>
      <c r="K54" s="8"/>
      <c r="L54" s="8"/>
      <c r="M54" s="8"/>
      <c r="N54" s="8"/>
      <c r="O54" s="8"/>
      <c r="P54" s="8"/>
      <c r="Q54" s="8"/>
      <c r="R54" s="8"/>
      <c r="S54" s="8"/>
      <c r="T54" s="8"/>
      <c r="U54" s="8"/>
      <c r="V54" s="8"/>
      <c r="W54" s="8"/>
      <c r="X54" s="8"/>
      <c r="Y54" s="8"/>
      <c r="Z54" s="8"/>
      <c r="AA54" s="8"/>
      <c r="AB54" s="8"/>
    </row>
    <row r="55" spans="1:28" x14ac:dyDescent="0.25">
      <c r="A55" s="296"/>
      <c r="B55" t="s">
        <v>230</v>
      </c>
      <c r="C55" t="s">
        <v>232</v>
      </c>
      <c r="D55" s="290">
        <f>IF(D54="Mozambique Government",$C$34,$C$33*D54)</f>
        <v>0</v>
      </c>
      <c r="E55" s="299">
        <f t="shared" ref="E55:G55" si="7">IF(E54="Mozambique Government",$C$34,$C$33*E54)/1000000</f>
        <v>0</v>
      </c>
      <c r="F55" s="299">
        <f t="shared" si="7"/>
        <v>0</v>
      </c>
      <c r="G55" s="299">
        <f t="shared" si="7"/>
        <v>0</v>
      </c>
      <c r="H55" s="299">
        <f>IF(H54="Mozambique Government",$C$34,($C$33+$C$35)*H54)/1000000</f>
        <v>34.873592527438966</v>
      </c>
      <c r="I55" s="299">
        <f>IF(I54="Mozambique Government",$C$34,($C$33+$C$35)*I54)/1000000</f>
        <v>7.2526369674804592</v>
      </c>
      <c r="J55" s="13">
        <v>2.2247499999999996E-2</v>
      </c>
      <c r="K55" s="13">
        <v>2.1402210000000001E-2</v>
      </c>
      <c r="L55" s="13">
        <v>-0.72507282000000017</v>
      </c>
      <c r="M55" s="13">
        <v>-2.4414047200000004</v>
      </c>
      <c r="N55" s="13">
        <v>2.3648909999999999E-2</v>
      </c>
      <c r="O55" s="13">
        <v>2.3242589999999997E-2</v>
      </c>
      <c r="P55" s="13">
        <v>-5.0591903799999995</v>
      </c>
      <c r="Q55" s="13">
        <v>2.4072980000000001E-2</v>
      </c>
      <c r="R55" s="13">
        <v>2.3943699999999998E-2</v>
      </c>
      <c r="S55" s="13">
        <v>2.3927589999999999E-2</v>
      </c>
      <c r="T55" s="13">
        <v>2.3954619999999999E-2</v>
      </c>
      <c r="U55" s="13">
        <v>-2.4345923899999997</v>
      </c>
      <c r="V55" s="13">
        <v>3.2031320000000002E-2</v>
      </c>
      <c r="W55" s="13">
        <v>-5.0497559899999995</v>
      </c>
      <c r="X55" s="13">
        <v>3.4003439999999996E-2</v>
      </c>
      <c r="Y55" s="13">
        <v>0.77985464000000004</v>
      </c>
      <c r="Z55" s="13">
        <v>3.0617059999999998E-2</v>
      </c>
      <c r="AA55" s="15">
        <v>3.0713840000000003E-2</v>
      </c>
      <c r="AB55" s="15">
        <v>-10.418707569999999</v>
      </c>
    </row>
    <row r="56" spans="1:28" x14ac:dyDescent="0.25">
      <c r="A56" s="296"/>
      <c r="J56" s="301"/>
      <c r="K56" s="301"/>
      <c r="L56" s="301"/>
      <c r="M56" s="301"/>
      <c r="N56" s="301"/>
      <c r="O56" s="301"/>
      <c r="P56" s="301"/>
      <c r="Q56" s="301"/>
      <c r="R56" s="301"/>
      <c r="S56" s="301"/>
      <c r="T56" s="301"/>
      <c r="U56" s="301"/>
      <c r="V56" s="301"/>
      <c r="W56" s="301"/>
      <c r="X56" s="301"/>
      <c r="Y56" s="301"/>
      <c r="Z56" s="301"/>
      <c r="AA56" s="301"/>
      <c r="AB56" s="301"/>
    </row>
    <row r="57" spans="1:28" x14ac:dyDescent="0.25">
      <c r="A57" s="296"/>
      <c r="B57" s="285" t="s">
        <v>240</v>
      </c>
      <c r="J57" s="8"/>
      <c r="K57" s="8"/>
      <c r="L57" s="8"/>
      <c r="M57" s="8"/>
      <c r="N57" s="8"/>
      <c r="O57" s="8"/>
      <c r="P57" s="8"/>
      <c r="Q57" s="8"/>
      <c r="R57" s="8"/>
      <c r="S57" s="8"/>
      <c r="T57" s="8"/>
      <c r="U57" s="8"/>
      <c r="V57" s="8"/>
      <c r="W57" s="8"/>
      <c r="X57" s="8"/>
      <c r="Y57" s="8"/>
      <c r="Z57" s="8"/>
      <c r="AA57" s="8"/>
      <c r="AB57" s="8"/>
    </row>
    <row r="58" spans="1:28" x14ac:dyDescent="0.25">
      <c r="A58" s="296"/>
      <c r="B58" t="s">
        <v>230</v>
      </c>
      <c r="D58" s="287">
        <v>0</v>
      </c>
      <c r="E58" s="287">
        <v>0</v>
      </c>
      <c r="F58" s="287">
        <v>0</v>
      </c>
      <c r="G58" s="287">
        <v>0</v>
      </c>
      <c r="H58" s="287">
        <v>0.82783560137146495</v>
      </c>
      <c r="I58" s="287">
        <f>1-H58</f>
        <v>0.17216439862853505</v>
      </c>
      <c r="J58" s="302" t="s">
        <v>229</v>
      </c>
      <c r="K58" s="8"/>
      <c r="L58" s="8"/>
      <c r="M58" s="8"/>
      <c r="N58" s="8"/>
      <c r="O58" s="8"/>
      <c r="P58" s="8"/>
      <c r="Q58" s="8"/>
      <c r="R58" s="8"/>
      <c r="S58" s="8"/>
      <c r="T58" s="8"/>
      <c r="U58" s="8"/>
      <c r="V58" s="8"/>
      <c r="W58" s="8"/>
      <c r="X58" s="8"/>
      <c r="Y58" s="8"/>
      <c r="Z58" s="8"/>
      <c r="AA58" s="8"/>
      <c r="AB58" s="8"/>
    </row>
    <row r="59" spans="1:28" x14ac:dyDescent="0.25">
      <c r="A59" s="297"/>
      <c r="B59" t="s">
        <v>230</v>
      </c>
      <c r="D59" s="290">
        <f>IF(D58="Mozambique Government",$C$34,$C$33*D58)</f>
        <v>0</v>
      </c>
      <c r="E59" s="299">
        <f t="shared" ref="E59:G59" si="8">IF(E58="Mozambique Government",$C$34,$C$33*E58)/1000000</f>
        <v>0</v>
      </c>
      <c r="F59" s="299">
        <f t="shared" si="8"/>
        <v>0</v>
      </c>
      <c r="G59" s="299">
        <f t="shared" si="8"/>
        <v>0</v>
      </c>
      <c r="H59" s="299">
        <f>IF(H58="Mozambique Government",$C$34,($C$33+$C$35)*H58)/1000000</f>
        <v>34.873592527438966</v>
      </c>
      <c r="I59" s="299">
        <f>IF(I58="Mozambique Government",$C$34,($C$33+$C$35)*I58)/1000000</f>
        <v>7.2526369674804592</v>
      </c>
      <c r="J59" s="13">
        <v>1.4128659999999998E-2</v>
      </c>
      <c r="K59" s="13">
        <v>1.1962529999999999E-2</v>
      </c>
      <c r="L59" s="13">
        <v>2.8131399999999996E-3</v>
      </c>
      <c r="M59" s="13">
        <v>-4.8149150499999998</v>
      </c>
      <c r="N59" s="13">
        <v>-7.0679699999999929E-3</v>
      </c>
      <c r="O59" s="13">
        <v>-8.0768899999999998E-3</v>
      </c>
      <c r="P59" s="13">
        <v>-8.7427399999999988E-3</v>
      </c>
      <c r="Q59" s="13">
        <v>-4.2288761500000005</v>
      </c>
      <c r="R59" s="13">
        <v>-1.8842850000000001E-2</v>
      </c>
      <c r="S59" s="13">
        <v>-5.9050500000000002E-3</v>
      </c>
      <c r="T59" s="13">
        <v>1.1077210000000001E-2</v>
      </c>
      <c r="U59" s="13">
        <v>-3.9931222000000002</v>
      </c>
      <c r="V59" s="13">
        <v>1.65041302</v>
      </c>
      <c r="W59" s="13">
        <v>3.4008471999999998</v>
      </c>
      <c r="X59" s="13">
        <v>1.937883E-2</v>
      </c>
      <c r="Y59" s="13">
        <v>-5.0027967199999992</v>
      </c>
      <c r="Z59" s="13">
        <v>2.0510614700000001</v>
      </c>
      <c r="AA59" s="15">
        <v>3.3952976100000001</v>
      </c>
      <c r="AB59" s="15">
        <v>-7.2237386600000004</v>
      </c>
    </row>
    <row r="60" spans="1:28" x14ac:dyDescent="0.25">
      <c r="J60" s="286"/>
      <c r="K60" s="286"/>
      <c r="L60" s="286"/>
      <c r="M60" s="286"/>
      <c r="N60" s="286"/>
      <c r="O60" s="286"/>
      <c r="P60" s="286"/>
      <c r="Q60" s="286"/>
      <c r="R60" s="286"/>
      <c r="S60" s="286"/>
      <c r="T60" s="286"/>
      <c r="U60" s="286"/>
      <c r="V60" s="286"/>
      <c r="W60" s="286"/>
      <c r="X60" s="286"/>
      <c r="Y60" s="286"/>
      <c r="Z60" s="286"/>
      <c r="AA60" s="286"/>
      <c r="AB60" s="286"/>
    </row>
    <row r="64" spans="1:28" x14ac:dyDescent="0.25">
      <c r="A64" t="s">
        <v>233</v>
      </c>
    </row>
    <row r="65" spans="1:2" x14ac:dyDescent="0.25">
      <c r="A65">
        <v>1</v>
      </c>
      <c r="B65" t="s">
        <v>234</v>
      </c>
    </row>
    <row r="66" spans="1:2" x14ac:dyDescent="0.25">
      <c r="A66">
        <v>2</v>
      </c>
      <c r="B66" t="s">
        <v>235</v>
      </c>
    </row>
    <row r="67" spans="1:2" x14ac:dyDescent="0.25">
      <c r="A67">
        <v>3</v>
      </c>
      <c r="B67" t="s">
        <v>236</v>
      </c>
    </row>
    <row r="68" spans="1:2" x14ac:dyDescent="0.25">
      <c r="A68">
        <v>4</v>
      </c>
      <c r="B68" t="s">
        <v>237</v>
      </c>
    </row>
    <row r="69" spans="1:2" x14ac:dyDescent="0.25">
      <c r="A69">
        <v>5</v>
      </c>
      <c r="B69" t="s">
        <v>238</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workbookViewId="0"/>
  </sheetViews>
  <sheetFormatPr defaultRowHeight="12.75" x14ac:dyDescent="0.2"/>
  <cols>
    <col min="1" max="1" width="49.140625" style="303" bestFit="1" customWidth="1"/>
    <col min="2" max="2" width="14" style="303" bestFit="1" customWidth="1"/>
    <col min="3" max="3" width="12.85546875" style="303" bestFit="1" customWidth="1"/>
    <col min="4" max="4" width="15" style="303" bestFit="1" customWidth="1"/>
    <col min="5" max="5" width="15.28515625" style="303" bestFit="1" customWidth="1"/>
    <col min="6" max="6" width="15.140625" style="303" bestFit="1" customWidth="1"/>
    <col min="7" max="7" width="15.28515625" style="303" bestFit="1" customWidth="1"/>
    <col min="8" max="8" width="13.42578125" style="303" bestFit="1" customWidth="1"/>
    <col min="9" max="12" width="12.28515625" style="303" bestFit="1" customWidth="1"/>
    <col min="13" max="256" width="9.140625" style="303"/>
    <col min="257" max="257" width="49.140625" style="303" bestFit="1" customWidth="1"/>
    <col min="258" max="258" width="14" style="303" bestFit="1" customWidth="1"/>
    <col min="259" max="259" width="12.85546875" style="303" bestFit="1" customWidth="1"/>
    <col min="260" max="260" width="15" style="303" bestFit="1" customWidth="1"/>
    <col min="261" max="261" width="15.28515625" style="303" bestFit="1" customWidth="1"/>
    <col min="262" max="262" width="15.140625" style="303" bestFit="1" customWidth="1"/>
    <col min="263" max="263" width="15.28515625" style="303" bestFit="1" customWidth="1"/>
    <col min="264" max="264" width="13.42578125" style="303" bestFit="1" customWidth="1"/>
    <col min="265" max="268" width="12.28515625" style="303" bestFit="1" customWidth="1"/>
    <col min="269" max="512" width="9.140625" style="303"/>
    <col min="513" max="513" width="49.140625" style="303" bestFit="1" customWidth="1"/>
    <col min="514" max="514" width="14" style="303" bestFit="1" customWidth="1"/>
    <col min="515" max="515" width="12.85546875" style="303" bestFit="1" customWidth="1"/>
    <col min="516" max="516" width="15" style="303" bestFit="1" customWidth="1"/>
    <col min="517" max="517" width="15.28515625" style="303" bestFit="1" customWidth="1"/>
    <col min="518" max="518" width="15.140625" style="303" bestFit="1" customWidth="1"/>
    <col min="519" max="519" width="15.28515625" style="303" bestFit="1" customWidth="1"/>
    <col min="520" max="520" width="13.42578125" style="303" bestFit="1" customWidth="1"/>
    <col min="521" max="524" width="12.28515625" style="303" bestFit="1" customWidth="1"/>
    <col min="525" max="768" width="9.140625" style="303"/>
    <col min="769" max="769" width="49.140625" style="303" bestFit="1" customWidth="1"/>
    <col min="770" max="770" width="14" style="303" bestFit="1" customWidth="1"/>
    <col min="771" max="771" width="12.85546875" style="303" bestFit="1" customWidth="1"/>
    <col min="772" max="772" width="15" style="303" bestFit="1" customWidth="1"/>
    <col min="773" max="773" width="15.28515625" style="303" bestFit="1" customWidth="1"/>
    <col min="774" max="774" width="15.140625" style="303" bestFit="1" customWidth="1"/>
    <col min="775" max="775" width="15.28515625" style="303" bestFit="1" customWidth="1"/>
    <col min="776" max="776" width="13.42578125" style="303" bestFit="1" customWidth="1"/>
    <col min="777" max="780" width="12.28515625" style="303" bestFit="1" customWidth="1"/>
    <col min="781" max="1024" width="9.140625" style="303"/>
    <col min="1025" max="1025" width="49.140625" style="303" bestFit="1" customWidth="1"/>
    <col min="1026" max="1026" width="14" style="303" bestFit="1" customWidth="1"/>
    <col min="1027" max="1027" width="12.85546875" style="303" bestFit="1" customWidth="1"/>
    <col min="1028" max="1028" width="15" style="303" bestFit="1" customWidth="1"/>
    <col min="1029" max="1029" width="15.28515625" style="303" bestFit="1" customWidth="1"/>
    <col min="1030" max="1030" width="15.140625" style="303" bestFit="1" customWidth="1"/>
    <col min="1031" max="1031" width="15.28515625" style="303" bestFit="1" customWidth="1"/>
    <col min="1032" max="1032" width="13.42578125" style="303" bestFit="1" customWidth="1"/>
    <col min="1033" max="1036" width="12.28515625" style="303" bestFit="1" customWidth="1"/>
    <col min="1037" max="1280" width="9.140625" style="303"/>
    <col min="1281" max="1281" width="49.140625" style="303" bestFit="1" customWidth="1"/>
    <col min="1282" max="1282" width="14" style="303" bestFit="1" customWidth="1"/>
    <col min="1283" max="1283" width="12.85546875" style="303" bestFit="1" customWidth="1"/>
    <col min="1284" max="1284" width="15" style="303" bestFit="1" customWidth="1"/>
    <col min="1285" max="1285" width="15.28515625" style="303" bestFit="1" customWidth="1"/>
    <col min="1286" max="1286" width="15.140625" style="303" bestFit="1" customWidth="1"/>
    <col min="1287" max="1287" width="15.28515625" style="303" bestFit="1" customWidth="1"/>
    <col min="1288" max="1288" width="13.42578125" style="303" bestFit="1" customWidth="1"/>
    <col min="1289" max="1292" width="12.28515625" style="303" bestFit="1" customWidth="1"/>
    <col min="1293" max="1536" width="9.140625" style="303"/>
    <col min="1537" max="1537" width="49.140625" style="303" bestFit="1" customWidth="1"/>
    <col min="1538" max="1538" width="14" style="303" bestFit="1" customWidth="1"/>
    <col min="1539" max="1539" width="12.85546875" style="303" bestFit="1" customWidth="1"/>
    <col min="1540" max="1540" width="15" style="303" bestFit="1" customWidth="1"/>
    <col min="1541" max="1541" width="15.28515625" style="303" bestFit="1" customWidth="1"/>
    <col min="1542" max="1542" width="15.140625" style="303" bestFit="1" customWidth="1"/>
    <col min="1543" max="1543" width="15.28515625" style="303" bestFit="1" customWidth="1"/>
    <col min="1544" max="1544" width="13.42578125" style="303" bestFit="1" customWidth="1"/>
    <col min="1545" max="1548" width="12.28515625" style="303" bestFit="1" customWidth="1"/>
    <col min="1549" max="1792" width="9.140625" style="303"/>
    <col min="1793" max="1793" width="49.140625" style="303" bestFit="1" customWidth="1"/>
    <col min="1794" max="1794" width="14" style="303" bestFit="1" customWidth="1"/>
    <col min="1795" max="1795" width="12.85546875" style="303" bestFit="1" customWidth="1"/>
    <col min="1796" max="1796" width="15" style="303" bestFit="1" customWidth="1"/>
    <col min="1797" max="1797" width="15.28515625" style="303" bestFit="1" customWidth="1"/>
    <col min="1798" max="1798" width="15.140625" style="303" bestFit="1" customWidth="1"/>
    <col min="1799" max="1799" width="15.28515625" style="303" bestFit="1" customWidth="1"/>
    <col min="1800" max="1800" width="13.42578125" style="303" bestFit="1" customWidth="1"/>
    <col min="1801" max="1804" width="12.28515625" style="303" bestFit="1" customWidth="1"/>
    <col min="1805" max="2048" width="9.140625" style="303"/>
    <col min="2049" max="2049" width="49.140625" style="303" bestFit="1" customWidth="1"/>
    <col min="2050" max="2050" width="14" style="303" bestFit="1" customWidth="1"/>
    <col min="2051" max="2051" width="12.85546875" style="303" bestFit="1" customWidth="1"/>
    <col min="2052" max="2052" width="15" style="303" bestFit="1" customWidth="1"/>
    <col min="2053" max="2053" width="15.28515625" style="303" bestFit="1" customWidth="1"/>
    <col min="2054" max="2054" width="15.140625" style="303" bestFit="1" customWidth="1"/>
    <col min="2055" max="2055" width="15.28515625" style="303" bestFit="1" customWidth="1"/>
    <col min="2056" max="2056" width="13.42578125" style="303" bestFit="1" customWidth="1"/>
    <col min="2057" max="2060" width="12.28515625" style="303" bestFit="1" customWidth="1"/>
    <col min="2061" max="2304" width="9.140625" style="303"/>
    <col min="2305" max="2305" width="49.140625" style="303" bestFit="1" customWidth="1"/>
    <col min="2306" max="2306" width="14" style="303" bestFit="1" customWidth="1"/>
    <col min="2307" max="2307" width="12.85546875" style="303" bestFit="1" customWidth="1"/>
    <col min="2308" max="2308" width="15" style="303" bestFit="1" customWidth="1"/>
    <col min="2309" max="2309" width="15.28515625" style="303" bestFit="1" customWidth="1"/>
    <col min="2310" max="2310" width="15.140625" style="303" bestFit="1" customWidth="1"/>
    <col min="2311" max="2311" width="15.28515625" style="303" bestFit="1" customWidth="1"/>
    <col min="2312" max="2312" width="13.42578125" style="303" bestFit="1" customWidth="1"/>
    <col min="2313" max="2316" width="12.28515625" style="303" bestFit="1" customWidth="1"/>
    <col min="2317" max="2560" width="9.140625" style="303"/>
    <col min="2561" max="2561" width="49.140625" style="303" bestFit="1" customWidth="1"/>
    <col min="2562" max="2562" width="14" style="303" bestFit="1" customWidth="1"/>
    <col min="2563" max="2563" width="12.85546875" style="303" bestFit="1" customWidth="1"/>
    <col min="2564" max="2564" width="15" style="303" bestFit="1" customWidth="1"/>
    <col min="2565" max="2565" width="15.28515625" style="303" bestFit="1" customWidth="1"/>
    <col min="2566" max="2566" width="15.140625" style="303" bestFit="1" customWidth="1"/>
    <col min="2567" max="2567" width="15.28515625" style="303" bestFit="1" customWidth="1"/>
    <col min="2568" max="2568" width="13.42578125" style="303" bestFit="1" customWidth="1"/>
    <col min="2569" max="2572" width="12.28515625" style="303" bestFit="1" customWidth="1"/>
    <col min="2573" max="2816" width="9.140625" style="303"/>
    <col min="2817" max="2817" width="49.140625" style="303" bestFit="1" customWidth="1"/>
    <col min="2818" max="2818" width="14" style="303" bestFit="1" customWidth="1"/>
    <col min="2819" max="2819" width="12.85546875" style="303" bestFit="1" customWidth="1"/>
    <col min="2820" max="2820" width="15" style="303" bestFit="1" customWidth="1"/>
    <col min="2821" max="2821" width="15.28515625" style="303" bestFit="1" customWidth="1"/>
    <col min="2822" max="2822" width="15.140625" style="303" bestFit="1" customWidth="1"/>
    <col min="2823" max="2823" width="15.28515625" style="303" bestFit="1" customWidth="1"/>
    <col min="2824" max="2824" width="13.42578125" style="303" bestFit="1" customWidth="1"/>
    <col min="2825" max="2828" width="12.28515625" style="303" bestFit="1" customWidth="1"/>
    <col min="2829" max="3072" width="9.140625" style="303"/>
    <col min="3073" max="3073" width="49.140625" style="303" bestFit="1" customWidth="1"/>
    <col min="3074" max="3074" width="14" style="303" bestFit="1" customWidth="1"/>
    <col min="3075" max="3075" width="12.85546875" style="303" bestFit="1" customWidth="1"/>
    <col min="3076" max="3076" width="15" style="303" bestFit="1" customWidth="1"/>
    <col min="3077" max="3077" width="15.28515625" style="303" bestFit="1" customWidth="1"/>
    <col min="3078" max="3078" width="15.140625" style="303" bestFit="1" customWidth="1"/>
    <col min="3079" max="3079" width="15.28515625" style="303" bestFit="1" customWidth="1"/>
    <col min="3080" max="3080" width="13.42578125" style="303" bestFit="1" customWidth="1"/>
    <col min="3081" max="3084" width="12.28515625" style="303" bestFit="1" customWidth="1"/>
    <col min="3085" max="3328" width="9.140625" style="303"/>
    <col min="3329" max="3329" width="49.140625" style="303" bestFit="1" customWidth="1"/>
    <col min="3330" max="3330" width="14" style="303" bestFit="1" customWidth="1"/>
    <col min="3331" max="3331" width="12.85546875" style="303" bestFit="1" customWidth="1"/>
    <col min="3332" max="3332" width="15" style="303" bestFit="1" customWidth="1"/>
    <col min="3333" max="3333" width="15.28515625" style="303" bestFit="1" customWidth="1"/>
    <col min="3334" max="3334" width="15.140625" style="303" bestFit="1" customWidth="1"/>
    <col min="3335" max="3335" width="15.28515625" style="303" bestFit="1" customWidth="1"/>
    <col min="3336" max="3336" width="13.42578125" style="303" bestFit="1" customWidth="1"/>
    <col min="3337" max="3340" width="12.28515625" style="303" bestFit="1" customWidth="1"/>
    <col min="3341" max="3584" width="9.140625" style="303"/>
    <col min="3585" max="3585" width="49.140625" style="303" bestFit="1" customWidth="1"/>
    <col min="3586" max="3586" width="14" style="303" bestFit="1" customWidth="1"/>
    <col min="3587" max="3587" width="12.85546875" style="303" bestFit="1" customWidth="1"/>
    <col min="3588" max="3588" width="15" style="303" bestFit="1" customWidth="1"/>
    <col min="3589" max="3589" width="15.28515625" style="303" bestFit="1" customWidth="1"/>
    <col min="3590" max="3590" width="15.140625" style="303" bestFit="1" customWidth="1"/>
    <col min="3591" max="3591" width="15.28515625" style="303" bestFit="1" customWidth="1"/>
    <col min="3592" max="3592" width="13.42578125" style="303" bestFit="1" customWidth="1"/>
    <col min="3593" max="3596" width="12.28515625" style="303" bestFit="1" customWidth="1"/>
    <col min="3597" max="3840" width="9.140625" style="303"/>
    <col min="3841" max="3841" width="49.140625" style="303" bestFit="1" customWidth="1"/>
    <col min="3842" max="3842" width="14" style="303" bestFit="1" customWidth="1"/>
    <col min="3843" max="3843" width="12.85546875" style="303" bestFit="1" customWidth="1"/>
    <col min="3844" max="3844" width="15" style="303" bestFit="1" customWidth="1"/>
    <col min="3845" max="3845" width="15.28515625" style="303" bestFit="1" customWidth="1"/>
    <col min="3846" max="3846" width="15.140625" style="303" bestFit="1" customWidth="1"/>
    <col min="3847" max="3847" width="15.28515625" style="303" bestFit="1" customWidth="1"/>
    <col min="3848" max="3848" width="13.42578125" style="303" bestFit="1" customWidth="1"/>
    <col min="3849" max="3852" width="12.28515625" style="303" bestFit="1" customWidth="1"/>
    <col min="3853" max="4096" width="9.140625" style="303"/>
    <col min="4097" max="4097" width="49.140625" style="303" bestFit="1" customWidth="1"/>
    <col min="4098" max="4098" width="14" style="303" bestFit="1" customWidth="1"/>
    <col min="4099" max="4099" width="12.85546875" style="303" bestFit="1" customWidth="1"/>
    <col min="4100" max="4100" width="15" style="303" bestFit="1" customWidth="1"/>
    <col min="4101" max="4101" width="15.28515625" style="303" bestFit="1" customWidth="1"/>
    <col min="4102" max="4102" width="15.140625" style="303" bestFit="1" customWidth="1"/>
    <col min="4103" max="4103" width="15.28515625" style="303" bestFit="1" customWidth="1"/>
    <col min="4104" max="4104" width="13.42578125" style="303" bestFit="1" customWidth="1"/>
    <col min="4105" max="4108" width="12.28515625" style="303" bestFit="1" customWidth="1"/>
    <col min="4109" max="4352" width="9.140625" style="303"/>
    <col min="4353" max="4353" width="49.140625" style="303" bestFit="1" customWidth="1"/>
    <col min="4354" max="4354" width="14" style="303" bestFit="1" customWidth="1"/>
    <col min="4355" max="4355" width="12.85546875" style="303" bestFit="1" customWidth="1"/>
    <col min="4356" max="4356" width="15" style="303" bestFit="1" customWidth="1"/>
    <col min="4357" max="4357" width="15.28515625" style="303" bestFit="1" customWidth="1"/>
    <col min="4358" max="4358" width="15.140625" style="303" bestFit="1" customWidth="1"/>
    <col min="4359" max="4359" width="15.28515625" style="303" bestFit="1" customWidth="1"/>
    <col min="4360" max="4360" width="13.42578125" style="303" bestFit="1" customWidth="1"/>
    <col min="4361" max="4364" width="12.28515625" style="303" bestFit="1" customWidth="1"/>
    <col min="4365" max="4608" width="9.140625" style="303"/>
    <col min="4609" max="4609" width="49.140625" style="303" bestFit="1" customWidth="1"/>
    <col min="4610" max="4610" width="14" style="303" bestFit="1" customWidth="1"/>
    <col min="4611" max="4611" width="12.85546875" style="303" bestFit="1" customWidth="1"/>
    <col min="4612" max="4612" width="15" style="303" bestFit="1" customWidth="1"/>
    <col min="4613" max="4613" width="15.28515625" style="303" bestFit="1" customWidth="1"/>
    <col min="4614" max="4614" width="15.140625" style="303" bestFit="1" customWidth="1"/>
    <col min="4615" max="4615" width="15.28515625" style="303" bestFit="1" customWidth="1"/>
    <col min="4616" max="4616" width="13.42578125" style="303" bestFit="1" customWidth="1"/>
    <col min="4617" max="4620" width="12.28515625" style="303" bestFit="1" customWidth="1"/>
    <col min="4621" max="4864" width="9.140625" style="303"/>
    <col min="4865" max="4865" width="49.140625" style="303" bestFit="1" customWidth="1"/>
    <col min="4866" max="4866" width="14" style="303" bestFit="1" customWidth="1"/>
    <col min="4867" max="4867" width="12.85546875" style="303" bestFit="1" customWidth="1"/>
    <col min="4868" max="4868" width="15" style="303" bestFit="1" customWidth="1"/>
    <col min="4869" max="4869" width="15.28515625" style="303" bestFit="1" customWidth="1"/>
    <col min="4870" max="4870" width="15.140625" style="303" bestFit="1" customWidth="1"/>
    <col min="4871" max="4871" width="15.28515625" style="303" bestFit="1" customWidth="1"/>
    <col min="4872" max="4872" width="13.42578125" style="303" bestFit="1" customWidth="1"/>
    <col min="4873" max="4876" width="12.28515625" style="303" bestFit="1" customWidth="1"/>
    <col min="4877" max="5120" width="9.140625" style="303"/>
    <col min="5121" max="5121" width="49.140625" style="303" bestFit="1" customWidth="1"/>
    <col min="5122" max="5122" width="14" style="303" bestFit="1" customWidth="1"/>
    <col min="5123" max="5123" width="12.85546875" style="303" bestFit="1" customWidth="1"/>
    <col min="5124" max="5124" width="15" style="303" bestFit="1" customWidth="1"/>
    <col min="5125" max="5125" width="15.28515625" style="303" bestFit="1" customWidth="1"/>
    <col min="5126" max="5126" width="15.140625" style="303" bestFit="1" customWidth="1"/>
    <col min="5127" max="5127" width="15.28515625" style="303" bestFit="1" customWidth="1"/>
    <col min="5128" max="5128" width="13.42578125" style="303" bestFit="1" customWidth="1"/>
    <col min="5129" max="5132" width="12.28515625" style="303" bestFit="1" customWidth="1"/>
    <col min="5133" max="5376" width="9.140625" style="303"/>
    <col min="5377" max="5377" width="49.140625" style="303" bestFit="1" customWidth="1"/>
    <col min="5378" max="5378" width="14" style="303" bestFit="1" customWidth="1"/>
    <col min="5379" max="5379" width="12.85546875" style="303" bestFit="1" customWidth="1"/>
    <col min="5380" max="5380" width="15" style="303" bestFit="1" customWidth="1"/>
    <col min="5381" max="5381" width="15.28515625" style="303" bestFit="1" customWidth="1"/>
    <col min="5382" max="5382" width="15.140625" style="303" bestFit="1" customWidth="1"/>
    <col min="5383" max="5383" width="15.28515625" style="303" bestFit="1" customWidth="1"/>
    <col min="5384" max="5384" width="13.42578125" style="303" bestFit="1" customWidth="1"/>
    <col min="5385" max="5388" width="12.28515625" style="303" bestFit="1" customWidth="1"/>
    <col min="5389" max="5632" width="9.140625" style="303"/>
    <col min="5633" max="5633" width="49.140625" style="303" bestFit="1" customWidth="1"/>
    <col min="5634" max="5634" width="14" style="303" bestFit="1" customWidth="1"/>
    <col min="5635" max="5635" width="12.85546875" style="303" bestFit="1" customWidth="1"/>
    <col min="5636" max="5636" width="15" style="303" bestFit="1" customWidth="1"/>
    <col min="5637" max="5637" width="15.28515625" style="303" bestFit="1" customWidth="1"/>
    <col min="5638" max="5638" width="15.140625" style="303" bestFit="1" customWidth="1"/>
    <col min="5639" max="5639" width="15.28515625" style="303" bestFit="1" customWidth="1"/>
    <col min="5640" max="5640" width="13.42578125" style="303" bestFit="1" customWidth="1"/>
    <col min="5641" max="5644" width="12.28515625" style="303" bestFit="1" customWidth="1"/>
    <col min="5645" max="5888" width="9.140625" style="303"/>
    <col min="5889" max="5889" width="49.140625" style="303" bestFit="1" customWidth="1"/>
    <col min="5890" max="5890" width="14" style="303" bestFit="1" customWidth="1"/>
    <col min="5891" max="5891" width="12.85546875" style="303" bestFit="1" customWidth="1"/>
    <col min="5892" max="5892" width="15" style="303" bestFit="1" customWidth="1"/>
    <col min="5893" max="5893" width="15.28515625" style="303" bestFit="1" customWidth="1"/>
    <col min="5894" max="5894" width="15.140625" style="303" bestFit="1" customWidth="1"/>
    <col min="5895" max="5895" width="15.28515625" style="303" bestFit="1" customWidth="1"/>
    <col min="5896" max="5896" width="13.42578125" style="303" bestFit="1" customWidth="1"/>
    <col min="5897" max="5900" width="12.28515625" style="303" bestFit="1" customWidth="1"/>
    <col min="5901" max="6144" width="9.140625" style="303"/>
    <col min="6145" max="6145" width="49.140625" style="303" bestFit="1" customWidth="1"/>
    <col min="6146" max="6146" width="14" style="303" bestFit="1" customWidth="1"/>
    <col min="6147" max="6147" width="12.85546875" style="303" bestFit="1" customWidth="1"/>
    <col min="6148" max="6148" width="15" style="303" bestFit="1" customWidth="1"/>
    <col min="6149" max="6149" width="15.28515625" style="303" bestFit="1" customWidth="1"/>
    <col min="6150" max="6150" width="15.140625" style="303" bestFit="1" customWidth="1"/>
    <col min="6151" max="6151" width="15.28515625" style="303" bestFit="1" customWidth="1"/>
    <col min="6152" max="6152" width="13.42578125" style="303" bestFit="1" customWidth="1"/>
    <col min="6153" max="6156" width="12.28515625" style="303" bestFit="1" customWidth="1"/>
    <col min="6157" max="6400" width="9.140625" style="303"/>
    <col min="6401" max="6401" width="49.140625" style="303" bestFit="1" customWidth="1"/>
    <col min="6402" max="6402" width="14" style="303" bestFit="1" customWidth="1"/>
    <col min="6403" max="6403" width="12.85546875" style="303" bestFit="1" customWidth="1"/>
    <col min="6404" max="6404" width="15" style="303" bestFit="1" customWidth="1"/>
    <col min="6405" max="6405" width="15.28515625" style="303" bestFit="1" customWidth="1"/>
    <col min="6406" max="6406" width="15.140625" style="303" bestFit="1" customWidth="1"/>
    <col min="6407" max="6407" width="15.28515625" style="303" bestFit="1" customWidth="1"/>
    <col min="6408" max="6408" width="13.42578125" style="303" bestFit="1" customWidth="1"/>
    <col min="6409" max="6412" width="12.28515625" style="303" bestFit="1" customWidth="1"/>
    <col min="6413" max="6656" width="9.140625" style="303"/>
    <col min="6657" max="6657" width="49.140625" style="303" bestFit="1" customWidth="1"/>
    <col min="6658" max="6658" width="14" style="303" bestFit="1" customWidth="1"/>
    <col min="6659" max="6659" width="12.85546875" style="303" bestFit="1" customWidth="1"/>
    <col min="6660" max="6660" width="15" style="303" bestFit="1" customWidth="1"/>
    <col min="6661" max="6661" width="15.28515625" style="303" bestFit="1" customWidth="1"/>
    <col min="6662" max="6662" width="15.140625" style="303" bestFit="1" customWidth="1"/>
    <col min="6663" max="6663" width="15.28515625" style="303" bestFit="1" customWidth="1"/>
    <col min="6664" max="6664" width="13.42578125" style="303" bestFit="1" customWidth="1"/>
    <col min="6665" max="6668" width="12.28515625" style="303" bestFit="1" customWidth="1"/>
    <col min="6669" max="6912" width="9.140625" style="303"/>
    <col min="6913" max="6913" width="49.140625" style="303" bestFit="1" customWidth="1"/>
    <col min="6914" max="6914" width="14" style="303" bestFit="1" customWidth="1"/>
    <col min="6915" max="6915" width="12.85546875" style="303" bestFit="1" customWidth="1"/>
    <col min="6916" max="6916" width="15" style="303" bestFit="1" customWidth="1"/>
    <col min="6917" max="6917" width="15.28515625" style="303" bestFit="1" customWidth="1"/>
    <col min="6918" max="6918" width="15.140625" style="303" bestFit="1" customWidth="1"/>
    <col min="6919" max="6919" width="15.28515625" style="303" bestFit="1" customWidth="1"/>
    <col min="6920" max="6920" width="13.42578125" style="303" bestFit="1" customWidth="1"/>
    <col min="6921" max="6924" width="12.28515625" style="303" bestFit="1" customWidth="1"/>
    <col min="6925" max="7168" width="9.140625" style="303"/>
    <col min="7169" max="7169" width="49.140625" style="303" bestFit="1" customWidth="1"/>
    <col min="7170" max="7170" width="14" style="303" bestFit="1" customWidth="1"/>
    <col min="7171" max="7171" width="12.85546875" style="303" bestFit="1" customWidth="1"/>
    <col min="7172" max="7172" width="15" style="303" bestFit="1" customWidth="1"/>
    <col min="7173" max="7173" width="15.28515625" style="303" bestFit="1" customWidth="1"/>
    <col min="7174" max="7174" width="15.140625" style="303" bestFit="1" customWidth="1"/>
    <col min="7175" max="7175" width="15.28515625" style="303" bestFit="1" customWidth="1"/>
    <col min="7176" max="7176" width="13.42578125" style="303" bestFit="1" customWidth="1"/>
    <col min="7177" max="7180" width="12.28515625" style="303" bestFit="1" customWidth="1"/>
    <col min="7181" max="7424" width="9.140625" style="303"/>
    <col min="7425" max="7425" width="49.140625" style="303" bestFit="1" customWidth="1"/>
    <col min="7426" max="7426" width="14" style="303" bestFit="1" customWidth="1"/>
    <col min="7427" max="7427" width="12.85546875" style="303" bestFit="1" customWidth="1"/>
    <col min="7428" max="7428" width="15" style="303" bestFit="1" customWidth="1"/>
    <col min="7429" max="7429" width="15.28515625" style="303" bestFit="1" customWidth="1"/>
    <col min="7430" max="7430" width="15.140625" style="303" bestFit="1" customWidth="1"/>
    <col min="7431" max="7431" width="15.28515625" style="303" bestFit="1" customWidth="1"/>
    <col min="7432" max="7432" width="13.42578125" style="303" bestFit="1" customWidth="1"/>
    <col min="7433" max="7436" width="12.28515625" style="303" bestFit="1" customWidth="1"/>
    <col min="7437" max="7680" width="9.140625" style="303"/>
    <col min="7681" max="7681" width="49.140625" style="303" bestFit="1" customWidth="1"/>
    <col min="7682" max="7682" width="14" style="303" bestFit="1" customWidth="1"/>
    <col min="7683" max="7683" width="12.85546875" style="303" bestFit="1" customWidth="1"/>
    <col min="7684" max="7684" width="15" style="303" bestFit="1" customWidth="1"/>
    <col min="7685" max="7685" width="15.28515625" style="303" bestFit="1" customWidth="1"/>
    <col min="7686" max="7686" width="15.140625" style="303" bestFit="1" customWidth="1"/>
    <col min="7687" max="7687" width="15.28515625" style="303" bestFit="1" customWidth="1"/>
    <col min="7688" max="7688" width="13.42578125" style="303" bestFit="1" customWidth="1"/>
    <col min="7689" max="7692" width="12.28515625" style="303" bestFit="1" customWidth="1"/>
    <col min="7693" max="7936" width="9.140625" style="303"/>
    <col min="7937" max="7937" width="49.140625" style="303" bestFit="1" customWidth="1"/>
    <col min="7938" max="7938" width="14" style="303" bestFit="1" customWidth="1"/>
    <col min="7939" max="7939" width="12.85546875" style="303" bestFit="1" customWidth="1"/>
    <col min="7940" max="7940" width="15" style="303" bestFit="1" customWidth="1"/>
    <col min="7941" max="7941" width="15.28515625" style="303" bestFit="1" customWidth="1"/>
    <col min="7942" max="7942" width="15.140625" style="303" bestFit="1" customWidth="1"/>
    <col min="7943" max="7943" width="15.28515625" style="303" bestFit="1" customWidth="1"/>
    <col min="7944" max="7944" width="13.42578125" style="303" bestFit="1" customWidth="1"/>
    <col min="7945" max="7948" width="12.28515625" style="303" bestFit="1" customWidth="1"/>
    <col min="7949" max="8192" width="9.140625" style="303"/>
    <col min="8193" max="8193" width="49.140625" style="303" bestFit="1" customWidth="1"/>
    <col min="8194" max="8194" width="14" style="303" bestFit="1" customWidth="1"/>
    <col min="8195" max="8195" width="12.85546875" style="303" bestFit="1" customWidth="1"/>
    <col min="8196" max="8196" width="15" style="303" bestFit="1" customWidth="1"/>
    <col min="8197" max="8197" width="15.28515625" style="303" bestFit="1" customWidth="1"/>
    <col min="8198" max="8198" width="15.140625" style="303" bestFit="1" customWidth="1"/>
    <col min="8199" max="8199" width="15.28515625" style="303" bestFit="1" customWidth="1"/>
    <col min="8200" max="8200" width="13.42578125" style="303" bestFit="1" customWidth="1"/>
    <col min="8201" max="8204" width="12.28515625" style="303" bestFit="1" customWidth="1"/>
    <col min="8205" max="8448" width="9.140625" style="303"/>
    <col min="8449" max="8449" width="49.140625" style="303" bestFit="1" customWidth="1"/>
    <col min="8450" max="8450" width="14" style="303" bestFit="1" customWidth="1"/>
    <col min="8451" max="8451" width="12.85546875" style="303" bestFit="1" customWidth="1"/>
    <col min="8452" max="8452" width="15" style="303" bestFit="1" customWidth="1"/>
    <col min="8453" max="8453" width="15.28515625" style="303" bestFit="1" customWidth="1"/>
    <col min="8454" max="8454" width="15.140625" style="303" bestFit="1" customWidth="1"/>
    <col min="8455" max="8455" width="15.28515625" style="303" bestFit="1" customWidth="1"/>
    <col min="8456" max="8456" width="13.42578125" style="303" bestFit="1" customWidth="1"/>
    <col min="8457" max="8460" width="12.28515625" style="303" bestFit="1" customWidth="1"/>
    <col min="8461" max="8704" width="9.140625" style="303"/>
    <col min="8705" max="8705" width="49.140625" style="303" bestFit="1" customWidth="1"/>
    <col min="8706" max="8706" width="14" style="303" bestFit="1" customWidth="1"/>
    <col min="8707" max="8707" width="12.85546875" style="303" bestFit="1" customWidth="1"/>
    <col min="8708" max="8708" width="15" style="303" bestFit="1" customWidth="1"/>
    <col min="8709" max="8709" width="15.28515625" style="303" bestFit="1" customWidth="1"/>
    <col min="8710" max="8710" width="15.140625" style="303" bestFit="1" customWidth="1"/>
    <col min="8711" max="8711" width="15.28515625" style="303" bestFit="1" customWidth="1"/>
    <col min="8712" max="8712" width="13.42578125" style="303" bestFit="1" customWidth="1"/>
    <col min="8713" max="8716" width="12.28515625" style="303" bestFit="1" customWidth="1"/>
    <col min="8717" max="8960" width="9.140625" style="303"/>
    <col min="8961" max="8961" width="49.140625" style="303" bestFit="1" customWidth="1"/>
    <col min="8962" max="8962" width="14" style="303" bestFit="1" customWidth="1"/>
    <col min="8963" max="8963" width="12.85546875" style="303" bestFit="1" customWidth="1"/>
    <col min="8964" max="8964" width="15" style="303" bestFit="1" customWidth="1"/>
    <col min="8965" max="8965" width="15.28515625" style="303" bestFit="1" customWidth="1"/>
    <col min="8966" max="8966" width="15.140625" style="303" bestFit="1" customWidth="1"/>
    <col min="8967" max="8967" width="15.28515625" style="303" bestFit="1" customWidth="1"/>
    <col min="8968" max="8968" width="13.42578125" style="303" bestFit="1" customWidth="1"/>
    <col min="8969" max="8972" width="12.28515625" style="303" bestFit="1" customWidth="1"/>
    <col min="8973" max="9216" width="9.140625" style="303"/>
    <col min="9217" max="9217" width="49.140625" style="303" bestFit="1" customWidth="1"/>
    <col min="9218" max="9218" width="14" style="303" bestFit="1" customWidth="1"/>
    <col min="9219" max="9219" width="12.85546875" style="303" bestFit="1" customWidth="1"/>
    <col min="9220" max="9220" width="15" style="303" bestFit="1" customWidth="1"/>
    <col min="9221" max="9221" width="15.28515625" style="303" bestFit="1" customWidth="1"/>
    <col min="9222" max="9222" width="15.140625" style="303" bestFit="1" customWidth="1"/>
    <col min="9223" max="9223" width="15.28515625" style="303" bestFit="1" customWidth="1"/>
    <col min="9224" max="9224" width="13.42578125" style="303" bestFit="1" customWidth="1"/>
    <col min="9225" max="9228" width="12.28515625" style="303" bestFit="1" customWidth="1"/>
    <col min="9229" max="9472" width="9.140625" style="303"/>
    <col min="9473" max="9473" width="49.140625" style="303" bestFit="1" customWidth="1"/>
    <col min="9474" max="9474" width="14" style="303" bestFit="1" customWidth="1"/>
    <col min="9475" max="9475" width="12.85546875" style="303" bestFit="1" customWidth="1"/>
    <col min="9476" max="9476" width="15" style="303" bestFit="1" customWidth="1"/>
    <col min="9477" max="9477" width="15.28515625" style="303" bestFit="1" customWidth="1"/>
    <col min="9478" max="9478" width="15.140625" style="303" bestFit="1" customWidth="1"/>
    <col min="9479" max="9479" width="15.28515625" style="303" bestFit="1" customWidth="1"/>
    <col min="9480" max="9480" width="13.42578125" style="303" bestFit="1" customWidth="1"/>
    <col min="9481" max="9484" width="12.28515625" style="303" bestFit="1" customWidth="1"/>
    <col min="9485" max="9728" width="9.140625" style="303"/>
    <col min="9729" max="9729" width="49.140625" style="303" bestFit="1" customWidth="1"/>
    <col min="9730" max="9730" width="14" style="303" bestFit="1" customWidth="1"/>
    <col min="9731" max="9731" width="12.85546875" style="303" bestFit="1" customWidth="1"/>
    <col min="9732" max="9732" width="15" style="303" bestFit="1" customWidth="1"/>
    <col min="9733" max="9733" width="15.28515625" style="303" bestFit="1" customWidth="1"/>
    <col min="9734" max="9734" width="15.140625" style="303" bestFit="1" customWidth="1"/>
    <col min="9735" max="9735" width="15.28515625" style="303" bestFit="1" customWidth="1"/>
    <col min="9736" max="9736" width="13.42578125" style="303" bestFit="1" customWidth="1"/>
    <col min="9737" max="9740" width="12.28515625" style="303" bestFit="1" customWidth="1"/>
    <col min="9741" max="9984" width="9.140625" style="303"/>
    <col min="9985" max="9985" width="49.140625" style="303" bestFit="1" customWidth="1"/>
    <col min="9986" max="9986" width="14" style="303" bestFit="1" customWidth="1"/>
    <col min="9987" max="9987" width="12.85546875" style="303" bestFit="1" customWidth="1"/>
    <col min="9988" max="9988" width="15" style="303" bestFit="1" customWidth="1"/>
    <col min="9989" max="9989" width="15.28515625" style="303" bestFit="1" customWidth="1"/>
    <col min="9990" max="9990" width="15.140625" style="303" bestFit="1" customWidth="1"/>
    <col min="9991" max="9991" width="15.28515625" style="303" bestFit="1" customWidth="1"/>
    <col min="9992" max="9992" width="13.42578125" style="303" bestFit="1" customWidth="1"/>
    <col min="9993" max="9996" width="12.28515625" style="303" bestFit="1" customWidth="1"/>
    <col min="9997" max="10240" width="9.140625" style="303"/>
    <col min="10241" max="10241" width="49.140625" style="303" bestFit="1" customWidth="1"/>
    <col min="10242" max="10242" width="14" style="303" bestFit="1" customWidth="1"/>
    <col min="10243" max="10243" width="12.85546875" style="303" bestFit="1" customWidth="1"/>
    <col min="10244" max="10244" width="15" style="303" bestFit="1" customWidth="1"/>
    <col min="10245" max="10245" width="15.28515625" style="303" bestFit="1" customWidth="1"/>
    <col min="10246" max="10246" width="15.140625" style="303" bestFit="1" customWidth="1"/>
    <col min="10247" max="10247" width="15.28515625" style="303" bestFit="1" customWidth="1"/>
    <col min="10248" max="10248" width="13.42578125" style="303" bestFit="1" customWidth="1"/>
    <col min="10249" max="10252" width="12.28515625" style="303" bestFit="1" customWidth="1"/>
    <col min="10253" max="10496" width="9.140625" style="303"/>
    <col min="10497" max="10497" width="49.140625" style="303" bestFit="1" customWidth="1"/>
    <col min="10498" max="10498" width="14" style="303" bestFit="1" customWidth="1"/>
    <col min="10499" max="10499" width="12.85546875" style="303" bestFit="1" customWidth="1"/>
    <col min="10500" max="10500" width="15" style="303" bestFit="1" customWidth="1"/>
    <col min="10501" max="10501" width="15.28515625" style="303" bestFit="1" customWidth="1"/>
    <col min="10502" max="10502" width="15.140625" style="303" bestFit="1" customWidth="1"/>
    <col min="10503" max="10503" width="15.28515625" style="303" bestFit="1" customWidth="1"/>
    <col min="10504" max="10504" width="13.42578125" style="303" bestFit="1" customWidth="1"/>
    <col min="10505" max="10508" width="12.28515625" style="303" bestFit="1" customWidth="1"/>
    <col min="10509" max="10752" width="9.140625" style="303"/>
    <col min="10753" max="10753" width="49.140625" style="303" bestFit="1" customWidth="1"/>
    <col min="10754" max="10754" width="14" style="303" bestFit="1" customWidth="1"/>
    <col min="10755" max="10755" width="12.85546875" style="303" bestFit="1" customWidth="1"/>
    <col min="10756" max="10756" width="15" style="303" bestFit="1" customWidth="1"/>
    <col min="10757" max="10757" width="15.28515625" style="303" bestFit="1" customWidth="1"/>
    <col min="10758" max="10758" width="15.140625" style="303" bestFit="1" customWidth="1"/>
    <col min="10759" max="10759" width="15.28515625" style="303" bestFit="1" customWidth="1"/>
    <col min="10760" max="10760" width="13.42578125" style="303" bestFit="1" customWidth="1"/>
    <col min="10761" max="10764" width="12.28515625" style="303" bestFit="1" customWidth="1"/>
    <col min="10765" max="11008" width="9.140625" style="303"/>
    <col min="11009" max="11009" width="49.140625" style="303" bestFit="1" customWidth="1"/>
    <col min="11010" max="11010" width="14" style="303" bestFit="1" customWidth="1"/>
    <col min="11011" max="11011" width="12.85546875" style="303" bestFit="1" customWidth="1"/>
    <col min="11012" max="11012" width="15" style="303" bestFit="1" customWidth="1"/>
    <col min="11013" max="11013" width="15.28515625" style="303" bestFit="1" customWidth="1"/>
    <col min="11014" max="11014" width="15.140625" style="303" bestFit="1" customWidth="1"/>
    <col min="11015" max="11015" width="15.28515625" style="303" bestFit="1" customWidth="1"/>
    <col min="11016" max="11016" width="13.42578125" style="303" bestFit="1" customWidth="1"/>
    <col min="11017" max="11020" width="12.28515625" style="303" bestFit="1" customWidth="1"/>
    <col min="11021" max="11264" width="9.140625" style="303"/>
    <col min="11265" max="11265" width="49.140625" style="303" bestFit="1" customWidth="1"/>
    <col min="11266" max="11266" width="14" style="303" bestFit="1" customWidth="1"/>
    <col min="11267" max="11267" width="12.85546875" style="303" bestFit="1" customWidth="1"/>
    <col min="11268" max="11268" width="15" style="303" bestFit="1" customWidth="1"/>
    <col min="11269" max="11269" width="15.28515625" style="303" bestFit="1" customWidth="1"/>
    <col min="11270" max="11270" width="15.140625" style="303" bestFit="1" customWidth="1"/>
    <col min="11271" max="11271" width="15.28515625" style="303" bestFit="1" customWidth="1"/>
    <col min="11272" max="11272" width="13.42578125" style="303" bestFit="1" customWidth="1"/>
    <col min="11273" max="11276" width="12.28515625" style="303" bestFit="1" customWidth="1"/>
    <col min="11277" max="11520" width="9.140625" style="303"/>
    <col min="11521" max="11521" width="49.140625" style="303" bestFit="1" customWidth="1"/>
    <col min="11522" max="11522" width="14" style="303" bestFit="1" customWidth="1"/>
    <col min="11523" max="11523" width="12.85546875" style="303" bestFit="1" customWidth="1"/>
    <col min="11524" max="11524" width="15" style="303" bestFit="1" customWidth="1"/>
    <col min="11525" max="11525" width="15.28515625" style="303" bestFit="1" customWidth="1"/>
    <col min="11526" max="11526" width="15.140625" style="303" bestFit="1" customWidth="1"/>
    <col min="11527" max="11527" width="15.28515625" style="303" bestFit="1" customWidth="1"/>
    <col min="11528" max="11528" width="13.42578125" style="303" bestFit="1" customWidth="1"/>
    <col min="11529" max="11532" width="12.28515625" style="303" bestFit="1" customWidth="1"/>
    <col min="11533" max="11776" width="9.140625" style="303"/>
    <col min="11777" max="11777" width="49.140625" style="303" bestFit="1" customWidth="1"/>
    <col min="11778" max="11778" width="14" style="303" bestFit="1" customWidth="1"/>
    <col min="11779" max="11779" width="12.85546875" style="303" bestFit="1" customWidth="1"/>
    <col min="11780" max="11780" width="15" style="303" bestFit="1" customWidth="1"/>
    <col min="11781" max="11781" width="15.28515625" style="303" bestFit="1" customWidth="1"/>
    <col min="11782" max="11782" width="15.140625" style="303" bestFit="1" customWidth="1"/>
    <col min="11783" max="11783" width="15.28515625" style="303" bestFit="1" customWidth="1"/>
    <col min="11784" max="11784" width="13.42578125" style="303" bestFit="1" customWidth="1"/>
    <col min="11785" max="11788" width="12.28515625" style="303" bestFit="1" customWidth="1"/>
    <col min="11789" max="12032" width="9.140625" style="303"/>
    <col min="12033" max="12033" width="49.140625" style="303" bestFit="1" customWidth="1"/>
    <col min="12034" max="12034" width="14" style="303" bestFit="1" customWidth="1"/>
    <col min="12035" max="12035" width="12.85546875" style="303" bestFit="1" customWidth="1"/>
    <col min="12036" max="12036" width="15" style="303" bestFit="1" customWidth="1"/>
    <col min="12037" max="12037" width="15.28515625" style="303" bestFit="1" customWidth="1"/>
    <col min="12038" max="12038" width="15.140625" style="303" bestFit="1" customWidth="1"/>
    <col min="12039" max="12039" width="15.28515625" style="303" bestFit="1" customWidth="1"/>
    <col min="12040" max="12040" width="13.42578125" style="303" bestFit="1" customWidth="1"/>
    <col min="12041" max="12044" width="12.28515625" style="303" bestFit="1" customWidth="1"/>
    <col min="12045" max="12288" width="9.140625" style="303"/>
    <col min="12289" max="12289" width="49.140625" style="303" bestFit="1" customWidth="1"/>
    <col min="12290" max="12290" width="14" style="303" bestFit="1" customWidth="1"/>
    <col min="12291" max="12291" width="12.85546875" style="303" bestFit="1" customWidth="1"/>
    <col min="12292" max="12292" width="15" style="303" bestFit="1" customWidth="1"/>
    <col min="12293" max="12293" width="15.28515625" style="303" bestFit="1" customWidth="1"/>
    <col min="12294" max="12294" width="15.140625" style="303" bestFit="1" customWidth="1"/>
    <col min="12295" max="12295" width="15.28515625" style="303" bestFit="1" customWidth="1"/>
    <col min="12296" max="12296" width="13.42578125" style="303" bestFit="1" customWidth="1"/>
    <col min="12297" max="12300" width="12.28515625" style="303" bestFit="1" customWidth="1"/>
    <col min="12301" max="12544" width="9.140625" style="303"/>
    <col min="12545" max="12545" width="49.140625" style="303" bestFit="1" customWidth="1"/>
    <col min="12546" max="12546" width="14" style="303" bestFit="1" customWidth="1"/>
    <col min="12547" max="12547" width="12.85546875" style="303" bestFit="1" customWidth="1"/>
    <col min="12548" max="12548" width="15" style="303" bestFit="1" customWidth="1"/>
    <col min="12549" max="12549" width="15.28515625" style="303" bestFit="1" customWidth="1"/>
    <col min="12550" max="12550" width="15.140625" style="303" bestFit="1" customWidth="1"/>
    <col min="12551" max="12551" width="15.28515625" style="303" bestFit="1" customWidth="1"/>
    <col min="12552" max="12552" width="13.42578125" style="303" bestFit="1" customWidth="1"/>
    <col min="12553" max="12556" width="12.28515625" style="303" bestFit="1" customWidth="1"/>
    <col min="12557" max="12800" width="9.140625" style="303"/>
    <col min="12801" max="12801" width="49.140625" style="303" bestFit="1" customWidth="1"/>
    <col min="12802" max="12802" width="14" style="303" bestFit="1" customWidth="1"/>
    <col min="12803" max="12803" width="12.85546875" style="303" bestFit="1" customWidth="1"/>
    <col min="12804" max="12804" width="15" style="303" bestFit="1" customWidth="1"/>
    <col min="12805" max="12805" width="15.28515625" style="303" bestFit="1" customWidth="1"/>
    <col min="12806" max="12806" width="15.140625" style="303" bestFit="1" customWidth="1"/>
    <col min="12807" max="12807" width="15.28515625" style="303" bestFit="1" customWidth="1"/>
    <col min="12808" max="12808" width="13.42578125" style="303" bestFit="1" customWidth="1"/>
    <col min="12809" max="12812" width="12.28515625" style="303" bestFit="1" customWidth="1"/>
    <col min="12813" max="13056" width="9.140625" style="303"/>
    <col min="13057" max="13057" width="49.140625" style="303" bestFit="1" customWidth="1"/>
    <col min="13058" max="13058" width="14" style="303" bestFit="1" customWidth="1"/>
    <col min="13059" max="13059" width="12.85546875" style="303" bestFit="1" customWidth="1"/>
    <col min="13060" max="13060" width="15" style="303" bestFit="1" customWidth="1"/>
    <col min="13061" max="13061" width="15.28515625" style="303" bestFit="1" customWidth="1"/>
    <col min="13062" max="13062" width="15.140625" style="303" bestFit="1" customWidth="1"/>
    <col min="13063" max="13063" width="15.28515625" style="303" bestFit="1" customWidth="1"/>
    <col min="13064" max="13064" width="13.42578125" style="303" bestFit="1" customWidth="1"/>
    <col min="13065" max="13068" width="12.28515625" style="303" bestFit="1" customWidth="1"/>
    <col min="13069" max="13312" width="9.140625" style="303"/>
    <col min="13313" max="13313" width="49.140625" style="303" bestFit="1" customWidth="1"/>
    <col min="13314" max="13314" width="14" style="303" bestFit="1" customWidth="1"/>
    <col min="13315" max="13315" width="12.85546875" style="303" bestFit="1" customWidth="1"/>
    <col min="13316" max="13316" width="15" style="303" bestFit="1" customWidth="1"/>
    <col min="13317" max="13317" width="15.28515625" style="303" bestFit="1" customWidth="1"/>
    <col min="13318" max="13318" width="15.140625" style="303" bestFit="1" customWidth="1"/>
    <col min="13319" max="13319" width="15.28515625" style="303" bestFit="1" customWidth="1"/>
    <col min="13320" max="13320" width="13.42578125" style="303" bestFit="1" customWidth="1"/>
    <col min="13321" max="13324" width="12.28515625" style="303" bestFit="1" customWidth="1"/>
    <col min="13325" max="13568" width="9.140625" style="303"/>
    <col min="13569" max="13569" width="49.140625" style="303" bestFit="1" customWidth="1"/>
    <col min="13570" max="13570" width="14" style="303" bestFit="1" customWidth="1"/>
    <col min="13571" max="13571" width="12.85546875" style="303" bestFit="1" customWidth="1"/>
    <col min="13572" max="13572" width="15" style="303" bestFit="1" customWidth="1"/>
    <col min="13573" max="13573" width="15.28515625" style="303" bestFit="1" customWidth="1"/>
    <col min="13574" max="13574" width="15.140625" style="303" bestFit="1" customWidth="1"/>
    <col min="13575" max="13575" width="15.28515625" style="303" bestFit="1" customWidth="1"/>
    <col min="13576" max="13576" width="13.42578125" style="303" bestFit="1" customWidth="1"/>
    <col min="13577" max="13580" width="12.28515625" style="303" bestFit="1" customWidth="1"/>
    <col min="13581" max="13824" width="9.140625" style="303"/>
    <col min="13825" max="13825" width="49.140625" style="303" bestFit="1" customWidth="1"/>
    <col min="13826" max="13826" width="14" style="303" bestFit="1" customWidth="1"/>
    <col min="13827" max="13827" width="12.85546875" style="303" bestFit="1" customWidth="1"/>
    <col min="13828" max="13828" width="15" style="303" bestFit="1" customWidth="1"/>
    <col min="13829" max="13829" width="15.28515625" style="303" bestFit="1" customWidth="1"/>
    <col min="13830" max="13830" width="15.140625" style="303" bestFit="1" customWidth="1"/>
    <col min="13831" max="13831" width="15.28515625" style="303" bestFit="1" customWidth="1"/>
    <col min="13832" max="13832" width="13.42578125" style="303" bestFit="1" customWidth="1"/>
    <col min="13833" max="13836" width="12.28515625" style="303" bestFit="1" customWidth="1"/>
    <col min="13837" max="14080" width="9.140625" style="303"/>
    <col min="14081" max="14081" width="49.140625" style="303" bestFit="1" customWidth="1"/>
    <col min="14082" max="14082" width="14" style="303" bestFit="1" customWidth="1"/>
    <col min="14083" max="14083" width="12.85546875" style="303" bestFit="1" customWidth="1"/>
    <col min="14084" max="14084" width="15" style="303" bestFit="1" customWidth="1"/>
    <col min="14085" max="14085" width="15.28515625" style="303" bestFit="1" customWidth="1"/>
    <col min="14086" max="14086" width="15.140625" style="303" bestFit="1" customWidth="1"/>
    <col min="14087" max="14087" width="15.28515625" style="303" bestFit="1" customWidth="1"/>
    <col min="14088" max="14088" width="13.42578125" style="303" bestFit="1" customWidth="1"/>
    <col min="14089" max="14092" width="12.28515625" style="303" bestFit="1" customWidth="1"/>
    <col min="14093" max="14336" width="9.140625" style="303"/>
    <col min="14337" max="14337" width="49.140625" style="303" bestFit="1" customWidth="1"/>
    <col min="14338" max="14338" width="14" style="303" bestFit="1" customWidth="1"/>
    <col min="14339" max="14339" width="12.85546875" style="303" bestFit="1" customWidth="1"/>
    <col min="14340" max="14340" width="15" style="303" bestFit="1" customWidth="1"/>
    <col min="14341" max="14341" width="15.28515625" style="303" bestFit="1" customWidth="1"/>
    <col min="14342" max="14342" width="15.140625" style="303" bestFit="1" customWidth="1"/>
    <col min="14343" max="14343" width="15.28515625" style="303" bestFit="1" customWidth="1"/>
    <col min="14344" max="14344" width="13.42578125" style="303" bestFit="1" customWidth="1"/>
    <col min="14345" max="14348" width="12.28515625" style="303" bestFit="1" customWidth="1"/>
    <col min="14349" max="14592" width="9.140625" style="303"/>
    <col min="14593" max="14593" width="49.140625" style="303" bestFit="1" customWidth="1"/>
    <col min="14594" max="14594" width="14" style="303" bestFit="1" customWidth="1"/>
    <col min="14595" max="14595" width="12.85546875" style="303" bestFit="1" customWidth="1"/>
    <col min="14596" max="14596" width="15" style="303" bestFit="1" customWidth="1"/>
    <col min="14597" max="14597" width="15.28515625" style="303" bestFit="1" customWidth="1"/>
    <col min="14598" max="14598" width="15.140625" style="303" bestFit="1" customWidth="1"/>
    <col min="14599" max="14599" width="15.28515625" style="303" bestFit="1" customWidth="1"/>
    <col min="14600" max="14600" width="13.42578125" style="303" bestFit="1" customWidth="1"/>
    <col min="14601" max="14604" width="12.28515625" style="303" bestFit="1" customWidth="1"/>
    <col min="14605" max="14848" width="9.140625" style="303"/>
    <col min="14849" max="14849" width="49.140625" style="303" bestFit="1" customWidth="1"/>
    <col min="14850" max="14850" width="14" style="303" bestFit="1" customWidth="1"/>
    <col min="14851" max="14851" width="12.85546875" style="303" bestFit="1" customWidth="1"/>
    <col min="14852" max="14852" width="15" style="303" bestFit="1" customWidth="1"/>
    <col min="14853" max="14853" width="15.28515625" style="303" bestFit="1" customWidth="1"/>
    <col min="14854" max="14854" width="15.140625" style="303" bestFit="1" customWidth="1"/>
    <col min="14855" max="14855" width="15.28515625" style="303" bestFit="1" customWidth="1"/>
    <col min="14856" max="14856" width="13.42578125" style="303" bestFit="1" customWidth="1"/>
    <col min="14857" max="14860" width="12.28515625" style="303" bestFit="1" customWidth="1"/>
    <col min="14861" max="15104" width="9.140625" style="303"/>
    <col min="15105" max="15105" width="49.140625" style="303" bestFit="1" customWidth="1"/>
    <col min="15106" max="15106" width="14" style="303" bestFit="1" customWidth="1"/>
    <col min="15107" max="15107" width="12.85546875" style="303" bestFit="1" customWidth="1"/>
    <col min="15108" max="15108" width="15" style="303" bestFit="1" customWidth="1"/>
    <col min="15109" max="15109" width="15.28515625" style="303" bestFit="1" customWidth="1"/>
    <col min="15110" max="15110" width="15.140625" style="303" bestFit="1" customWidth="1"/>
    <col min="15111" max="15111" width="15.28515625" style="303" bestFit="1" customWidth="1"/>
    <col min="15112" max="15112" width="13.42578125" style="303" bestFit="1" customWidth="1"/>
    <col min="15113" max="15116" width="12.28515625" style="303" bestFit="1" customWidth="1"/>
    <col min="15117" max="15360" width="9.140625" style="303"/>
    <col min="15361" max="15361" width="49.140625" style="303" bestFit="1" customWidth="1"/>
    <col min="15362" max="15362" width="14" style="303" bestFit="1" customWidth="1"/>
    <col min="15363" max="15363" width="12.85546875" style="303" bestFit="1" customWidth="1"/>
    <col min="15364" max="15364" width="15" style="303" bestFit="1" customWidth="1"/>
    <col min="15365" max="15365" width="15.28515625" style="303" bestFit="1" customWidth="1"/>
    <col min="15366" max="15366" width="15.140625" style="303" bestFit="1" customWidth="1"/>
    <col min="15367" max="15367" width="15.28515625" style="303" bestFit="1" customWidth="1"/>
    <col min="15368" max="15368" width="13.42578125" style="303" bestFit="1" customWidth="1"/>
    <col min="15369" max="15372" width="12.28515625" style="303" bestFit="1" customWidth="1"/>
    <col min="15373" max="15616" width="9.140625" style="303"/>
    <col min="15617" max="15617" width="49.140625" style="303" bestFit="1" customWidth="1"/>
    <col min="15618" max="15618" width="14" style="303" bestFit="1" customWidth="1"/>
    <col min="15619" max="15619" width="12.85546875" style="303" bestFit="1" customWidth="1"/>
    <col min="15620" max="15620" width="15" style="303" bestFit="1" customWidth="1"/>
    <col min="15621" max="15621" width="15.28515625" style="303" bestFit="1" customWidth="1"/>
    <col min="15622" max="15622" width="15.140625" style="303" bestFit="1" customWidth="1"/>
    <col min="15623" max="15623" width="15.28515625" style="303" bestFit="1" customWidth="1"/>
    <col min="15624" max="15624" width="13.42578125" style="303" bestFit="1" customWidth="1"/>
    <col min="15625" max="15628" width="12.28515625" style="303" bestFit="1" customWidth="1"/>
    <col min="15629" max="15872" width="9.140625" style="303"/>
    <col min="15873" max="15873" width="49.140625" style="303" bestFit="1" customWidth="1"/>
    <col min="15874" max="15874" width="14" style="303" bestFit="1" customWidth="1"/>
    <col min="15875" max="15875" width="12.85546875" style="303" bestFit="1" customWidth="1"/>
    <col min="15876" max="15876" width="15" style="303" bestFit="1" customWidth="1"/>
    <col min="15877" max="15877" width="15.28515625" style="303" bestFit="1" customWidth="1"/>
    <col min="15878" max="15878" width="15.140625" style="303" bestFit="1" customWidth="1"/>
    <col min="15879" max="15879" width="15.28515625" style="303" bestFit="1" customWidth="1"/>
    <col min="15880" max="15880" width="13.42578125" style="303" bestFit="1" customWidth="1"/>
    <col min="15881" max="15884" width="12.28515625" style="303" bestFit="1" customWidth="1"/>
    <col min="15885" max="16128" width="9.140625" style="303"/>
    <col min="16129" max="16129" width="49.140625" style="303" bestFit="1" customWidth="1"/>
    <col min="16130" max="16130" width="14" style="303" bestFit="1" customWidth="1"/>
    <col min="16131" max="16131" width="12.85546875" style="303" bestFit="1" customWidth="1"/>
    <col min="16132" max="16132" width="15" style="303" bestFit="1" customWidth="1"/>
    <col min="16133" max="16133" width="15.28515625" style="303" bestFit="1" customWidth="1"/>
    <col min="16134" max="16134" width="15.140625" style="303" bestFit="1" customWidth="1"/>
    <col min="16135" max="16135" width="15.28515625" style="303" bestFit="1" customWidth="1"/>
    <col min="16136" max="16136" width="13.42578125" style="303" bestFit="1" customWidth="1"/>
    <col min="16137" max="16140" width="12.28515625" style="303" bestFit="1" customWidth="1"/>
    <col min="16141" max="16384" width="9.140625" style="303"/>
  </cols>
  <sheetData>
    <row r="2" spans="1:15" x14ac:dyDescent="0.2">
      <c r="A2" s="339" t="s">
        <v>114</v>
      </c>
    </row>
    <row r="3" spans="1:15" x14ac:dyDescent="0.2">
      <c r="A3" s="327"/>
      <c r="B3" s="328"/>
      <c r="C3" s="328">
        <v>2009</v>
      </c>
      <c r="D3" s="328">
        <f>C3+1</f>
        <v>2010</v>
      </c>
      <c r="E3" s="328">
        <f t="shared" ref="E3:L3" si="0">D3+1</f>
        <v>2011</v>
      </c>
      <c r="F3" s="328">
        <f t="shared" si="0"/>
        <v>2012</v>
      </c>
      <c r="G3" s="329">
        <f t="shared" si="0"/>
        <v>2013</v>
      </c>
      <c r="H3" s="328">
        <f t="shared" si="0"/>
        <v>2014</v>
      </c>
      <c r="I3" s="328">
        <f t="shared" si="0"/>
        <v>2015</v>
      </c>
      <c r="J3" s="328">
        <f t="shared" si="0"/>
        <v>2016</v>
      </c>
      <c r="K3" s="328">
        <f t="shared" si="0"/>
        <v>2017</v>
      </c>
      <c r="L3" s="329">
        <f t="shared" si="0"/>
        <v>2018</v>
      </c>
    </row>
    <row r="4" spans="1:15" x14ac:dyDescent="0.2">
      <c r="A4" s="330"/>
      <c r="B4" s="319" t="s">
        <v>242</v>
      </c>
      <c r="C4" s="305">
        <v>1</v>
      </c>
      <c r="D4" s="305">
        <v>2</v>
      </c>
      <c r="E4" s="305">
        <v>3</v>
      </c>
      <c r="F4" s="305">
        <v>4</v>
      </c>
      <c r="G4" s="306">
        <v>5</v>
      </c>
      <c r="H4" s="319"/>
      <c r="I4" s="319"/>
      <c r="J4" s="319"/>
      <c r="K4" s="319"/>
      <c r="L4" s="304"/>
    </row>
    <row r="5" spans="1:15" ht="15" x14ac:dyDescent="0.25">
      <c r="A5" s="330" t="s">
        <v>243</v>
      </c>
      <c r="B5" s="319"/>
      <c r="C5" s="331">
        <v>26.709441155814186</v>
      </c>
      <c r="D5" s="331">
        <v>32.987117720988692</v>
      </c>
      <c r="E5" s="331">
        <v>29.059338211899462</v>
      </c>
      <c r="F5" s="331">
        <v>28.300437098757001</v>
      </c>
      <c r="G5" s="307">
        <v>30.499684183931276</v>
      </c>
      <c r="H5" s="331">
        <v>32.071270137753913</v>
      </c>
      <c r="I5" s="331">
        <v>32.723364192687903</v>
      </c>
      <c r="J5" s="331">
        <v>33.373552711761121</v>
      </c>
      <c r="K5" s="331">
        <v>34.086826599326599</v>
      </c>
      <c r="L5" s="307">
        <v>34.086826599326599</v>
      </c>
    </row>
    <row r="6" spans="1:15" x14ac:dyDescent="0.2">
      <c r="A6" s="330"/>
      <c r="B6" s="319"/>
      <c r="C6" s="305"/>
      <c r="D6" s="305"/>
      <c r="E6" s="305"/>
      <c r="F6" s="305"/>
      <c r="G6" s="306"/>
      <c r="H6" s="319"/>
      <c r="I6" s="319"/>
      <c r="J6" s="319"/>
      <c r="K6" s="319"/>
      <c r="L6" s="304"/>
    </row>
    <row r="7" spans="1:15" ht="15" x14ac:dyDescent="0.25">
      <c r="A7" s="332" t="s">
        <v>244</v>
      </c>
      <c r="B7" s="319"/>
      <c r="C7" s="333">
        <v>1</v>
      </c>
      <c r="D7" s="333">
        <f>101.336632307425/100</f>
        <v>1.01336632307425</v>
      </c>
      <c r="E7" s="333">
        <f>103.496790804262/100</f>
        <v>1.03496790804262</v>
      </c>
      <c r="F7" s="333">
        <f>105.348355230122/100</f>
        <v>1.05348355230122</v>
      </c>
      <c r="G7" s="310">
        <f>107.080316628473/100</f>
        <v>1.0708031662847299</v>
      </c>
      <c r="H7" s="333">
        <f>109.20852011796/100</f>
        <v>1.0920852011796001</v>
      </c>
      <c r="I7" s="333">
        <f>111.409763624246/100</f>
        <v>1.1140976362424599</v>
      </c>
      <c r="J7" s="333">
        <f>113.72969715783/100</f>
        <v>1.1372969715783001</v>
      </c>
      <c r="K7" s="333">
        <f>116.171972719554/100</f>
        <v>1.16171972719554</v>
      </c>
      <c r="L7" s="334">
        <f>118.634334285897/100</f>
        <v>1.18634334285897</v>
      </c>
    </row>
    <row r="8" spans="1:15" ht="15" x14ac:dyDescent="0.25">
      <c r="A8" s="335" t="s">
        <v>245</v>
      </c>
      <c r="B8" s="305"/>
      <c r="C8" s="336">
        <v>1</v>
      </c>
      <c r="D8" s="336">
        <f>110.484305201021/100</f>
        <v>1.1048430520102099</v>
      </c>
      <c r="E8" s="336">
        <f>119.411096043395/100</f>
        <v>1.1941109604339502</v>
      </c>
      <c r="F8" s="336">
        <f>125.990646936822/100</f>
        <v>1.25990646936822</v>
      </c>
      <c r="G8" s="337">
        <f>135.43993299298/100</f>
        <v>1.3543993299298001</v>
      </c>
      <c r="H8" s="336">
        <f>143.024589183153/100</f>
        <v>1.4302458918315302</v>
      </c>
      <c r="I8" s="336">
        <f>151.034022016592/100</f>
        <v>1.51034022016592</v>
      </c>
      <c r="J8" s="336">
        <f>159.492162571793/100</f>
        <v>1.5949216257179299</v>
      </c>
      <c r="K8" s="336">
        <f>168.423440491385/100</f>
        <v>1.68423440491385</v>
      </c>
      <c r="L8" s="338">
        <f>177.855276802808/100</f>
        <v>1.7785527680280799</v>
      </c>
    </row>
    <row r="9" spans="1:15" ht="15" x14ac:dyDescent="0.25">
      <c r="C9" s="309"/>
      <c r="D9" s="309"/>
      <c r="E9" s="309"/>
      <c r="F9" s="309"/>
      <c r="G9" s="310"/>
      <c r="H9" s="309"/>
      <c r="I9" s="309"/>
      <c r="J9" s="309"/>
      <c r="K9" s="309"/>
      <c r="L9" s="311"/>
    </row>
    <row r="10" spans="1:15" x14ac:dyDescent="0.2">
      <c r="C10" s="319"/>
      <c r="D10" s="319"/>
      <c r="E10" s="319"/>
      <c r="F10" s="319"/>
      <c r="G10" s="304"/>
    </row>
    <row r="11" spans="1:15" s="312" customFormat="1" ht="15" x14ac:dyDescent="0.25">
      <c r="A11" s="320"/>
      <c r="B11" s="320"/>
      <c r="C11" s="320"/>
      <c r="D11" s="320"/>
      <c r="E11" s="320"/>
      <c r="F11" s="320"/>
      <c r="G11" s="320"/>
      <c r="H11" s="320"/>
      <c r="I11" s="320"/>
      <c r="J11" s="320"/>
      <c r="K11" s="320"/>
      <c r="L11" s="320"/>
      <c r="M11" s="320"/>
    </row>
    <row r="12" spans="1:15" s="312" customFormat="1" ht="15" x14ac:dyDescent="0.25">
      <c r="A12" s="320"/>
      <c r="B12" s="320"/>
      <c r="C12" s="320"/>
      <c r="D12" s="320"/>
      <c r="E12" s="320"/>
      <c r="F12" s="320"/>
      <c r="G12" s="320"/>
      <c r="H12" s="320"/>
      <c r="I12" s="320"/>
      <c r="J12" s="320"/>
      <c r="K12" s="320"/>
      <c r="L12" s="320"/>
      <c r="M12" s="320"/>
    </row>
    <row r="13" spans="1:15" x14ac:dyDescent="0.2">
      <c r="A13" s="323"/>
      <c r="B13" s="323"/>
      <c r="C13" s="323"/>
      <c r="D13" s="323"/>
      <c r="E13" s="323"/>
      <c r="F13" s="323"/>
      <c r="G13" s="323"/>
      <c r="H13" s="323"/>
      <c r="I13" s="323"/>
      <c r="J13" s="323"/>
      <c r="K13" s="323"/>
      <c r="L13" s="323"/>
      <c r="M13" s="323"/>
      <c r="N13" s="324"/>
      <c r="O13" s="324"/>
    </row>
    <row r="14" spans="1:15" x14ac:dyDescent="0.2">
      <c r="A14" s="323"/>
      <c r="B14" s="323"/>
      <c r="C14" s="325"/>
      <c r="D14" s="325"/>
      <c r="E14" s="325"/>
      <c r="F14" s="325"/>
      <c r="G14" s="325"/>
      <c r="H14" s="325"/>
      <c r="I14" s="325"/>
      <c r="J14" s="325"/>
      <c r="K14" s="325"/>
      <c r="L14" s="325"/>
      <c r="M14" s="323"/>
      <c r="N14" s="324"/>
      <c r="O14" s="324"/>
    </row>
    <row r="15" spans="1:15" x14ac:dyDescent="0.2">
      <c r="A15" s="323"/>
      <c r="B15" s="323"/>
      <c r="C15" s="326"/>
      <c r="D15" s="326"/>
      <c r="E15" s="326"/>
      <c r="F15" s="326"/>
      <c r="G15" s="326"/>
      <c r="H15" s="326"/>
      <c r="I15" s="326"/>
      <c r="J15" s="326"/>
      <c r="K15" s="326"/>
      <c r="L15" s="326"/>
      <c r="M15" s="323"/>
      <c r="N15" s="324"/>
      <c r="O15" s="324"/>
    </row>
    <row r="16" spans="1:15" x14ac:dyDescent="0.2">
      <c r="A16" s="319"/>
      <c r="B16" s="319"/>
      <c r="C16" s="319"/>
      <c r="D16" s="319"/>
      <c r="E16" s="319"/>
      <c r="F16" s="319"/>
      <c r="G16" s="319"/>
      <c r="H16" s="319"/>
      <c r="I16" s="319"/>
      <c r="J16" s="319"/>
      <c r="K16" s="319"/>
      <c r="L16" s="319"/>
      <c r="M16" s="319"/>
    </row>
    <row r="17" spans="1:13" s="312" customFormat="1" ht="15" x14ac:dyDescent="0.25">
      <c r="A17" s="320"/>
      <c r="B17" s="320"/>
      <c r="C17" s="320"/>
      <c r="D17" s="320"/>
      <c r="E17" s="320"/>
      <c r="F17" s="320"/>
      <c r="G17" s="320"/>
      <c r="H17" s="320"/>
      <c r="I17" s="320"/>
      <c r="J17" s="320"/>
      <c r="K17" s="320"/>
      <c r="L17" s="320"/>
      <c r="M17" s="320"/>
    </row>
    <row r="18" spans="1:13" s="313" customFormat="1" ht="15" x14ac:dyDescent="0.25">
      <c r="A18" s="316"/>
      <c r="B18" s="316"/>
      <c r="C18" s="316"/>
      <c r="D18" s="316"/>
      <c r="E18" s="316"/>
      <c r="F18" s="316"/>
      <c r="G18" s="316"/>
      <c r="H18" s="316"/>
      <c r="I18" s="316"/>
      <c r="J18" s="316"/>
      <c r="K18" s="316"/>
      <c r="L18" s="316"/>
      <c r="M18" s="316"/>
    </row>
    <row r="19" spans="1:13" s="313" customFormat="1" ht="15" x14ac:dyDescent="0.25">
      <c r="A19" s="316"/>
      <c r="B19" s="316"/>
      <c r="C19" s="316"/>
      <c r="D19" s="316"/>
      <c r="E19" s="316"/>
      <c r="F19" s="316"/>
      <c r="G19" s="316"/>
      <c r="H19" s="316"/>
      <c r="I19" s="316"/>
      <c r="J19" s="316"/>
      <c r="K19" s="316"/>
      <c r="L19" s="316"/>
      <c r="M19" s="316"/>
    </row>
    <row r="20" spans="1:13" s="314" customFormat="1" ht="15" x14ac:dyDescent="0.25">
      <c r="A20" s="321"/>
      <c r="B20" s="321"/>
      <c r="C20" s="321"/>
      <c r="D20" s="321"/>
      <c r="E20" s="321"/>
      <c r="F20" s="321"/>
      <c r="G20" s="321"/>
      <c r="H20" s="321"/>
      <c r="I20" s="316"/>
      <c r="J20" s="316"/>
      <c r="K20" s="321"/>
      <c r="L20" s="321"/>
      <c r="M20" s="321"/>
    </row>
    <row r="21" spans="1:13" ht="15" x14ac:dyDescent="0.25">
      <c r="A21" s="319"/>
      <c r="B21" s="319"/>
      <c r="C21" s="319"/>
      <c r="D21" s="319"/>
      <c r="E21" s="319"/>
      <c r="F21" s="319"/>
      <c r="G21" s="316"/>
      <c r="H21" s="316"/>
      <c r="I21" s="316"/>
      <c r="J21" s="316"/>
      <c r="K21" s="319"/>
      <c r="L21" s="319"/>
      <c r="M21" s="319"/>
    </row>
    <row r="22" spans="1:13" s="313" customFormat="1" ht="15" x14ac:dyDescent="0.25">
      <c r="A22" s="322"/>
      <c r="B22" s="316"/>
      <c r="C22" s="316"/>
      <c r="D22" s="316"/>
      <c r="E22" s="316"/>
      <c r="F22" s="316"/>
      <c r="G22" s="316"/>
      <c r="H22" s="316"/>
      <c r="I22" s="316"/>
      <c r="J22" s="316"/>
      <c r="K22" s="316"/>
      <c r="L22" s="316"/>
      <c r="M22" s="316"/>
    </row>
    <row r="23" spans="1:13" s="313" customFormat="1" ht="15" x14ac:dyDescent="0.25">
      <c r="A23" s="322"/>
      <c r="B23" s="316"/>
      <c r="C23" s="316"/>
      <c r="D23" s="316"/>
      <c r="E23" s="316"/>
      <c r="F23" s="316"/>
      <c r="G23" s="316"/>
      <c r="H23" s="316"/>
      <c r="I23" s="316"/>
      <c r="J23" s="316"/>
      <c r="K23" s="316"/>
      <c r="L23" s="316"/>
      <c r="M23" s="316"/>
    </row>
    <row r="24" spans="1:13" s="313" customFormat="1" ht="15" x14ac:dyDescent="0.25">
      <c r="A24" s="322"/>
      <c r="B24" s="316"/>
      <c r="C24" s="316"/>
      <c r="D24" s="316"/>
      <c r="E24" s="316"/>
      <c r="F24" s="316"/>
      <c r="G24" s="316"/>
      <c r="H24" s="316"/>
      <c r="I24" s="316"/>
      <c r="J24" s="316"/>
      <c r="K24" s="316"/>
      <c r="L24" s="316"/>
      <c r="M24" s="316"/>
    </row>
    <row r="25" spans="1:13" s="313" customFormat="1" ht="15" x14ac:dyDescent="0.25">
      <c r="A25" s="316"/>
      <c r="B25" s="316"/>
      <c r="C25" s="316"/>
      <c r="D25" s="316"/>
      <c r="E25" s="316"/>
      <c r="F25" s="316"/>
      <c r="G25" s="316"/>
      <c r="H25" s="316"/>
      <c r="I25" s="316"/>
      <c r="J25" s="316"/>
      <c r="K25" s="316"/>
      <c r="L25" s="316"/>
      <c r="M25" s="316"/>
    </row>
    <row r="26" spans="1:13" s="313" customFormat="1" ht="15" x14ac:dyDescent="0.25"/>
    <row r="27" spans="1:13" s="313" customFormat="1" ht="15" x14ac:dyDescent="0.25">
      <c r="J27" s="315" t="s">
        <v>2</v>
      </c>
    </row>
    <row r="28" spans="1:13" s="313" customFormat="1" ht="15" x14ac:dyDescent="0.25">
      <c r="H28" s="315" t="s">
        <v>2</v>
      </c>
      <c r="L28" s="315" t="s">
        <v>2</v>
      </c>
    </row>
    <row r="29" spans="1:13" x14ac:dyDescent="0.2">
      <c r="L29" s="303" t="s">
        <v>2</v>
      </c>
    </row>
    <row r="31" spans="1:13" x14ac:dyDescent="0.2">
      <c r="H31" s="303" t="s">
        <v>2</v>
      </c>
    </row>
    <row r="32" spans="1:13" x14ac:dyDescent="0.2">
      <c r="A32" s="317"/>
      <c r="B32" s="318"/>
    </row>
    <row r="33" spans="12:12" x14ac:dyDescent="0.2">
      <c r="L33" s="308" t="s">
        <v>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workbookViewId="0">
      <selection activeCell="L8" sqref="L8"/>
    </sheetView>
  </sheetViews>
  <sheetFormatPr defaultRowHeight="15" x14ac:dyDescent="0.25"/>
  <cols>
    <col min="1" max="1" width="9.140625" style="173"/>
    <col min="2" max="2" width="0.85546875" style="173" customWidth="1"/>
    <col min="3" max="3" width="47.28515625" style="173" customWidth="1"/>
    <col min="4" max="4" width="12.28515625" style="173" customWidth="1"/>
    <col min="5" max="5" width="0.7109375" style="173" customWidth="1"/>
    <col min="6" max="6" width="8.85546875" style="173" customWidth="1"/>
    <col min="7" max="8" width="7.85546875" style="173" customWidth="1"/>
    <col min="9" max="9" width="8.140625" style="173" customWidth="1"/>
    <col min="10" max="10" width="1.140625" style="173" customWidth="1"/>
    <col min="11" max="14" width="9.140625" style="173"/>
    <col min="15" max="15" width="15.5703125" style="173" customWidth="1"/>
    <col min="16" max="257" width="9.140625" style="173"/>
    <col min="258" max="258" width="0.85546875" style="173" customWidth="1"/>
    <col min="259" max="259" width="47.28515625" style="173" customWidth="1"/>
    <col min="260" max="260" width="12.28515625" style="173" customWidth="1"/>
    <col min="261" max="261" width="0.7109375" style="173" customWidth="1"/>
    <col min="262" max="262" width="8.85546875" style="173" customWidth="1"/>
    <col min="263" max="264" width="7.85546875" style="173" customWidth="1"/>
    <col min="265" max="265" width="8.140625" style="173" customWidth="1"/>
    <col min="266" max="266" width="1.140625" style="173" customWidth="1"/>
    <col min="267" max="270" width="9.140625" style="173"/>
    <col min="271" max="271" width="15.5703125" style="173" customWidth="1"/>
    <col min="272" max="513" width="9.140625" style="173"/>
    <col min="514" max="514" width="0.85546875" style="173" customWidth="1"/>
    <col min="515" max="515" width="47.28515625" style="173" customWidth="1"/>
    <col min="516" max="516" width="12.28515625" style="173" customWidth="1"/>
    <col min="517" max="517" width="0.7109375" style="173" customWidth="1"/>
    <col min="518" max="518" width="8.85546875" style="173" customWidth="1"/>
    <col min="519" max="520" width="7.85546875" style="173" customWidth="1"/>
    <col min="521" max="521" width="8.140625" style="173" customWidth="1"/>
    <col min="522" max="522" width="1.140625" style="173" customWidth="1"/>
    <col min="523" max="526" width="9.140625" style="173"/>
    <col min="527" max="527" width="15.5703125" style="173" customWidth="1"/>
    <col min="528" max="769" width="9.140625" style="173"/>
    <col min="770" max="770" width="0.85546875" style="173" customWidth="1"/>
    <col min="771" max="771" width="47.28515625" style="173" customWidth="1"/>
    <col min="772" max="772" width="12.28515625" style="173" customWidth="1"/>
    <col min="773" max="773" width="0.7109375" style="173" customWidth="1"/>
    <col min="774" max="774" width="8.85546875" style="173" customWidth="1"/>
    <col min="775" max="776" width="7.85546875" style="173" customWidth="1"/>
    <col min="777" max="777" width="8.140625" style="173" customWidth="1"/>
    <col min="778" max="778" width="1.140625" style="173" customWidth="1"/>
    <col min="779" max="782" width="9.140625" style="173"/>
    <col min="783" max="783" width="15.5703125" style="173" customWidth="1"/>
    <col min="784" max="1025" width="9.140625" style="173"/>
    <col min="1026" max="1026" width="0.85546875" style="173" customWidth="1"/>
    <col min="1027" max="1027" width="47.28515625" style="173" customWidth="1"/>
    <col min="1028" max="1028" width="12.28515625" style="173" customWidth="1"/>
    <col min="1029" max="1029" width="0.7109375" style="173" customWidth="1"/>
    <col min="1030" max="1030" width="8.85546875" style="173" customWidth="1"/>
    <col min="1031" max="1032" width="7.85546875" style="173" customWidth="1"/>
    <col min="1033" max="1033" width="8.140625" style="173" customWidth="1"/>
    <col min="1034" max="1034" width="1.140625" style="173" customWidth="1"/>
    <col min="1035" max="1038" width="9.140625" style="173"/>
    <col min="1039" max="1039" width="15.5703125" style="173" customWidth="1"/>
    <col min="1040" max="1281" width="9.140625" style="173"/>
    <col min="1282" max="1282" width="0.85546875" style="173" customWidth="1"/>
    <col min="1283" max="1283" width="47.28515625" style="173" customWidth="1"/>
    <col min="1284" max="1284" width="12.28515625" style="173" customWidth="1"/>
    <col min="1285" max="1285" width="0.7109375" style="173" customWidth="1"/>
    <col min="1286" max="1286" width="8.85546875" style="173" customWidth="1"/>
    <col min="1287" max="1288" width="7.85546875" style="173" customWidth="1"/>
    <col min="1289" max="1289" width="8.140625" style="173" customWidth="1"/>
    <col min="1290" max="1290" width="1.140625" style="173" customWidth="1"/>
    <col min="1291" max="1294" width="9.140625" style="173"/>
    <col min="1295" max="1295" width="15.5703125" style="173" customWidth="1"/>
    <col min="1296" max="1537" width="9.140625" style="173"/>
    <col min="1538" max="1538" width="0.85546875" style="173" customWidth="1"/>
    <col min="1539" max="1539" width="47.28515625" style="173" customWidth="1"/>
    <col min="1540" max="1540" width="12.28515625" style="173" customWidth="1"/>
    <col min="1541" max="1541" width="0.7109375" style="173" customWidth="1"/>
    <col min="1542" max="1542" width="8.85546875" style="173" customWidth="1"/>
    <col min="1543" max="1544" width="7.85546875" style="173" customWidth="1"/>
    <col min="1545" max="1545" width="8.140625" style="173" customWidth="1"/>
    <col min="1546" max="1546" width="1.140625" style="173" customWidth="1"/>
    <col min="1547" max="1550" width="9.140625" style="173"/>
    <col min="1551" max="1551" width="15.5703125" style="173" customWidth="1"/>
    <col min="1552" max="1793" width="9.140625" style="173"/>
    <col min="1794" max="1794" width="0.85546875" style="173" customWidth="1"/>
    <col min="1795" max="1795" width="47.28515625" style="173" customWidth="1"/>
    <col min="1796" max="1796" width="12.28515625" style="173" customWidth="1"/>
    <col min="1797" max="1797" width="0.7109375" style="173" customWidth="1"/>
    <col min="1798" max="1798" width="8.85546875" style="173" customWidth="1"/>
    <col min="1799" max="1800" width="7.85546875" style="173" customWidth="1"/>
    <col min="1801" max="1801" width="8.140625" style="173" customWidth="1"/>
    <col min="1802" max="1802" width="1.140625" style="173" customWidth="1"/>
    <col min="1803" max="1806" width="9.140625" style="173"/>
    <col min="1807" max="1807" width="15.5703125" style="173" customWidth="1"/>
    <col min="1808" max="2049" width="9.140625" style="173"/>
    <col min="2050" max="2050" width="0.85546875" style="173" customWidth="1"/>
    <col min="2051" max="2051" width="47.28515625" style="173" customWidth="1"/>
    <col min="2052" max="2052" width="12.28515625" style="173" customWidth="1"/>
    <col min="2053" max="2053" width="0.7109375" style="173" customWidth="1"/>
    <col min="2054" max="2054" width="8.85546875" style="173" customWidth="1"/>
    <col min="2055" max="2056" width="7.85546875" style="173" customWidth="1"/>
    <col min="2057" max="2057" width="8.140625" style="173" customWidth="1"/>
    <col min="2058" max="2058" width="1.140625" style="173" customWidth="1"/>
    <col min="2059" max="2062" width="9.140625" style="173"/>
    <col min="2063" max="2063" width="15.5703125" style="173" customWidth="1"/>
    <col min="2064" max="2305" width="9.140625" style="173"/>
    <col min="2306" max="2306" width="0.85546875" style="173" customWidth="1"/>
    <col min="2307" max="2307" width="47.28515625" style="173" customWidth="1"/>
    <col min="2308" max="2308" width="12.28515625" style="173" customWidth="1"/>
    <col min="2309" max="2309" width="0.7109375" style="173" customWidth="1"/>
    <col min="2310" max="2310" width="8.85546875" style="173" customWidth="1"/>
    <col min="2311" max="2312" width="7.85546875" style="173" customWidth="1"/>
    <col min="2313" max="2313" width="8.140625" style="173" customWidth="1"/>
    <col min="2314" max="2314" width="1.140625" style="173" customWidth="1"/>
    <col min="2315" max="2318" width="9.140625" style="173"/>
    <col min="2319" max="2319" width="15.5703125" style="173" customWidth="1"/>
    <col min="2320" max="2561" width="9.140625" style="173"/>
    <col min="2562" max="2562" width="0.85546875" style="173" customWidth="1"/>
    <col min="2563" max="2563" width="47.28515625" style="173" customWidth="1"/>
    <col min="2564" max="2564" width="12.28515625" style="173" customWidth="1"/>
    <col min="2565" max="2565" width="0.7109375" style="173" customWidth="1"/>
    <col min="2566" max="2566" width="8.85546875" style="173" customWidth="1"/>
    <col min="2567" max="2568" width="7.85546875" style="173" customWidth="1"/>
    <col min="2569" max="2569" width="8.140625" style="173" customWidth="1"/>
    <col min="2570" max="2570" width="1.140625" style="173" customWidth="1"/>
    <col min="2571" max="2574" width="9.140625" style="173"/>
    <col min="2575" max="2575" width="15.5703125" style="173" customWidth="1"/>
    <col min="2576" max="2817" width="9.140625" style="173"/>
    <col min="2818" max="2818" width="0.85546875" style="173" customWidth="1"/>
    <col min="2819" max="2819" width="47.28515625" style="173" customWidth="1"/>
    <col min="2820" max="2820" width="12.28515625" style="173" customWidth="1"/>
    <col min="2821" max="2821" width="0.7109375" style="173" customWidth="1"/>
    <col min="2822" max="2822" width="8.85546875" style="173" customWidth="1"/>
    <col min="2823" max="2824" width="7.85546875" style="173" customWidth="1"/>
    <col min="2825" max="2825" width="8.140625" style="173" customWidth="1"/>
    <col min="2826" max="2826" width="1.140625" style="173" customWidth="1"/>
    <col min="2827" max="2830" width="9.140625" style="173"/>
    <col min="2831" max="2831" width="15.5703125" style="173" customWidth="1"/>
    <col min="2832" max="3073" width="9.140625" style="173"/>
    <col min="3074" max="3074" width="0.85546875" style="173" customWidth="1"/>
    <col min="3075" max="3075" width="47.28515625" style="173" customWidth="1"/>
    <col min="3076" max="3076" width="12.28515625" style="173" customWidth="1"/>
    <col min="3077" max="3077" width="0.7109375" style="173" customWidth="1"/>
    <col min="3078" max="3078" width="8.85546875" style="173" customWidth="1"/>
    <col min="3079" max="3080" width="7.85546875" style="173" customWidth="1"/>
    <col min="3081" max="3081" width="8.140625" style="173" customWidth="1"/>
    <col min="3082" max="3082" width="1.140625" style="173" customWidth="1"/>
    <col min="3083" max="3086" width="9.140625" style="173"/>
    <col min="3087" max="3087" width="15.5703125" style="173" customWidth="1"/>
    <col min="3088" max="3329" width="9.140625" style="173"/>
    <col min="3330" max="3330" width="0.85546875" style="173" customWidth="1"/>
    <col min="3331" max="3331" width="47.28515625" style="173" customWidth="1"/>
    <col min="3332" max="3332" width="12.28515625" style="173" customWidth="1"/>
    <col min="3333" max="3333" width="0.7109375" style="173" customWidth="1"/>
    <col min="3334" max="3334" width="8.85546875" style="173" customWidth="1"/>
    <col min="3335" max="3336" width="7.85546875" style="173" customWidth="1"/>
    <col min="3337" max="3337" width="8.140625" style="173" customWidth="1"/>
    <col min="3338" max="3338" width="1.140625" style="173" customWidth="1"/>
    <col min="3339" max="3342" width="9.140625" style="173"/>
    <col min="3343" max="3343" width="15.5703125" style="173" customWidth="1"/>
    <col min="3344" max="3585" width="9.140625" style="173"/>
    <col min="3586" max="3586" width="0.85546875" style="173" customWidth="1"/>
    <col min="3587" max="3587" width="47.28515625" style="173" customWidth="1"/>
    <col min="3588" max="3588" width="12.28515625" style="173" customWidth="1"/>
    <col min="3589" max="3589" width="0.7109375" style="173" customWidth="1"/>
    <col min="3590" max="3590" width="8.85546875" style="173" customWidth="1"/>
    <col min="3591" max="3592" width="7.85546875" style="173" customWidth="1"/>
    <col min="3593" max="3593" width="8.140625" style="173" customWidth="1"/>
    <col min="3594" max="3594" width="1.140625" style="173" customWidth="1"/>
    <col min="3595" max="3598" width="9.140625" style="173"/>
    <col min="3599" max="3599" width="15.5703125" style="173" customWidth="1"/>
    <col min="3600" max="3841" width="9.140625" style="173"/>
    <col min="3842" max="3842" width="0.85546875" style="173" customWidth="1"/>
    <col min="3843" max="3843" width="47.28515625" style="173" customWidth="1"/>
    <col min="3844" max="3844" width="12.28515625" style="173" customWidth="1"/>
    <col min="3845" max="3845" width="0.7109375" style="173" customWidth="1"/>
    <col min="3846" max="3846" width="8.85546875" style="173" customWidth="1"/>
    <col min="3847" max="3848" width="7.85546875" style="173" customWidth="1"/>
    <col min="3849" max="3849" width="8.140625" style="173" customWidth="1"/>
    <col min="3850" max="3850" width="1.140625" style="173" customWidth="1"/>
    <col min="3851" max="3854" width="9.140625" style="173"/>
    <col min="3855" max="3855" width="15.5703125" style="173" customWidth="1"/>
    <col min="3856" max="4097" width="9.140625" style="173"/>
    <col min="4098" max="4098" width="0.85546875" style="173" customWidth="1"/>
    <col min="4099" max="4099" width="47.28515625" style="173" customWidth="1"/>
    <col min="4100" max="4100" width="12.28515625" style="173" customWidth="1"/>
    <col min="4101" max="4101" width="0.7109375" style="173" customWidth="1"/>
    <col min="4102" max="4102" width="8.85546875" style="173" customWidth="1"/>
    <col min="4103" max="4104" width="7.85546875" style="173" customWidth="1"/>
    <col min="4105" max="4105" width="8.140625" style="173" customWidth="1"/>
    <col min="4106" max="4106" width="1.140625" style="173" customWidth="1"/>
    <col min="4107" max="4110" width="9.140625" style="173"/>
    <col min="4111" max="4111" width="15.5703125" style="173" customWidth="1"/>
    <col min="4112" max="4353" width="9.140625" style="173"/>
    <col min="4354" max="4354" width="0.85546875" style="173" customWidth="1"/>
    <col min="4355" max="4355" width="47.28515625" style="173" customWidth="1"/>
    <col min="4356" max="4356" width="12.28515625" style="173" customWidth="1"/>
    <col min="4357" max="4357" width="0.7109375" style="173" customWidth="1"/>
    <col min="4358" max="4358" width="8.85546875" style="173" customWidth="1"/>
    <col min="4359" max="4360" width="7.85546875" style="173" customWidth="1"/>
    <col min="4361" max="4361" width="8.140625" style="173" customWidth="1"/>
    <col min="4362" max="4362" width="1.140625" style="173" customWidth="1"/>
    <col min="4363" max="4366" width="9.140625" style="173"/>
    <col min="4367" max="4367" width="15.5703125" style="173" customWidth="1"/>
    <col min="4368" max="4609" width="9.140625" style="173"/>
    <col min="4610" max="4610" width="0.85546875" style="173" customWidth="1"/>
    <col min="4611" max="4611" width="47.28515625" style="173" customWidth="1"/>
    <col min="4612" max="4612" width="12.28515625" style="173" customWidth="1"/>
    <col min="4613" max="4613" width="0.7109375" style="173" customWidth="1"/>
    <col min="4614" max="4614" width="8.85546875" style="173" customWidth="1"/>
    <col min="4615" max="4616" width="7.85546875" style="173" customWidth="1"/>
    <col min="4617" max="4617" width="8.140625" style="173" customWidth="1"/>
    <col min="4618" max="4618" width="1.140625" style="173" customWidth="1"/>
    <col min="4619" max="4622" width="9.140625" style="173"/>
    <col min="4623" max="4623" width="15.5703125" style="173" customWidth="1"/>
    <col min="4624" max="4865" width="9.140625" style="173"/>
    <col min="4866" max="4866" width="0.85546875" style="173" customWidth="1"/>
    <col min="4867" max="4867" width="47.28515625" style="173" customWidth="1"/>
    <col min="4868" max="4868" width="12.28515625" style="173" customWidth="1"/>
    <col min="4869" max="4869" width="0.7109375" style="173" customWidth="1"/>
    <col min="4870" max="4870" width="8.85546875" style="173" customWidth="1"/>
    <col min="4871" max="4872" width="7.85546875" style="173" customWidth="1"/>
    <col min="4873" max="4873" width="8.140625" style="173" customWidth="1"/>
    <col min="4874" max="4874" width="1.140625" style="173" customWidth="1"/>
    <col min="4875" max="4878" width="9.140625" style="173"/>
    <col min="4879" max="4879" width="15.5703125" style="173" customWidth="1"/>
    <col min="4880" max="5121" width="9.140625" style="173"/>
    <col min="5122" max="5122" width="0.85546875" style="173" customWidth="1"/>
    <col min="5123" max="5123" width="47.28515625" style="173" customWidth="1"/>
    <col min="5124" max="5124" width="12.28515625" style="173" customWidth="1"/>
    <col min="5125" max="5125" width="0.7109375" style="173" customWidth="1"/>
    <col min="5126" max="5126" width="8.85546875" style="173" customWidth="1"/>
    <col min="5127" max="5128" width="7.85546875" style="173" customWidth="1"/>
    <col min="5129" max="5129" width="8.140625" style="173" customWidth="1"/>
    <col min="5130" max="5130" width="1.140625" style="173" customWidth="1"/>
    <col min="5131" max="5134" width="9.140625" style="173"/>
    <col min="5135" max="5135" width="15.5703125" style="173" customWidth="1"/>
    <col min="5136" max="5377" width="9.140625" style="173"/>
    <col min="5378" max="5378" width="0.85546875" style="173" customWidth="1"/>
    <col min="5379" max="5379" width="47.28515625" style="173" customWidth="1"/>
    <col min="5380" max="5380" width="12.28515625" style="173" customWidth="1"/>
    <col min="5381" max="5381" width="0.7109375" style="173" customWidth="1"/>
    <col min="5382" max="5382" width="8.85546875" style="173" customWidth="1"/>
    <col min="5383" max="5384" width="7.85546875" style="173" customWidth="1"/>
    <col min="5385" max="5385" width="8.140625" style="173" customWidth="1"/>
    <col min="5386" max="5386" width="1.140625" style="173" customWidth="1"/>
    <col min="5387" max="5390" width="9.140625" style="173"/>
    <col min="5391" max="5391" width="15.5703125" style="173" customWidth="1"/>
    <col min="5392" max="5633" width="9.140625" style="173"/>
    <col min="5634" max="5634" width="0.85546875" style="173" customWidth="1"/>
    <col min="5635" max="5635" width="47.28515625" style="173" customWidth="1"/>
    <col min="5636" max="5636" width="12.28515625" style="173" customWidth="1"/>
    <col min="5637" max="5637" width="0.7109375" style="173" customWidth="1"/>
    <col min="5638" max="5638" width="8.85546875" style="173" customWidth="1"/>
    <col min="5639" max="5640" width="7.85546875" style="173" customWidth="1"/>
    <col min="5641" max="5641" width="8.140625" style="173" customWidth="1"/>
    <col min="5642" max="5642" width="1.140625" style="173" customWidth="1"/>
    <col min="5643" max="5646" width="9.140625" style="173"/>
    <col min="5647" max="5647" width="15.5703125" style="173" customWidth="1"/>
    <col min="5648" max="5889" width="9.140625" style="173"/>
    <col min="5890" max="5890" width="0.85546875" style="173" customWidth="1"/>
    <col min="5891" max="5891" width="47.28515625" style="173" customWidth="1"/>
    <col min="5892" max="5892" width="12.28515625" style="173" customWidth="1"/>
    <col min="5893" max="5893" width="0.7109375" style="173" customWidth="1"/>
    <col min="5894" max="5894" width="8.85546875" style="173" customWidth="1"/>
    <col min="5895" max="5896" width="7.85546875" style="173" customWidth="1"/>
    <col min="5897" max="5897" width="8.140625" style="173" customWidth="1"/>
    <col min="5898" max="5898" width="1.140625" style="173" customWidth="1"/>
    <col min="5899" max="5902" width="9.140625" style="173"/>
    <col min="5903" max="5903" width="15.5703125" style="173" customWidth="1"/>
    <col min="5904" max="6145" width="9.140625" style="173"/>
    <col min="6146" max="6146" width="0.85546875" style="173" customWidth="1"/>
    <col min="6147" max="6147" width="47.28515625" style="173" customWidth="1"/>
    <col min="6148" max="6148" width="12.28515625" style="173" customWidth="1"/>
    <col min="6149" max="6149" width="0.7109375" style="173" customWidth="1"/>
    <col min="6150" max="6150" width="8.85546875" style="173" customWidth="1"/>
    <col min="6151" max="6152" width="7.85546875" style="173" customWidth="1"/>
    <col min="6153" max="6153" width="8.140625" style="173" customWidth="1"/>
    <col min="6154" max="6154" width="1.140625" style="173" customWidth="1"/>
    <col min="6155" max="6158" width="9.140625" style="173"/>
    <col min="6159" max="6159" width="15.5703125" style="173" customWidth="1"/>
    <col min="6160" max="6401" width="9.140625" style="173"/>
    <col min="6402" max="6402" width="0.85546875" style="173" customWidth="1"/>
    <col min="6403" max="6403" width="47.28515625" style="173" customWidth="1"/>
    <col min="6404" max="6404" width="12.28515625" style="173" customWidth="1"/>
    <col min="6405" max="6405" width="0.7109375" style="173" customWidth="1"/>
    <col min="6406" max="6406" width="8.85546875" style="173" customWidth="1"/>
    <col min="6407" max="6408" width="7.85546875" style="173" customWidth="1"/>
    <col min="6409" max="6409" width="8.140625" style="173" customWidth="1"/>
    <col min="6410" max="6410" width="1.140625" style="173" customWidth="1"/>
    <col min="6411" max="6414" width="9.140625" style="173"/>
    <col min="6415" max="6415" width="15.5703125" style="173" customWidth="1"/>
    <col min="6416" max="6657" width="9.140625" style="173"/>
    <col min="6658" max="6658" width="0.85546875" style="173" customWidth="1"/>
    <col min="6659" max="6659" width="47.28515625" style="173" customWidth="1"/>
    <col min="6660" max="6660" width="12.28515625" style="173" customWidth="1"/>
    <col min="6661" max="6661" width="0.7109375" style="173" customWidth="1"/>
    <col min="6662" max="6662" width="8.85546875" style="173" customWidth="1"/>
    <col min="6663" max="6664" width="7.85546875" style="173" customWidth="1"/>
    <col min="6665" max="6665" width="8.140625" style="173" customWidth="1"/>
    <col min="6666" max="6666" width="1.140625" style="173" customWidth="1"/>
    <col min="6667" max="6670" width="9.140625" style="173"/>
    <col min="6671" max="6671" width="15.5703125" style="173" customWidth="1"/>
    <col min="6672" max="6913" width="9.140625" style="173"/>
    <col min="6914" max="6914" width="0.85546875" style="173" customWidth="1"/>
    <col min="6915" max="6915" width="47.28515625" style="173" customWidth="1"/>
    <col min="6916" max="6916" width="12.28515625" style="173" customWidth="1"/>
    <col min="6917" max="6917" width="0.7109375" style="173" customWidth="1"/>
    <col min="6918" max="6918" width="8.85546875" style="173" customWidth="1"/>
    <col min="6919" max="6920" width="7.85546875" style="173" customWidth="1"/>
    <col min="6921" max="6921" width="8.140625" style="173" customWidth="1"/>
    <col min="6922" max="6922" width="1.140625" style="173" customWidth="1"/>
    <col min="6923" max="6926" width="9.140625" style="173"/>
    <col min="6927" max="6927" width="15.5703125" style="173" customWidth="1"/>
    <col min="6928" max="7169" width="9.140625" style="173"/>
    <col min="7170" max="7170" width="0.85546875" style="173" customWidth="1"/>
    <col min="7171" max="7171" width="47.28515625" style="173" customWidth="1"/>
    <col min="7172" max="7172" width="12.28515625" style="173" customWidth="1"/>
    <col min="7173" max="7173" width="0.7109375" style="173" customWidth="1"/>
    <col min="7174" max="7174" width="8.85546875" style="173" customWidth="1"/>
    <col min="7175" max="7176" width="7.85546875" style="173" customWidth="1"/>
    <col min="7177" max="7177" width="8.140625" style="173" customWidth="1"/>
    <col min="7178" max="7178" width="1.140625" style="173" customWidth="1"/>
    <col min="7179" max="7182" width="9.140625" style="173"/>
    <col min="7183" max="7183" width="15.5703125" style="173" customWidth="1"/>
    <col min="7184" max="7425" width="9.140625" style="173"/>
    <col min="7426" max="7426" width="0.85546875" style="173" customWidth="1"/>
    <col min="7427" max="7427" width="47.28515625" style="173" customWidth="1"/>
    <col min="7428" max="7428" width="12.28515625" style="173" customWidth="1"/>
    <col min="7429" max="7429" width="0.7109375" style="173" customWidth="1"/>
    <col min="7430" max="7430" width="8.85546875" style="173" customWidth="1"/>
    <col min="7431" max="7432" width="7.85546875" style="173" customWidth="1"/>
    <col min="7433" max="7433" width="8.140625" style="173" customWidth="1"/>
    <col min="7434" max="7434" width="1.140625" style="173" customWidth="1"/>
    <col min="7435" max="7438" width="9.140625" style="173"/>
    <col min="7439" max="7439" width="15.5703125" style="173" customWidth="1"/>
    <col min="7440" max="7681" width="9.140625" style="173"/>
    <col min="7682" max="7682" width="0.85546875" style="173" customWidth="1"/>
    <col min="7683" max="7683" width="47.28515625" style="173" customWidth="1"/>
    <col min="7684" max="7684" width="12.28515625" style="173" customWidth="1"/>
    <col min="7685" max="7685" width="0.7109375" style="173" customWidth="1"/>
    <col min="7686" max="7686" width="8.85546875" style="173" customWidth="1"/>
    <col min="7687" max="7688" width="7.85546875" style="173" customWidth="1"/>
    <col min="7689" max="7689" width="8.140625" style="173" customWidth="1"/>
    <col min="7690" max="7690" width="1.140625" style="173" customWidth="1"/>
    <col min="7691" max="7694" width="9.140625" style="173"/>
    <col min="7695" max="7695" width="15.5703125" style="173" customWidth="1"/>
    <col min="7696" max="7937" width="9.140625" style="173"/>
    <col min="7938" max="7938" width="0.85546875" style="173" customWidth="1"/>
    <col min="7939" max="7939" width="47.28515625" style="173" customWidth="1"/>
    <col min="7940" max="7940" width="12.28515625" style="173" customWidth="1"/>
    <col min="7941" max="7941" width="0.7109375" style="173" customWidth="1"/>
    <col min="7942" max="7942" width="8.85546875" style="173" customWidth="1"/>
    <col min="7943" max="7944" width="7.85546875" style="173" customWidth="1"/>
    <col min="7945" max="7945" width="8.140625" style="173" customWidth="1"/>
    <col min="7946" max="7946" width="1.140625" style="173" customWidth="1"/>
    <col min="7947" max="7950" width="9.140625" style="173"/>
    <col min="7951" max="7951" width="15.5703125" style="173" customWidth="1"/>
    <col min="7952" max="8193" width="9.140625" style="173"/>
    <col min="8194" max="8194" width="0.85546875" style="173" customWidth="1"/>
    <col min="8195" max="8195" width="47.28515625" style="173" customWidth="1"/>
    <col min="8196" max="8196" width="12.28515625" style="173" customWidth="1"/>
    <col min="8197" max="8197" width="0.7109375" style="173" customWidth="1"/>
    <col min="8198" max="8198" width="8.85546875" style="173" customWidth="1"/>
    <col min="8199" max="8200" width="7.85546875" style="173" customWidth="1"/>
    <col min="8201" max="8201" width="8.140625" style="173" customWidth="1"/>
    <col min="8202" max="8202" width="1.140625" style="173" customWidth="1"/>
    <col min="8203" max="8206" width="9.140625" style="173"/>
    <col min="8207" max="8207" width="15.5703125" style="173" customWidth="1"/>
    <col min="8208" max="8449" width="9.140625" style="173"/>
    <col min="8450" max="8450" width="0.85546875" style="173" customWidth="1"/>
    <col min="8451" max="8451" width="47.28515625" style="173" customWidth="1"/>
    <col min="8452" max="8452" width="12.28515625" style="173" customWidth="1"/>
    <col min="8453" max="8453" width="0.7109375" style="173" customWidth="1"/>
    <col min="8454" max="8454" width="8.85546875" style="173" customWidth="1"/>
    <col min="8455" max="8456" width="7.85546875" style="173" customWidth="1"/>
    <col min="8457" max="8457" width="8.140625" style="173" customWidth="1"/>
    <col min="8458" max="8458" width="1.140625" style="173" customWidth="1"/>
    <col min="8459" max="8462" width="9.140625" style="173"/>
    <col min="8463" max="8463" width="15.5703125" style="173" customWidth="1"/>
    <col min="8464" max="8705" width="9.140625" style="173"/>
    <col min="8706" max="8706" width="0.85546875" style="173" customWidth="1"/>
    <col min="8707" max="8707" width="47.28515625" style="173" customWidth="1"/>
    <col min="8708" max="8708" width="12.28515625" style="173" customWidth="1"/>
    <col min="8709" max="8709" width="0.7109375" style="173" customWidth="1"/>
    <col min="8710" max="8710" width="8.85546875" style="173" customWidth="1"/>
    <col min="8711" max="8712" width="7.85546875" style="173" customWidth="1"/>
    <col min="8713" max="8713" width="8.140625" style="173" customWidth="1"/>
    <col min="8714" max="8714" width="1.140625" style="173" customWidth="1"/>
    <col min="8715" max="8718" width="9.140625" style="173"/>
    <col min="8719" max="8719" width="15.5703125" style="173" customWidth="1"/>
    <col min="8720" max="8961" width="9.140625" style="173"/>
    <col min="8962" max="8962" width="0.85546875" style="173" customWidth="1"/>
    <col min="8963" max="8963" width="47.28515625" style="173" customWidth="1"/>
    <col min="8964" max="8964" width="12.28515625" style="173" customWidth="1"/>
    <col min="8965" max="8965" width="0.7109375" style="173" customWidth="1"/>
    <col min="8966" max="8966" width="8.85546875" style="173" customWidth="1"/>
    <col min="8967" max="8968" width="7.85546875" style="173" customWidth="1"/>
    <col min="8969" max="8969" width="8.140625" style="173" customWidth="1"/>
    <col min="8970" max="8970" width="1.140625" style="173" customWidth="1"/>
    <col min="8971" max="8974" width="9.140625" style="173"/>
    <col min="8975" max="8975" width="15.5703125" style="173" customWidth="1"/>
    <col min="8976" max="9217" width="9.140625" style="173"/>
    <col min="9218" max="9218" width="0.85546875" style="173" customWidth="1"/>
    <col min="9219" max="9219" width="47.28515625" style="173" customWidth="1"/>
    <col min="9220" max="9220" width="12.28515625" style="173" customWidth="1"/>
    <col min="9221" max="9221" width="0.7109375" style="173" customWidth="1"/>
    <col min="9222" max="9222" width="8.85546875" style="173" customWidth="1"/>
    <col min="9223" max="9224" width="7.85546875" style="173" customWidth="1"/>
    <col min="9225" max="9225" width="8.140625" style="173" customWidth="1"/>
    <col min="9226" max="9226" width="1.140625" style="173" customWidth="1"/>
    <col min="9227" max="9230" width="9.140625" style="173"/>
    <col min="9231" max="9231" width="15.5703125" style="173" customWidth="1"/>
    <col min="9232" max="9473" width="9.140625" style="173"/>
    <col min="9474" max="9474" width="0.85546875" style="173" customWidth="1"/>
    <col min="9475" max="9475" width="47.28515625" style="173" customWidth="1"/>
    <col min="9476" max="9476" width="12.28515625" style="173" customWidth="1"/>
    <col min="9477" max="9477" width="0.7109375" style="173" customWidth="1"/>
    <col min="9478" max="9478" width="8.85546875" style="173" customWidth="1"/>
    <col min="9479" max="9480" width="7.85546875" style="173" customWidth="1"/>
    <col min="9481" max="9481" width="8.140625" style="173" customWidth="1"/>
    <col min="9482" max="9482" width="1.140625" style="173" customWidth="1"/>
    <col min="9483" max="9486" width="9.140625" style="173"/>
    <col min="9487" max="9487" width="15.5703125" style="173" customWidth="1"/>
    <col min="9488" max="9729" width="9.140625" style="173"/>
    <col min="9730" max="9730" width="0.85546875" style="173" customWidth="1"/>
    <col min="9731" max="9731" width="47.28515625" style="173" customWidth="1"/>
    <col min="9732" max="9732" width="12.28515625" style="173" customWidth="1"/>
    <col min="9733" max="9733" width="0.7109375" style="173" customWidth="1"/>
    <col min="9734" max="9734" width="8.85546875" style="173" customWidth="1"/>
    <col min="9735" max="9736" width="7.85546875" style="173" customWidth="1"/>
    <col min="9737" max="9737" width="8.140625" style="173" customWidth="1"/>
    <col min="9738" max="9738" width="1.140625" style="173" customWidth="1"/>
    <col min="9739" max="9742" width="9.140625" style="173"/>
    <col min="9743" max="9743" width="15.5703125" style="173" customWidth="1"/>
    <col min="9744" max="9985" width="9.140625" style="173"/>
    <col min="9986" max="9986" width="0.85546875" style="173" customWidth="1"/>
    <col min="9987" max="9987" width="47.28515625" style="173" customWidth="1"/>
    <col min="9988" max="9988" width="12.28515625" style="173" customWidth="1"/>
    <col min="9989" max="9989" width="0.7109375" style="173" customWidth="1"/>
    <col min="9990" max="9990" width="8.85546875" style="173" customWidth="1"/>
    <col min="9991" max="9992" width="7.85546875" style="173" customWidth="1"/>
    <col min="9993" max="9993" width="8.140625" style="173" customWidth="1"/>
    <col min="9994" max="9994" width="1.140625" style="173" customWidth="1"/>
    <col min="9995" max="9998" width="9.140625" style="173"/>
    <col min="9999" max="9999" width="15.5703125" style="173" customWidth="1"/>
    <col min="10000" max="10241" width="9.140625" style="173"/>
    <col min="10242" max="10242" width="0.85546875" style="173" customWidth="1"/>
    <col min="10243" max="10243" width="47.28515625" style="173" customWidth="1"/>
    <col min="10244" max="10244" width="12.28515625" style="173" customWidth="1"/>
    <col min="10245" max="10245" width="0.7109375" style="173" customWidth="1"/>
    <col min="10246" max="10246" width="8.85546875" style="173" customWidth="1"/>
    <col min="10247" max="10248" width="7.85546875" style="173" customWidth="1"/>
    <col min="10249" max="10249" width="8.140625" style="173" customWidth="1"/>
    <col min="10250" max="10250" width="1.140625" style="173" customWidth="1"/>
    <col min="10251" max="10254" width="9.140625" style="173"/>
    <col min="10255" max="10255" width="15.5703125" style="173" customWidth="1"/>
    <col min="10256" max="10497" width="9.140625" style="173"/>
    <col min="10498" max="10498" width="0.85546875" style="173" customWidth="1"/>
    <col min="10499" max="10499" width="47.28515625" style="173" customWidth="1"/>
    <col min="10500" max="10500" width="12.28515625" style="173" customWidth="1"/>
    <col min="10501" max="10501" width="0.7109375" style="173" customWidth="1"/>
    <col min="10502" max="10502" width="8.85546875" style="173" customWidth="1"/>
    <col min="10503" max="10504" width="7.85546875" style="173" customWidth="1"/>
    <col min="10505" max="10505" width="8.140625" style="173" customWidth="1"/>
    <col min="10506" max="10506" width="1.140625" style="173" customWidth="1"/>
    <col min="10507" max="10510" width="9.140625" style="173"/>
    <col min="10511" max="10511" width="15.5703125" style="173" customWidth="1"/>
    <col min="10512" max="10753" width="9.140625" style="173"/>
    <col min="10754" max="10754" width="0.85546875" style="173" customWidth="1"/>
    <col min="10755" max="10755" width="47.28515625" style="173" customWidth="1"/>
    <col min="10756" max="10756" width="12.28515625" style="173" customWidth="1"/>
    <col min="10757" max="10757" width="0.7109375" style="173" customWidth="1"/>
    <col min="10758" max="10758" width="8.85546875" style="173" customWidth="1"/>
    <col min="10759" max="10760" width="7.85546875" style="173" customWidth="1"/>
    <col min="10761" max="10761" width="8.140625" style="173" customWidth="1"/>
    <col min="10762" max="10762" width="1.140625" style="173" customWidth="1"/>
    <col min="10763" max="10766" width="9.140625" style="173"/>
    <col min="10767" max="10767" width="15.5703125" style="173" customWidth="1"/>
    <col min="10768" max="11009" width="9.140625" style="173"/>
    <col min="11010" max="11010" width="0.85546875" style="173" customWidth="1"/>
    <col min="11011" max="11011" width="47.28515625" style="173" customWidth="1"/>
    <col min="11012" max="11012" width="12.28515625" style="173" customWidth="1"/>
    <col min="11013" max="11013" width="0.7109375" style="173" customWidth="1"/>
    <col min="11014" max="11014" width="8.85546875" style="173" customWidth="1"/>
    <col min="11015" max="11016" width="7.85546875" style="173" customWidth="1"/>
    <col min="11017" max="11017" width="8.140625" style="173" customWidth="1"/>
    <col min="11018" max="11018" width="1.140625" style="173" customWidth="1"/>
    <col min="11019" max="11022" width="9.140625" style="173"/>
    <col min="11023" max="11023" width="15.5703125" style="173" customWidth="1"/>
    <col min="11024" max="11265" width="9.140625" style="173"/>
    <col min="11266" max="11266" width="0.85546875" style="173" customWidth="1"/>
    <col min="11267" max="11267" width="47.28515625" style="173" customWidth="1"/>
    <col min="11268" max="11268" width="12.28515625" style="173" customWidth="1"/>
    <col min="11269" max="11269" width="0.7109375" style="173" customWidth="1"/>
    <col min="11270" max="11270" width="8.85546875" style="173" customWidth="1"/>
    <col min="11271" max="11272" width="7.85546875" style="173" customWidth="1"/>
    <col min="11273" max="11273" width="8.140625" style="173" customWidth="1"/>
    <col min="11274" max="11274" width="1.140625" style="173" customWidth="1"/>
    <col min="11275" max="11278" width="9.140625" style="173"/>
    <col min="11279" max="11279" width="15.5703125" style="173" customWidth="1"/>
    <col min="11280" max="11521" width="9.140625" style="173"/>
    <col min="11522" max="11522" width="0.85546875" style="173" customWidth="1"/>
    <col min="11523" max="11523" width="47.28515625" style="173" customWidth="1"/>
    <col min="11524" max="11524" width="12.28515625" style="173" customWidth="1"/>
    <col min="11525" max="11525" width="0.7109375" style="173" customWidth="1"/>
    <col min="11526" max="11526" width="8.85546875" style="173" customWidth="1"/>
    <col min="11527" max="11528" width="7.85546875" style="173" customWidth="1"/>
    <col min="11529" max="11529" width="8.140625" style="173" customWidth="1"/>
    <col min="11530" max="11530" width="1.140625" style="173" customWidth="1"/>
    <col min="11531" max="11534" width="9.140625" style="173"/>
    <col min="11535" max="11535" width="15.5703125" style="173" customWidth="1"/>
    <col min="11536" max="11777" width="9.140625" style="173"/>
    <col min="11778" max="11778" width="0.85546875" style="173" customWidth="1"/>
    <col min="11779" max="11779" width="47.28515625" style="173" customWidth="1"/>
    <col min="11780" max="11780" width="12.28515625" style="173" customWidth="1"/>
    <col min="11781" max="11781" width="0.7109375" style="173" customWidth="1"/>
    <col min="11782" max="11782" width="8.85546875" style="173" customWidth="1"/>
    <col min="11783" max="11784" width="7.85546875" style="173" customWidth="1"/>
    <col min="11785" max="11785" width="8.140625" style="173" customWidth="1"/>
    <col min="11786" max="11786" width="1.140625" style="173" customWidth="1"/>
    <col min="11787" max="11790" width="9.140625" style="173"/>
    <col min="11791" max="11791" width="15.5703125" style="173" customWidth="1"/>
    <col min="11792" max="12033" width="9.140625" style="173"/>
    <col min="12034" max="12034" width="0.85546875" style="173" customWidth="1"/>
    <col min="12035" max="12035" width="47.28515625" style="173" customWidth="1"/>
    <col min="12036" max="12036" width="12.28515625" style="173" customWidth="1"/>
    <col min="12037" max="12037" width="0.7109375" style="173" customWidth="1"/>
    <col min="12038" max="12038" width="8.85546875" style="173" customWidth="1"/>
    <col min="12039" max="12040" width="7.85546875" style="173" customWidth="1"/>
    <col min="12041" max="12041" width="8.140625" style="173" customWidth="1"/>
    <col min="12042" max="12042" width="1.140625" style="173" customWidth="1"/>
    <col min="12043" max="12046" width="9.140625" style="173"/>
    <col min="12047" max="12047" width="15.5703125" style="173" customWidth="1"/>
    <col min="12048" max="12289" width="9.140625" style="173"/>
    <col min="12290" max="12290" width="0.85546875" style="173" customWidth="1"/>
    <col min="12291" max="12291" width="47.28515625" style="173" customWidth="1"/>
    <col min="12292" max="12292" width="12.28515625" style="173" customWidth="1"/>
    <col min="12293" max="12293" width="0.7109375" style="173" customWidth="1"/>
    <col min="12294" max="12294" width="8.85546875" style="173" customWidth="1"/>
    <col min="12295" max="12296" width="7.85546875" style="173" customWidth="1"/>
    <col min="12297" max="12297" width="8.140625" style="173" customWidth="1"/>
    <col min="12298" max="12298" width="1.140625" style="173" customWidth="1"/>
    <col min="12299" max="12302" width="9.140625" style="173"/>
    <col min="12303" max="12303" width="15.5703125" style="173" customWidth="1"/>
    <col min="12304" max="12545" width="9.140625" style="173"/>
    <col min="12546" max="12546" width="0.85546875" style="173" customWidth="1"/>
    <col min="12547" max="12547" width="47.28515625" style="173" customWidth="1"/>
    <col min="12548" max="12548" width="12.28515625" style="173" customWidth="1"/>
    <col min="12549" max="12549" width="0.7109375" style="173" customWidth="1"/>
    <col min="12550" max="12550" width="8.85546875" style="173" customWidth="1"/>
    <col min="12551" max="12552" width="7.85546875" style="173" customWidth="1"/>
    <col min="12553" max="12553" width="8.140625" style="173" customWidth="1"/>
    <col min="12554" max="12554" width="1.140625" style="173" customWidth="1"/>
    <col min="12555" max="12558" width="9.140625" style="173"/>
    <col min="12559" max="12559" width="15.5703125" style="173" customWidth="1"/>
    <col min="12560" max="12801" width="9.140625" style="173"/>
    <col min="12802" max="12802" width="0.85546875" style="173" customWidth="1"/>
    <col min="12803" max="12803" width="47.28515625" style="173" customWidth="1"/>
    <col min="12804" max="12804" width="12.28515625" style="173" customWidth="1"/>
    <col min="12805" max="12805" width="0.7109375" style="173" customWidth="1"/>
    <col min="12806" max="12806" width="8.85546875" style="173" customWidth="1"/>
    <col min="12807" max="12808" width="7.85546875" style="173" customWidth="1"/>
    <col min="12809" max="12809" width="8.140625" style="173" customWidth="1"/>
    <col min="12810" max="12810" width="1.140625" style="173" customWidth="1"/>
    <col min="12811" max="12814" width="9.140625" style="173"/>
    <col min="12815" max="12815" width="15.5703125" style="173" customWidth="1"/>
    <col min="12816" max="13057" width="9.140625" style="173"/>
    <col min="13058" max="13058" width="0.85546875" style="173" customWidth="1"/>
    <col min="13059" max="13059" width="47.28515625" style="173" customWidth="1"/>
    <col min="13060" max="13060" width="12.28515625" style="173" customWidth="1"/>
    <col min="13061" max="13061" width="0.7109375" style="173" customWidth="1"/>
    <col min="13062" max="13062" width="8.85546875" style="173" customWidth="1"/>
    <col min="13063" max="13064" width="7.85546875" style="173" customWidth="1"/>
    <col min="13065" max="13065" width="8.140625" style="173" customWidth="1"/>
    <col min="13066" max="13066" width="1.140625" style="173" customWidth="1"/>
    <col min="13067" max="13070" width="9.140625" style="173"/>
    <col min="13071" max="13071" width="15.5703125" style="173" customWidth="1"/>
    <col min="13072" max="13313" width="9.140625" style="173"/>
    <col min="13314" max="13314" width="0.85546875" style="173" customWidth="1"/>
    <col min="13315" max="13315" width="47.28515625" style="173" customWidth="1"/>
    <col min="13316" max="13316" width="12.28515625" style="173" customWidth="1"/>
    <col min="13317" max="13317" width="0.7109375" style="173" customWidth="1"/>
    <col min="13318" max="13318" width="8.85546875" style="173" customWidth="1"/>
    <col min="13319" max="13320" width="7.85546875" style="173" customWidth="1"/>
    <col min="13321" max="13321" width="8.140625" style="173" customWidth="1"/>
    <col min="13322" max="13322" width="1.140625" style="173" customWidth="1"/>
    <col min="13323" max="13326" width="9.140625" style="173"/>
    <col min="13327" max="13327" width="15.5703125" style="173" customWidth="1"/>
    <col min="13328" max="13569" width="9.140625" style="173"/>
    <col min="13570" max="13570" width="0.85546875" style="173" customWidth="1"/>
    <col min="13571" max="13571" width="47.28515625" style="173" customWidth="1"/>
    <col min="13572" max="13572" width="12.28515625" style="173" customWidth="1"/>
    <col min="13573" max="13573" width="0.7109375" style="173" customWidth="1"/>
    <col min="13574" max="13574" width="8.85546875" style="173" customWidth="1"/>
    <col min="13575" max="13576" width="7.85546875" style="173" customWidth="1"/>
    <col min="13577" max="13577" width="8.140625" style="173" customWidth="1"/>
    <col min="13578" max="13578" width="1.140625" style="173" customWidth="1"/>
    <col min="13579" max="13582" width="9.140625" style="173"/>
    <col min="13583" max="13583" width="15.5703125" style="173" customWidth="1"/>
    <col min="13584" max="13825" width="9.140625" style="173"/>
    <col min="13826" max="13826" width="0.85546875" style="173" customWidth="1"/>
    <col min="13827" max="13827" width="47.28515625" style="173" customWidth="1"/>
    <col min="13828" max="13828" width="12.28515625" style="173" customWidth="1"/>
    <col min="13829" max="13829" width="0.7109375" style="173" customWidth="1"/>
    <col min="13830" max="13830" width="8.85546875" style="173" customWidth="1"/>
    <col min="13831" max="13832" width="7.85546875" style="173" customWidth="1"/>
    <col min="13833" max="13833" width="8.140625" style="173" customWidth="1"/>
    <col min="13834" max="13834" width="1.140625" style="173" customWidth="1"/>
    <col min="13835" max="13838" width="9.140625" style="173"/>
    <col min="13839" max="13839" width="15.5703125" style="173" customWidth="1"/>
    <col min="13840" max="14081" width="9.140625" style="173"/>
    <col min="14082" max="14082" width="0.85546875" style="173" customWidth="1"/>
    <col min="14083" max="14083" width="47.28515625" style="173" customWidth="1"/>
    <col min="14084" max="14084" width="12.28515625" style="173" customWidth="1"/>
    <col min="14085" max="14085" width="0.7109375" style="173" customWidth="1"/>
    <col min="14086" max="14086" width="8.85546875" style="173" customWidth="1"/>
    <col min="14087" max="14088" width="7.85546875" style="173" customWidth="1"/>
    <col min="14089" max="14089" width="8.140625" style="173" customWidth="1"/>
    <col min="14090" max="14090" width="1.140625" style="173" customWidth="1"/>
    <col min="14091" max="14094" width="9.140625" style="173"/>
    <col min="14095" max="14095" width="15.5703125" style="173" customWidth="1"/>
    <col min="14096" max="14337" width="9.140625" style="173"/>
    <col min="14338" max="14338" width="0.85546875" style="173" customWidth="1"/>
    <col min="14339" max="14339" width="47.28515625" style="173" customWidth="1"/>
    <col min="14340" max="14340" width="12.28515625" style="173" customWidth="1"/>
    <col min="14341" max="14341" width="0.7109375" style="173" customWidth="1"/>
    <col min="14342" max="14342" width="8.85546875" style="173" customWidth="1"/>
    <col min="14343" max="14344" width="7.85546875" style="173" customWidth="1"/>
    <col min="14345" max="14345" width="8.140625" style="173" customWidth="1"/>
    <col min="14346" max="14346" width="1.140625" style="173" customWidth="1"/>
    <col min="14347" max="14350" width="9.140625" style="173"/>
    <col min="14351" max="14351" width="15.5703125" style="173" customWidth="1"/>
    <col min="14352" max="14593" width="9.140625" style="173"/>
    <col min="14594" max="14594" width="0.85546875" style="173" customWidth="1"/>
    <col min="14595" max="14595" width="47.28515625" style="173" customWidth="1"/>
    <col min="14596" max="14596" width="12.28515625" style="173" customWidth="1"/>
    <col min="14597" max="14597" width="0.7109375" style="173" customWidth="1"/>
    <col min="14598" max="14598" width="8.85546875" style="173" customWidth="1"/>
    <col min="14599" max="14600" width="7.85546875" style="173" customWidth="1"/>
    <col min="14601" max="14601" width="8.140625" style="173" customWidth="1"/>
    <col min="14602" max="14602" width="1.140625" style="173" customWidth="1"/>
    <col min="14603" max="14606" width="9.140625" style="173"/>
    <col min="14607" max="14607" width="15.5703125" style="173" customWidth="1"/>
    <col min="14608" max="14849" width="9.140625" style="173"/>
    <col min="14850" max="14850" width="0.85546875" style="173" customWidth="1"/>
    <col min="14851" max="14851" width="47.28515625" style="173" customWidth="1"/>
    <col min="14852" max="14852" width="12.28515625" style="173" customWidth="1"/>
    <col min="14853" max="14853" width="0.7109375" style="173" customWidth="1"/>
    <col min="14854" max="14854" width="8.85546875" style="173" customWidth="1"/>
    <col min="14855" max="14856" width="7.85546875" style="173" customWidth="1"/>
    <col min="14857" max="14857" width="8.140625" style="173" customWidth="1"/>
    <col min="14858" max="14858" width="1.140625" style="173" customWidth="1"/>
    <col min="14859" max="14862" width="9.140625" style="173"/>
    <col min="14863" max="14863" width="15.5703125" style="173" customWidth="1"/>
    <col min="14864" max="15105" width="9.140625" style="173"/>
    <col min="15106" max="15106" width="0.85546875" style="173" customWidth="1"/>
    <col min="15107" max="15107" width="47.28515625" style="173" customWidth="1"/>
    <col min="15108" max="15108" width="12.28515625" style="173" customWidth="1"/>
    <col min="15109" max="15109" width="0.7109375" style="173" customWidth="1"/>
    <col min="15110" max="15110" width="8.85546875" style="173" customWidth="1"/>
    <col min="15111" max="15112" width="7.85546875" style="173" customWidth="1"/>
    <col min="15113" max="15113" width="8.140625" style="173" customWidth="1"/>
    <col min="15114" max="15114" width="1.140625" style="173" customWidth="1"/>
    <col min="15115" max="15118" width="9.140625" style="173"/>
    <col min="15119" max="15119" width="15.5703125" style="173" customWidth="1"/>
    <col min="15120" max="15361" width="9.140625" style="173"/>
    <col min="15362" max="15362" width="0.85546875" style="173" customWidth="1"/>
    <col min="15363" max="15363" width="47.28515625" style="173" customWidth="1"/>
    <col min="15364" max="15364" width="12.28515625" style="173" customWidth="1"/>
    <col min="15365" max="15365" width="0.7109375" style="173" customWidth="1"/>
    <col min="15366" max="15366" width="8.85546875" style="173" customWidth="1"/>
    <col min="15367" max="15368" width="7.85546875" style="173" customWidth="1"/>
    <col min="15369" max="15369" width="8.140625" style="173" customWidth="1"/>
    <col min="15370" max="15370" width="1.140625" style="173" customWidth="1"/>
    <col min="15371" max="15374" width="9.140625" style="173"/>
    <col min="15375" max="15375" width="15.5703125" style="173" customWidth="1"/>
    <col min="15376" max="15617" width="9.140625" style="173"/>
    <col min="15618" max="15618" width="0.85546875" style="173" customWidth="1"/>
    <col min="15619" max="15619" width="47.28515625" style="173" customWidth="1"/>
    <col min="15620" max="15620" width="12.28515625" style="173" customWidth="1"/>
    <col min="15621" max="15621" width="0.7109375" style="173" customWidth="1"/>
    <col min="15622" max="15622" width="8.85546875" style="173" customWidth="1"/>
    <col min="15623" max="15624" width="7.85546875" style="173" customWidth="1"/>
    <col min="15625" max="15625" width="8.140625" style="173" customWidth="1"/>
    <col min="15626" max="15626" width="1.140625" style="173" customWidth="1"/>
    <col min="15627" max="15630" width="9.140625" style="173"/>
    <col min="15631" max="15631" width="15.5703125" style="173" customWidth="1"/>
    <col min="15632" max="15873" width="9.140625" style="173"/>
    <col min="15874" max="15874" width="0.85546875" style="173" customWidth="1"/>
    <col min="15875" max="15875" width="47.28515625" style="173" customWidth="1"/>
    <col min="15876" max="15876" width="12.28515625" style="173" customWidth="1"/>
    <col min="15877" max="15877" width="0.7109375" style="173" customWidth="1"/>
    <col min="15878" max="15878" width="8.85546875" style="173" customWidth="1"/>
    <col min="15879" max="15880" width="7.85546875" style="173" customWidth="1"/>
    <col min="15881" max="15881" width="8.140625" style="173" customWidth="1"/>
    <col min="15882" max="15882" width="1.140625" style="173" customWidth="1"/>
    <col min="15883" max="15886" width="9.140625" style="173"/>
    <col min="15887" max="15887" width="15.5703125" style="173" customWidth="1"/>
    <col min="15888" max="16129" width="9.140625" style="173"/>
    <col min="16130" max="16130" width="0.85546875" style="173" customWidth="1"/>
    <col min="16131" max="16131" width="47.28515625" style="173" customWidth="1"/>
    <col min="16132" max="16132" width="12.28515625" style="173" customWidth="1"/>
    <col min="16133" max="16133" width="0.7109375" style="173" customWidth="1"/>
    <col min="16134" max="16134" width="8.85546875" style="173" customWidth="1"/>
    <col min="16135" max="16136" width="7.85546875" style="173" customWidth="1"/>
    <col min="16137" max="16137" width="8.140625" style="173" customWidth="1"/>
    <col min="16138" max="16138" width="1.140625" style="173" customWidth="1"/>
    <col min="16139" max="16142" width="9.140625" style="173"/>
    <col min="16143" max="16143" width="15.5703125" style="173" customWidth="1"/>
    <col min="16144" max="16384" width="9.140625" style="173"/>
  </cols>
  <sheetData>
    <row r="1" spans="1:34" x14ac:dyDescent="0.25">
      <c r="A1" s="171"/>
      <c r="B1" s="171"/>
      <c r="C1" s="172"/>
      <c r="D1" s="171"/>
      <c r="E1" s="172"/>
      <c r="F1" s="172"/>
      <c r="G1" s="172"/>
      <c r="H1" s="172"/>
      <c r="I1" s="172"/>
      <c r="J1" s="171"/>
      <c r="L1" s="122" t="s">
        <v>163</v>
      </c>
    </row>
    <row r="2" spans="1:34" ht="20.25" x14ac:dyDescent="0.3">
      <c r="A2" s="171"/>
      <c r="B2" s="172"/>
      <c r="C2" s="172"/>
      <c r="D2" s="392" t="s">
        <v>113</v>
      </c>
      <c r="E2" s="392"/>
      <c r="F2" s="392"/>
      <c r="G2" s="392"/>
      <c r="H2" s="392"/>
      <c r="I2" s="392"/>
      <c r="J2" s="392"/>
    </row>
    <row r="3" spans="1:34" ht="15.75" x14ac:dyDescent="0.25">
      <c r="A3" s="171"/>
      <c r="B3" s="171"/>
      <c r="C3" s="172"/>
      <c r="D3" s="393"/>
      <c r="E3" s="393"/>
      <c r="F3" s="393"/>
      <c r="G3" s="393"/>
      <c r="H3" s="393"/>
      <c r="I3" s="393"/>
      <c r="J3" s="171"/>
    </row>
    <row r="4" spans="1:34" ht="15.75" x14ac:dyDescent="0.25">
      <c r="A4" s="171"/>
      <c r="B4" s="171"/>
      <c r="C4" s="172"/>
      <c r="D4" s="174"/>
      <c r="E4" s="175"/>
      <c r="F4" s="176"/>
      <c r="G4" s="177"/>
      <c r="H4" s="177"/>
      <c r="I4" s="177"/>
      <c r="J4" s="171"/>
    </row>
    <row r="5" spans="1:34" ht="15.75" x14ac:dyDescent="0.25">
      <c r="A5" s="171"/>
      <c r="B5" s="171"/>
      <c r="C5" s="394" t="s">
        <v>114</v>
      </c>
      <c r="D5" s="394"/>
      <c r="E5" s="394"/>
      <c r="F5" s="394"/>
      <c r="G5" s="394"/>
      <c r="H5" s="394"/>
      <c r="I5" s="394"/>
      <c r="J5" s="171"/>
    </row>
    <row r="6" spans="1:34" ht="15.75" thickBot="1" x14ac:dyDescent="0.3">
      <c r="A6" s="171"/>
      <c r="B6" s="171"/>
      <c r="C6" s="395" t="s">
        <v>160</v>
      </c>
      <c r="D6" s="395"/>
      <c r="E6" s="395"/>
      <c r="F6" s="395"/>
      <c r="G6" s="395"/>
      <c r="H6" s="395"/>
      <c r="I6" s="395"/>
      <c r="J6" s="171"/>
    </row>
    <row r="7" spans="1:34" x14ac:dyDescent="0.25">
      <c r="A7" s="171"/>
      <c r="B7" s="178"/>
      <c r="C7" s="179"/>
      <c r="D7" s="180"/>
      <c r="E7" s="181"/>
      <c r="F7" s="181"/>
      <c r="G7" s="181"/>
      <c r="H7" s="181"/>
      <c r="I7" s="181"/>
      <c r="J7" s="182"/>
    </row>
    <row r="8" spans="1:34" x14ac:dyDescent="0.25">
      <c r="A8" s="171"/>
      <c r="B8" s="183"/>
      <c r="C8" s="184" t="s">
        <v>115</v>
      </c>
      <c r="D8" s="185">
        <v>159.69999999999999</v>
      </c>
      <c r="E8" s="186"/>
      <c r="F8" s="396"/>
      <c r="G8" s="396"/>
      <c r="H8" s="396"/>
      <c r="I8" s="187"/>
      <c r="J8" s="188"/>
    </row>
    <row r="9" spans="1:34" x14ac:dyDescent="0.25">
      <c r="A9" s="171"/>
      <c r="B9" s="183"/>
      <c r="C9" s="184" t="s">
        <v>116</v>
      </c>
      <c r="D9" s="189">
        <f>'ERR &amp; Sensitivity Analysis'!D15</f>
        <v>7.3181513179324753E-2</v>
      </c>
      <c r="E9" s="186"/>
      <c r="F9" s="186"/>
      <c r="G9" s="186"/>
      <c r="H9" s="186"/>
      <c r="I9" s="186"/>
      <c r="J9" s="188"/>
    </row>
    <row r="10" spans="1:34" ht="15" customHeight="1" x14ac:dyDescent="0.25">
      <c r="A10" s="171"/>
      <c r="B10" s="183"/>
      <c r="C10" s="184" t="s">
        <v>117</v>
      </c>
      <c r="D10" s="185">
        <f>'ERR &amp; Sensitivity Analysis'!D22*'Poverty Scorecard'!Y12/'Poverty Scorecard'!AC12</f>
        <v>46.692723610153436</v>
      </c>
      <c r="E10" s="186"/>
      <c r="F10" s="186"/>
      <c r="G10" s="186"/>
      <c r="H10" s="186"/>
      <c r="I10" s="186"/>
      <c r="J10" s="188"/>
    </row>
    <row r="11" spans="1:34" x14ac:dyDescent="0.25">
      <c r="A11" s="171"/>
      <c r="B11" s="183"/>
      <c r="C11" s="190" t="s">
        <v>118</v>
      </c>
      <c r="D11" s="191">
        <f>-'ERR &amp; Sensitivity Analysis'!D24*'Poverty Scorecard'!Y12/'Poverty Scorecard'!AC12</f>
        <v>58.779437258337211</v>
      </c>
      <c r="E11" s="186"/>
      <c r="F11" s="171"/>
      <c r="G11" s="171"/>
      <c r="H11" s="171"/>
      <c r="I11" s="171"/>
      <c r="J11" s="188"/>
      <c r="O11" s="192" t="s">
        <v>119</v>
      </c>
      <c r="P11" s="192" t="s">
        <v>120</v>
      </c>
      <c r="Q11" s="192" t="s">
        <v>121</v>
      </c>
      <c r="R11" s="192" t="s">
        <v>122</v>
      </c>
      <c r="S11" s="192" t="s">
        <v>123</v>
      </c>
      <c r="T11" s="192">
        <v>2000</v>
      </c>
      <c r="U11" s="192">
        <v>2001</v>
      </c>
      <c r="V11" s="192">
        <v>2002</v>
      </c>
      <c r="W11" s="192">
        <v>2003</v>
      </c>
      <c r="X11" s="192">
        <v>2004</v>
      </c>
      <c r="Y11" s="192">
        <v>2005</v>
      </c>
      <c r="Z11" s="192">
        <v>2006</v>
      </c>
      <c r="AA11" s="192">
        <v>2007</v>
      </c>
      <c r="AB11" s="192">
        <v>2008</v>
      </c>
      <c r="AC11" s="192">
        <v>2009</v>
      </c>
      <c r="AD11" s="192">
        <v>2010</v>
      </c>
      <c r="AE11" s="192">
        <v>2011</v>
      </c>
      <c r="AF11" s="192">
        <v>2012</v>
      </c>
      <c r="AG11" s="192">
        <v>2013</v>
      </c>
      <c r="AH11" s="192">
        <v>2014</v>
      </c>
    </row>
    <row r="12" spans="1:34" x14ac:dyDescent="0.25">
      <c r="A12" s="171"/>
      <c r="B12" s="183"/>
      <c r="C12" s="190"/>
      <c r="D12" s="193"/>
      <c r="E12" s="186"/>
      <c r="F12" s="391" t="s">
        <v>124</v>
      </c>
      <c r="G12" s="391"/>
      <c r="H12" s="391"/>
      <c r="I12" s="391"/>
      <c r="J12" s="188"/>
      <c r="O12" s="192" t="s">
        <v>125</v>
      </c>
      <c r="P12" s="192" t="s">
        <v>126</v>
      </c>
      <c r="Q12" s="192" t="s">
        <v>127</v>
      </c>
      <c r="R12" s="192"/>
      <c r="S12" s="192" t="s">
        <v>128</v>
      </c>
      <c r="T12" s="192">
        <v>172.19200000000001</v>
      </c>
      <c r="U12" s="192">
        <v>177.042</v>
      </c>
      <c r="V12" s="192">
        <v>179.86699999999999</v>
      </c>
      <c r="W12" s="192">
        <v>184</v>
      </c>
      <c r="X12" s="192">
        <v>188.90799999999999</v>
      </c>
      <c r="Y12" s="192">
        <v>195.267</v>
      </c>
      <c r="Z12" s="192">
        <v>201.55799999999999</v>
      </c>
      <c r="AA12" s="192">
        <v>207.34399999999999</v>
      </c>
      <c r="AB12" s="192">
        <v>215.25399999999999</v>
      </c>
      <c r="AC12" s="192">
        <v>214.565</v>
      </c>
      <c r="AD12" s="192">
        <v>218.08</v>
      </c>
      <c r="AE12" s="192">
        <v>224.93199999999999</v>
      </c>
      <c r="AF12" s="192">
        <v>229.59899999999999</v>
      </c>
      <c r="AG12" s="192">
        <v>232.96</v>
      </c>
      <c r="AH12" s="192">
        <v>236.226</v>
      </c>
    </row>
    <row r="13" spans="1:34" x14ac:dyDescent="0.25">
      <c r="A13" s="171"/>
      <c r="B13" s="183"/>
      <c r="C13" s="194" t="s">
        <v>68</v>
      </c>
      <c r="D13" s="195" t="s">
        <v>129</v>
      </c>
      <c r="E13" s="196"/>
      <c r="F13" s="195" t="s">
        <v>130</v>
      </c>
      <c r="G13" s="195" t="s">
        <v>131</v>
      </c>
      <c r="H13" s="195" t="s">
        <v>132</v>
      </c>
      <c r="I13" s="195" t="s">
        <v>133</v>
      </c>
      <c r="J13" s="188"/>
      <c r="O13" s="192" t="s">
        <v>125</v>
      </c>
      <c r="P13" s="192" t="s">
        <v>126</v>
      </c>
      <c r="Q13" s="192" t="s">
        <v>134</v>
      </c>
      <c r="R13" s="192"/>
      <c r="S13" s="192" t="s">
        <v>135</v>
      </c>
      <c r="T13" s="192">
        <v>3.367</v>
      </c>
      <c r="U13" s="192">
        <v>2.8170000000000002</v>
      </c>
      <c r="V13" s="192">
        <v>1.5960000000000001</v>
      </c>
      <c r="W13" s="192">
        <v>2.298</v>
      </c>
      <c r="X13" s="192">
        <v>2.6680000000000001</v>
      </c>
      <c r="Y13" s="192">
        <v>3.3660000000000001</v>
      </c>
      <c r="Z13" s="192">
        <v>3.222</v>
      </c>
      <c r="AA13" s="192">
        <v>2.871</v>
      </c>
      <c r="AB13" s="192">
        <v>3.8149999999999999</v>
      </c>
      <c r="AC13" s="192">
        <v>-0.32</v>
      </c>
      <c r="AD13" s="192">
        <v>1.6379999999999999</v>
      </c>
      <c r="AE13" s="192">
        <v>3.1419999999999999</v>
      </c>
      <c r="AF13" s="192">
        <v>2.0750000000000002</v>
      </c>
      <c r="AG13" s="192">
        <v>1.464</v>
      </c>
      <c r="AH13" s="192">
        <v>1.4019999999999999</v>
      </c>
    </row>
    <row r="14" spans="1:34" x14ac:dyDescent="0.25">
      <c r="A14" s="171"/>
      <c r="B14" s="183"/>
      <c r="C14" s="197"/>
      <c r="D14" s="198"/>
      <c r="E14" s="199"/>
      <c r="F14" s="198"/>
      <c r="G14" s="198"/>
      <c r="H14" s="198"/>
      <c r="I14" s="198"/>
      <c r="J14" s="188"/>
    </row>
    <row r="15" spans="1:34" x14ac:dyDescent="0.25">
      <c r="A15" s="171"/>
      <c r="B15" s="183"/>
      <c r="C15" s="186" t="s">
        <v>136</v>
      </c>
      <c r="D15" s="200">
        <f>D16/Q17</f>
        <v>214140.83044982699</v>
      </c>
      <c r="E15" s="201"/>
      <c r="F15" s="202"/>
      <c r="G15" s="202"/>
      <c r="H15" s="202"/>
      <c r="I15" s="202"/>
      <c r="J15" s="188"/>
    </row>
    <row r="16" spans="1:34" x14ac:dyDescent="0.25">
      <c r="A16" s="171"/>
      <c r="B16" s="183"/>
      <c r="C16" s="203" t="s">
        <v>137</v>
      </c>
      <c r="D16" s="200">
        <f>869257+368477</f>
        <v>1237734</v>
      </c>
      <c r="E16" s="201"/>
      <c r="F16" s="204"/>
      <c r="G16" s="204"/>
      <c r="H16" s="204"/>
      <c r="I16" s="204"/>
      <c r="J16" s="188"/>
    </row>
    <row r="17" spans="1:18" x14ac:dyDescent="0.25">
      <c r="A17" s="171"/>
      <c r="B17" s="183"/>
      <c r="C17" s="203" t="s">
        <v>138</v>
      </c>
      <c r="D17" s="205">
        <f>P20*(1+P19)^20</f>
        <v>36404814.399680942</v>
      </c>
      <c r="E17" s="201"/>
      <c r="F17" s="206"/>
      <c r="G17" s="206"/>
      <c r="H17" s="206"/>
      <c r="I17" s="206"/>
      <c r="J17" s="188"/>
      <c r="P17" s="207" t="s">
        <v>139</v>
      </c>
      <c r="Q17" s="173">
        <v>5.78</v>
      </c>
      <c r="R17" s="207" t="s">
        <v>140</v>
      </c>
    </row>
    <row r="18" spans="1:18" x14ac:dyDescent="0.25">
      <c r="A18" s="171"/>
      <c r="B18" s="183"/>
      <c r="C18" s="203"/>
      <c r="D18" s="208"/>
      <c r="E18" s="201"/>
      <c r="F18" s="206"/>
      <c r="G18" s="206"/>
      <c r="H18" s="206"/>
      <c r="I18" s="206"/>
      <c r="J18" s="188"/>
    </row>
    <row r="19" spans="1:18" x14ac:dyDescent="0.25">
      <c r="A19" s="171"/>
      <c r="B19" s="183"/>
      <c r="C19" s="203" t="s">
        <v>141</v>
      </c>
      <c r="D19" s="206"/>
      <c r="E19" s="201"/>
      <c r="F19" s="209">
        <v>0.5958</v>
      </c>
      <c r="G19" s="209">
        <v>0.81769999999999998</v>
      </c>
      <c r="H19" s="209">
        <v>0.13</v>
      </c>
      <c r="I19" s="209">
        <v>0.05</v>
      </c>
      <c r="J19" s="188"/>
      <c r="O19" s="207" t="s">
        <v>142</v>
      </c>
      <c r="P19" s="210">
        <v>2.12E-2</v>
      </c>
      <c r="Q19" s="207" t="s">
        <v>143</v>
      </c>
    </row>
    <row r="20" spans="1:18" x14ac:dyDescent="0.25">
      <c r="A20" s="171"/>
      <c r="B20" s="183"/>
      <c r="C20" s="211" t="s">
        <v>144</v>
      </c>
      <c r="D20" s="212"/>
      <c r="E20" s="213"/>
      <c r="F20" s="209">
        <v>0.5958</v>
      </c>
      <c r="G20" s="209">
        <v>0.81769999999999998</v>
      </c>
      <c r="H20" s="209">
        <v>0.13</v>
      </c>
      <c r="I20" s="209">
        <v>0.05</v>
      </c>
      <c r="J20" s="188"/>
      <c r="O20" s="207" t="s">
        <v>145</v>
      </c>
      <c r="P20" s="173">
        <v>23930000</v>
      </c>
    </row>
    <row r="21" spans="1:18" x14ac:dyDescent="0.25">
      <c r="A21" s="171"/>
      <c r="B21" s="214"/>
      <c r="C21" s="215"/>
      <c r="D21" s="216"/>
      <c r="E21" s="217"/>
      <c r="F21" s="216"/>
      <c r="G21" s="218"/>
      <c r="H21" s="218"/>
      <c r="I21" s="218"/>
      <c r="J21" s="188"/>
    </row>
    <row r="22" spans="1:18" x14ac:dyDescent="0.25">
      <c r="A22" s="171"/>
      <c r="B22" s="183"/>
      <c r="C22" s="194" t="s">
        <v>146</v>
      </c>
      <c r="D22" s="195"/>
      <c r="E22" s="196"/>
      <c r="F22" s="195"/>
      <c r="G22" s="195"/>
      <c r="H22" s="195"/>
      <c r="I22" s="195"/>
      <c r="J22" s="188"/>
    </row>
    <row r="23" spans="1:18" x14ac:dyDescent="0.25">
      <c r="A23" s="171"/>
      <c r="B23" s="183"/>
      <c r="C23" s="197"/>
      <c r="D23" s="198"/>
      <c r="E23" s="199"/>
      <c r="F23" s="198"/>
      <c r="G23" s="198"/>
      <c r="H23" s="198"/>
      <c r="I23" s="198"/>
      <c r="J23" s="188"/>
    </row>
    <row r="24" spans="1:18" x14ac:dyDescent="0.25">
      <c r="A24" s="171"/>
      <c r="B24" s="183"/>
      <c r="C24" s="203" t="s">
        <v>147</v>
      </c>
      <c r="D24" s="219">
        <f>SUMPRODUCT(G24:I24,G19:I19)</f>
        <v>37.637594463632809</v>
      </c>
      <c r="E24" s="220"/>
      <c r="F24" s="221">
        <f>$D$10*F19*1000000/($D$16*F19)</f>
        <v>37.724360492766159</v>
      </c>
      <c r="G24" s="221">
        <f>$D$10*G19*1000000/($D$16*G19)</f>
        <v>37.724360492766166</v>
      </c>
      <c r="H24" s="221">
        <f>$D$10*H19*1000000/($D$16*H19)</f>
        <v>37.724360492766159</v>
      </c>
      <c r="I24" s="221">
        <f>$D$10*I19*1000000/($D$16*I19)</f>
        <v>37.724360492766166</v>
      </c>
      <c r="J24" s="188"/>
    </row>
    <row r="25" spans="1:18" x14ac:dyDescent="0.25">
      <c r="A25" s="171"/>
      <c r="B25" s="183"/>
      <c r="C25" s="222" t="s">
        <v>148</v>
      </c>
      <c r="D25" s="223">
        <f>SUMPRODUCT(G25:I25,G19:I19)</f>
        <v>5.7520175597006749E-2</v>
      </c>
      <c r="E25" s="224"/>
      <c r="F25" s="225">
        <f>F24/(1.25/2*365)</f>
        <v>0.16536705969431742</v>
      </c>
      <c r="G25" s="225">
        <f>G24/((1.25+0.75/2)*365)</f>
        <v>6.3602715267045168E-2</v>
      </c>
      <c r="H25" s="225">
        <f>H24/(3*365)</f>
        <v>3.445147076964946E-2</v>
      </c>
      <c r="I25" s="225">
        <f>I24/(5*365)</f>
        <v>2.0670882461789681E-2</v>
      </c>
      <c r="J25" s="188"/>
    </row>
    <row r="26" spans="1:18" x14ac:dyDescent="0.25">
      <c r="A26" s="171"/>
      <c r="B26" s="183"/>
      <c r="C26" s="226"/>
      <c r="D26" s="216"/>
      <c r="E26" s="217"/>
      <c r="F26" s="227"/>
      <c r="G26" s="227"/>
      <c r="H26" s="227"/>
      <c r="I26" s="227"/>
      <c r="J26" s="188"/>
    </row>
    <row r="27" spans="1:18" x14ac:dyDescent="0.25">
      <c r="A27" s="171"/>
      <c r="B27" s="183"/>
      <c r="C27" s="194" t="s">
        <v>149</v>
      </c>
      <c r="D27" s="228"/>
      <c r="E27" s="229"/>
      <c r="F27" s="228"/>
      <c r="G27" s="228"/>
      <c r="H27" s="228"/>
      <c r="I27" s="228"/>
      <c r="J27" s="188"/>
    </row>
    <row r="28" spans="1:18" x14ac:dyDescent="0.25">
      <c r="A28" s="171"/>
      <c r="B28" s="183"/>
      <c r="C28" s="190"/>
      <c r="D28" s="230"/>
      <c r="E28" s="231"/>
      <c r="F28" s="230"/>
      <c r="G28" s="230"/>
      <c r="H28" s="230"/>
      <c r="I28" s="230"/>
      <c r="J28" s="188"/>
    </row>
    <row r="29" spans="1:18" x14ac:dyDescent="0.25">
      <c r="A29" s="171"/>
      <c r="B29" s="183"/>
      <c r="C29" s="211" t="s">
        <v>150</v>
      </c>
      <c r="D29" s="232">
        <f>D10/D11</f>
        <v>0.79437173590039079</v>
      </c>
      <c r="E29" s="233"/>
      <c r="F29" s="234">
        <f>F19*$D$16*F24/($D$11*1000000)</f>
        <v>0.47328668024945275</v>
      </c>
      <c r="G29" s="234">
        <f>G19*$D$16*G24/($D$11*1000000)</f>
        <v>0.64955776844574953</v>
      </c>
      <c r="H29" s="234">
        <f>H19*$D$16*H24/($D$11*1000000)</f>
        <v>0.1032683256670508</v>
      </c>
      <c r="I29" s="234">
        <f>I19*$D$16*I24/($D$11*1000000)</f>
        <v>3.9718586795019536E-2</v>
      </c>
      <c r="J29" s="188"/>
    </row>
    <row r="30" spans="1:18" x14ac:dyDescent="0.25">
      <c r="A30" s="171"/>
      <c r="B30" s="183"/>
      <c r="C30" s="226"/>
      <c r="D30" s="216"/>
      <c r="E30" s="217"/>
      <c r="F30" s="235"/>
      <c r="G30" s="235"/>
      <c r="H30" s="235"/>
      <c r="I30" s="235"/>
      <c r="J30" s="188"/>
    </row>
    <row r="31" spans="1:18" x14ac:dyDescent="0.25">
      <c r="A31" s="171"/>
      <c r="B31" s="183"/>
      <c r="C31" s="184" t="s">
        <v>151</v>
      </c>
      <c r="D31" s="236">
        <v>0.51</v>
      </c>
      <c r="E31" s="237"/>
      <c r="F31" s="238"/>
      <c r="G31" s="238"/>
      <c r="H31" s="238"/>
      <c r="I31" s="238"/>
      <c r="J31" s="188"/>
    </row>
    <row r="32" spans="1:18" x14ac:dyDescent="0.25">
      <c r="A32" s="171"/>
      <c r="B32" s="183"/>
      <c r="C32" s="203"/>
      <c r="D32" s="239"/>
      <c r="E32" s="237"/>
      <c r="F32" s="238"/>
      <c r="G32" s="238"/>
      <c r="H32" s="238"/>
      <c r="I32" s="238"/>
      <c r="J32" s="188"/>
    </row>
    <row r="33" spans="1:10" x14ac:dyDescent="0.25">
      <c r="A33" s="171"/>
      <c r="B33" s="183"/>
      <c r="C33" s="203" t="s">
        <v>152</v>
      </c>
      <c r="D33" s="240">
        <v>510</v>
      </c>
      <c r="E33" s="186"/>
      <c r="F33" s="186"/>
      <c r="G33" s="186"/>
      <c r="H33" s="186"/>
      <c r="I33" s="186"/>
      <c r="J33" s="188"/>
    </row>
    <row r="34" spans="1:10" x14ac:dyDescent="0.25">
      <c r="A34" s="171"/>
      <c r="B34" s="183"/>
      <c r="C34" s="241" t="s">
        <v>153</v>
      </c>
      <c r="D34" s="205" t="s">
        <v>154</v>
      </c>
      <c r="E34" s="242"/>
      <c r="F34" s="242"/>
      <c r="G34" s="242"/>
      <c r="H34" s="242"/>
      <c r="I34" s="242"/>
      <c r="J34" s="188"/>
    </row>
    <row r="35" spans="1:10" x14ac:dyDescent="0.25">
      <c r="A35" s="171"/>
      <c r="B35" s="183"/>
      <c r="C35" s="203"/>
      <c r="D35" s="243"/>
      <c r="E35" s="186"/>
      <c r="F35" s="186"/>
      <c r="G35" s="186"/>
      <c r="H35" s="186"/>
      <c r="I35" s="186"/>
      <c r="J35" s="188"/>
    </row>
    <row r="36" spans="1:10" x14ac:dyDescent="0.25">
      <c r="A36" s="171"/>
      <c r="B36" s="183"/>
      <c r="C36" s="244" t="s">
        <v>155</v>
      </c>
      <c r="D36" s="245"/>
      <c r="E36" s="246"/>
      <c r="F36" s="247"/>
      <c r="G36" s="247"/>
      <c r="H36" s="247"/>
      <c r="I36" s="247"/>
      <c r="J36" s="188"/>
    </row>
    <row r="37" spans="1:10" x14ac:dyDescent="0.25">
      <c r="A37" s="171"/>
      <c r="B37" s="183"/>
      <c r="C37" s="248" t="s">
        <v>156</v>
      </c>
      <c r="D37" s="245"/>
      <c r="E37" s="246"/>
      <c r="F37" s="247"/>
      <c r="G37" s="247"/>
      <c r="H37" s="247"/>
      <c r="I37" s="247"/>
      <c r="J37" s="188"/>
    </row>
    <row r="38" spans="1:10" x14ac:dyDescent="0.25">
      <c r="A38" s="171"/>
      <c r="B38" s="183"/>
      <c r="C38" s="248" t="s">
        <v>157</v>
      </c>
      <c r="D38" s="245"/>
      <c r="E38" s="246"/>
      <c r="F38" s="247"/>
      <c r="G38" s="247"/>
      <c r="H38" s="247"/>
      <c r="I38" s="247"/>
      <c r="J38" s="188"/>
    </row>
    <row r="39" spans="1:10" x14ac:dyDescent="0.25">
      <c r="A39" s="171"/>
      <c r="B39" s="183"/>
      <c r="C39" s="249" t="s">
        <v>158</v>
      </c>
      <c r="D39" s="250"/>
      <c r="E39" s="250"/>
      <c r="F39" s="250"/>
      <c r="G39" s="250"/>
      <c r="H39" s="250"/>
      <c r="I39" s="250"/>
      <c r="J39" s="188"/>
    </row>
    <row r="40" spans="1:10" x14ac:dyDescent="0.25">
      <c r="A40" s="172"/>
      <c r="B40" s="183"/>
      <c r="C40" s="249" t="s">
        <v>159</v>
      </c>
      <c r="D40" s="250"/>
      <c r="E40" s="250"/>
      <c r="F40" s="250"/>
      <c r="G40" s="250"/>
      <c r="H40" s="250"/>
      <c r="I40" s="250"/>
      <c r="J40" s="188"/>
    </row>
    <row r="41" spans="1:10" ht="15.75" thickBot="1" x14ac:dyDescent="0.3">
      <c r="A41" s="172"/>
      <c r="B41" s="251"/>
      <c r="C41" s="252"/>
      <c r="D41" s="253"/>
      <c r="E41" s="253"/>
      <c r="F41" s="253"/>
      <c r="G41" s="253"/>
      <c r="H41" s="253"/>
      <c r="I41" s="253"/>
      <c r="J41" s="254"/>
    </row>
  </sheetData>
  <mergeCells count="6">
    <mergeCell ref="F12:I12"/>
    <mergeCell ref="D2:J2"/>
    <mergeCell ref="D3:I3"/>
    <mergeCell ref="C5:I5"/>
    <mergeCell ref="C6:I6"/>
    <mergeCell ref="F8:H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User's Guide</vt:lpstr>
      <vt:lpstr>Activity Description</vt:lpstr>
      <vt:lpstr>ERR &amp; Sensitivity Analysis</vt:lpstr>
      <vt:lpstr>Cost-Benefit Summary</vt:lpstr>
      <vt:lpstr>Cost Summary</vt:lpstr>
      <vt:lpstr>Dollar Conversion</vt:lpstr>
      <vt:lpstr>Poverty Scorecard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Mozambique's Rehabilitation/Construction of Roads Project</dc:title>
  <dc:creator/>
  <cp:lastModifiedBy/>
  <dcterms:created xsi:type="dcterms:W3CDTF">2011-09-23T15:49:18Z</dcterms:created>
  <dcterms:modified xsi:type="dcterms:W3CDTF">2014-11-06T14:10:57Z</dcterms:modified>
</cp:coreProperties>
</file>