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15" windowHeight="8100" firstSheet="1" activeTab="1"/>
  </bookViews>
  <sheets>
    <sheet name="CB_DATA_" sheetId="1" state="veryHidden" r:id="rId1"/>
    <sheet name="User's Guide" sheetId="2" r:id="rId2"/>
    <sheet name="Activity Description" sheetId="3" r:id="rId3"/>
    <sheet name="ERR &amp; Sensitivity Analysis" sheetId="4" r:id="rId4"/>
    <sheet name="Cost-Benefit Summary" sheetId="5" r:id="rId5"/>
    <sheet name="Dollar Conversion" sheetId="6" r:id="rId6"/>
    <sheet name="Assumptions Community" sheetId="7" r:id="rId7"/>
    <sheet name="Input Community" sheetId="8" r:id="rId8"/>
    <sheet name="Benefit Calculations Community" sheetId="9" r:id="rId9"/>
    <sheet name="Assumptions and Benefits DUATs" sheetId="10" r:id="rId10"/>
    <sheet name="MCC Costs" sheetId="11" r:id="rId11"/>
    <sheet name="Crystal Ball Sensitivity" sheetId="12" r:id="rId12"/>
    <sheet name="Charts" sheetId="13" r:id="rId13"/>
    <sheet name="Poverty Scorecard" sheetId="14" r:id="rId14"/>
  </sheets>
  <externalReferences>
    <externalReference r:id="rId17"/>
    <externalReference r:id="rId18"/>
    <externalReference r:id="rId19"/>
    <externalReference r:id="rId20"/>
  </externalReferences>
  <definedNames>
    <definedName name="ART_Cost">'[1]Costs &amp; Benefits Summary'!$B$18</definedName>
    <definedName name="CB_1276899a5e724751a9f4b33ea28dd2b1" localSheetId="11" hidden="1">'Crystal Ball Sensitivity'!$B$15</definedName>
    <definedName name="CB_19b0be13af6d47c6b5590ac80ed952f2" localSheetId="11" hidden="1">'Crystal Ball Sensitivity'!$B$22</definedName>
    <definedName name="CB_1b305b4744904aeab2168dac6d61a358" localSheetId="11" hidden="1">'Crystal Ball Sensitivity'!$B$20</definedName>
    <definedName name="CB_28ba22cba028407ea487f4852179873a" localSheetId="11" hidden="1">'Crystal Ball Sensitivity'!$B$8</definedName>
    <definedName name="CB_2a88735306bb47419ba0159e27f12f83" localSheetId="11" hidden="1">'Crystal Ball Sensitivity'!$B$16</definedName>
    <definedName name="CB_3339559607ff4eea90c213aab072b238" localSheetId="11" hidden="1">'Crystal Ball Sensitivity'!$B$29</definedName>
    <definedName name="CB_3cd7b61ed8a34cd69b6dffd24a7b9d4c" localSheetId="0" hidden="1">#N/A</definedName>
    <definedName name="CB_411d7b56bdeb456fba1a04f75c83cbf5" localSheetId="11" hidden="1">'Crystal Ball Sensitivity'!$B$17</definedName>
    <definedName name="CB_6799f1581ebd49ecac338aafc050a9ff" localSheetId="11" hidden="1">'Crystal Ball Sensitivity'!$B$6</definedName>
    <definedName name="CB_7471dc1f49f74690bc4be24cbc751600" localSheetId="11" hidden="1">'Crystal Ball Sensitivity'!$B$27</definedName>
    <definedName name="CB_868a6bc0c3024d1599ea8709a4cf3f6b" localSheetId="11" hidden="1">'Crystal Ball Sensitivity'!$B$14</definedName>
    <definedName name="CB_8cb73979d8ad43849aba2ff09bfa3114" localSheetId="11" hidden="1">'Crystal Ball Sensitivity'!$B$25</definedName>
    <definedName name="CB_a0aa2b7ecca8409198cca947a53c441d" localSheetId="11" hidden="1">'Crystal Ball Sensitivity'!$B$7</definedName>
    <definedName name="CB_a31f3b407f46420695eee0bf2d90b14f" localSheetId="11" hidden="1">'Crystal Ball Sensitivity'!$B$21</definedName>
    <definedName name="CB_c57714d048ac4518928ff5552ca2e214" localSheetId="0" hidden="1">#N/A</definedName>
    <definedName name="CB_d033daf2e1844702a2c05207f48c6a34" localSheetId="11" hidden="1">'Crystal Ball Sensitivity'!$B$26</definedName>
    <definedName name="CB_d5b81977dfad456982f9770716131190" localSheetId="11" hidden="1">#N/A</definedName>
    <definedName name="CB_dc891fa897f64731b43f1bdfb731c024" localSheetId="11" hidden="1">'Crystal Ball Sensitivity'!$B$9</definedName>
    <definedName name="CBCR_5dc03b1965144657b4e97876ff0613c2" localSheetId="11" hidden="1">'Crystal Ball Sensitivity'!$A$14:$A$17</definedName>
    <definedName name="CBWorkbookPriority" localSheetId="0" hidden="1">-1294239859</definedName>
    <definedName name="CBx_330afa7ed7704fae8a215be33df45ebd" localSheetId="0" hidden="1">"'CB_DATA_'!$A$1"</definedName>
    <definedName name="CBx_7549df9a7aed4b2e9c1a0629503c386d" localSheetId="0" hidden="1">"'ERR &amp; Sensitivity Analysis'!$A$1"</definedName>
    <definedName name="CBx_b31e7df87c6a48778a204dd56c726205" localSheetId="0" hidden="1">"'Crystal Ball Sensitivity'!$A$1"</definedName>
    <definedName name="CBx_Sheet_Guid" localSheetId="0" hidden="1">"'330afa7e-d770-4fae-8a21-5be33df45ebd"</definedName>
    <definedName name="CBx_Sheet_Guid" localSheetId="11" hidden="1">"'b31e7df8-7c6a-4877-8a20-4dd56c726205"</definedName>
    <definedName name="CBx_StorageType" localSheetId="0" hidden="1">1</definedName>
    <definedName name="CBx_StorageType" localSheetId="11" hidden="1">1</definedName>
    <definedName name="Cost">'[2]Cost Assumptions'!$C$22:$E$22</definedName>
    <definedName name="Cost1">'[3]Cost Assumptions'!$C$22:$E$22</definedName>
    <definedName name="GDP_Capita_Growth">'[1]Costs &amp; Benefits Summary'!$B$17</definedName>
    <definedName name="OM_perc">'[1]Costs &amp; Benefits Summary'!$B$21</definedName>
    <definedName name="PhaseIn">#REF!</definedName>
    <definedName name="Pop_Growth">'[1]Costs &amp; Benefits Summary'!$B$16</definedName>
  </definedNames>
  <calcPr fullCalcOnLoad="1"/>
</workbook>
</file>

<file path=xl/sharedStrings.xml><?xml version="1.0" encoding="utf-8"?>
<sst xmlns="http://schemas.openxmlformats.org/spreadsheetml/2006/main" count="563" uniqueCount="364">
  <si>
    <t>Estimated number  of communities to be delimited</t>
  </si>
  <si>
    <t>Est. total number  of hectares delimited</t>
  </si>
  <si>
    <t>Value</t>
  </si>
  <si>
    <t>Year</t>
  </si>
  <si>
    <t>Assumptions</t>
  </si>
  <si>
    <t>Source</t>
  </si>
  <si>
    <t>Notes</t>
  </si>
  <si>
    <t>Benefit Stream Calculations</t>
  </si>
  <si>
    <t xml:space="preserve"> </t>
  </si>
  <si>
    <t>Est. total number of households in communities</t>
  </si>
  <si>
    <t>Est total number of hectares demarked</t>
  </si>
  <si>
    <t>Average hectares per community</t>
  </si>
  <si>
    <t>Average hectares per association</t>
  </si>
  <si>
    <t>Average association population (households)</t>
  </si>
  <si>
    <t>Estimated total of households in associations</t>
  </si>
  <si>
    <t>guesstimate</t>
  </si>
  <si>
    <t>Increase in income from delimitation</t>
  </si>
  <si>
    <t>Average income per household in associations</t>
  </si>
  <si>
    <t>Increase in income from demarcation</t>
  </si>
  <si>
    <t>Niassa</t>
  </si>
  <si>
    <t>Nampula</t>
  </si>
  <si>
    <t>Zambezia</t>
  </si>
  <si>
    <t>High SME Income</t>
  </si>
  <si>
    <t>Table 12, p. 50 SME income high, 5th quintile, TIA</t>
  </si>
  <si>
    <t>Communities</t>
  </si>
  <si>
    <t>Associations</t>
  </si>
  <si>
    <t>Number</t>
  </si>
  <si>
    <t>Hectares</t>
  </si>
  <si>
    <t>Total</t>
  </si>
  <si>
    <t>Average per household (hectares)</t>
  </si>
  <si>
    <t>TOTAL</t>
  </si>
  <si>
    <t>Households</t>
  </si>
  <si>
    <t>Without Project</t>
  </si>
  <si>
    <t>With Project</t>
  </si>
  <si>
    <t>Total Benefits</t>
  </si>
  <si>
    <t>ERR Total</t>
  </si>
  <si>
    <t>calculation</t>
  </si>
  <si>
    <t>KPMG</t>
  </si>
  <si>
    <t>Ratio of association to community population</t>
  </si>
  <si>
    <t xml:space="preserve">Based on Studies reviewed </t>
  </si>
  <si>
    <t>Based on studies reviewed</t>
  </si>
  <si>
    <t>TIA table 12</t>
  </si>
  <si>
    <t xml:space="preserve">Adult equivalent adjustment to calculate household income </t>
  </si>
  <si>
    <t>Communities and Associations</t>
  </si>
  <si>
    <t>Income Assumptions</t>
  </si>
  <si>
    <t>Based on TIA Table 14 on participation in SME high activities</t>
  </si>
  <si>
    <t>average plot size</t>
  </si>
  <si>
    <t>culivated hectares</t>
  </si>
  <si>
    <t>http://en.wikipedia.org/wiki/Agriculture_in_Mozambique</t>
  </si>
  <si>
    <t>Hectares per household (hectares)</t>
  </si>
  <si>
    <t>Percent Housing</t>
  </si>
  <si>
    <t>Percent Agriculture</t>
  </si>
  <si>
    <t>Percent Other than Housing</t>
  </si>
  <si>
    <t>Average Area of parcel for Housing (m2)</t>
  </si>
  <si>
    <t>Average Area of parcel for Agriculture (m2)</t>
  </si>
  <si>
    <t>Average Area of parcel for Other (m2)</t>
  </si>
  <si>
    <t>Area to be Surveyed for Housing (m2)</t>
  </si>
  <si>
    <t>Area to be Surveyed for Agriculture (m2)</t>
  </si>
  <si>
    <t>Area to be Surveyed for Other (m2)</t>
  </si>
  <si>
    <t>Value of Housing  without project (MT/m2)</t>
  </si>
  <si>
    <t>Value of Other without Project (MR/m2)</t>
  </si>
  <si>
    <t xml:space="preserve">Multiplier for green/undeveloped areas. Current range for multiplier 1.3-2.2. The CdoSol urban study shows an average multiplier of 1.8 with a range from 1.3 to 2.7, we use the lower end because it is for the smaller municipallity and unimproved lot scenario which we estmate will be most affected by the targeted urban titling. </t>
  </si>
  <si>
    <t>Price/Lease Ratio for Housing</t>
  </si>
  <si>
    <t>Price/Lease Ratio for Other</t>
  </si>
  <si>
    <t>Value of Housing  with project (MT/m2)</t>
  </si>
  <si>
    <t>Imputed Rent for Housing without project (MT/m2)</t>
  </si>
  <si>
    <t>Imputed Rent of Housing  with project (MT/m2)</t>
  </si>
  <si>
    <t>Imputed Rent for Housing without project  MT</t>
  </si>
  <si>
    <t>Imputed Rent for Other without Project MT</t>
  </si>
  <si>
    <t>Imputed Rent of Housing  with project MT</t>
  </si>
  <si>
    <t>Imputed Rent of Other with Project MT</t>
  </si>
  <si>
    <t>Net Benefits</t>
  </si>
  <si>
    <t>based on reasonable range of P/L ratios from current literature</t>
  </si>
  <si>
    <t>Income gains  due to delimitation/demarcation</t>
  </si>
  <si>
    <t>Probablilty of receiving DUAT</t>
  </si>
  <si>
    <t>Probability of receiving DUAT</t>
  </si>
  <si>
    <t>Probatility of receiving DUAT</t>
  </si>
  <si>
    <t>HTSPE Parcelholders</t>
  </si>
  <si>
    <t>Agricultural Households</t>
  </si>
  <si>
    <t>Imputed Rent for Housing without project MT</t>
  </si>
  <si>
    <t>Imputed Rent for Housing with project MT</t>
  </si>
  <si>
    <t>Income from Agriculture without project MT</t>
  </si>
  <si>
    <t>Income from Agriculture with project MT</t>
  </si>
  <si>
    <t>Total Net Benefits from Agricultural Plots Surveyed</t>
  </si>
  <si>
    <t>Beneficiaries</t>
  </si>
  <si>
    <t>Urban</t>
  </si>
  <si>
    <t>Rural</t>
  </si>
  <si>
    <t>Total Beneficiaries</t>
  </si>
  <si>
    <t>Urban and Rural Hotspots</t>
  </si>
  <si>
    <t>Housing</t>
  </si>
  <si>
    <t>Other</t>
  </si>
  <si>
    <t>ERR</t>
  </si>
  <si>
    <t>Increase in residential land value with project times DUAT likelihood</t>
  </si>
  <si>
    <t xml:space="preserve">Est. increase in residential land value with project </t>
  </si>
  <si>
    <t>Est.  increase in other land values with project times probability of DUAT</t>
  </si>
  <si>
    <t xml:space="preserve">Est.  increase in other land values with project </t>
  </si>
  <si>
    <t>Number of households for agriculture</t>
  </si>
  <si>
    <t>Estimated increse in Income from Agriculture</t>
  </si>
  <si>
    <t>Agriculture</t>
  </si>
  <si>
    <t xml:space="preserve">Based on studies reviewed </t>
  </si>
  <si>
    <t>Value of housing without project</t>
  </si>
  <si>
    <t>Average income per household community land MT</t>
  </si>
  <si>
    <t>Increase in income from project MT</t>
  </si>
  <si>
    <t>May be considered as combination of % parcels surveyed times % DUATs received.</t>
  </si>
  <si>
    <t>Probability of receiving Agricultural DUAT</t>
  </si>
  <si>
    <t>Increase in income from Project for agricultural parcels</t>
  </si>
  <si>
    <r>
      <t>MT/m</t>
    </r>
    <r>
      <rPr>
        <vertAlign val="superscript"/>
        <sz val="10"/>
        <rFont val="Arial"/>
        <family val="2"/>
      </rPr>
      <t>2</t>
    </r>
  </si>
  <si>
    <t>Increase in housing land value/ha</t>
  </si>
  <si>
    <t>Increase in other land value/ha</t>
  </si>
  <si>
    <t>Probability of receiving Other DUAT</t>
  </si>
  <si>
    <t>Estimated number of associations to be demarcated</t>
  </si>
  <si>
    <t xml:space="preserve">Income </t>
  </si>
  <si>
    <t>Rural Households</t>
  </si>
  <si>
    <t>Urban Households</t>
  </si>
  <si>
    <t>Total Benefits from HTSPE</t>
  </si>
  <si>
    <t>Benefits Community - NPV</t>
  </si>
  <si>
    <t>Benefits Urban - NPV</t>
  </si>
  <si>
    <t>Total Benefits - NPV</t>
  </si>
  <si>
    <t>Total Benefits (MT)</t>
  </si>
  <si>
    <t>Benefits to Comunities (MT)</t>
  </si>
  <si>
    <t>Benefits to Associations (MT)</t>
  </si>
  <si>
    <t>Net Benefits for Housing with Projecct (MT)</t>
  </si>
  <si>
    <t>Net Benefits for Agriculture with Project (MT)</t>
  </si>
  <si>
    <t>Net Benefits for Other with Project (MT)</t>
  </si>
  <si>
    <t>Total Net Benefits from Urban Parcels (MT)</t>
  </si>
  <si>
    <t>Net Benefits from Housing (MT)</t>
  </si>
  <si>
    <t>Net Benefits from Agriculture (MT)</t>
  </si>
  <si>
    <t>Current Exchange Rate (LCU/USD)</t>
  </si>
  <si>
    <t>Domestic Inflation Factor</t>
  </si>
  <si>
    <t>Disbursement Profile (Current USD million)</t>
  </si>
  <si>
    <t>Estimated Foreign Content of Investments</t>
  </si>
  <si>
    <t>Estimated Local Content of Investments</t>
  </si>
  <si>
    <t>Foreign Content in Constant Year 1 Values (USD million)</t>
  </si>
  <si>
    <t>Foreign Content in Constant Year 1 Values (LCU million)</t>
  </si>
  <si>
    <t>Local Content in Constant Year 1 Values (LCU million)</t>
  </si>
  <si>
    <t>Total Investment in Constant Year 1 Values (LCU million)</t>
  </si>
  <si>
    <t>Mozambique</t>
  </si>
  <si>
    <t>By Comparison: Investments in Current LCU million</t>
  </si>
  <si>
    <t>Value of Other Propertues with Project (MT/m2)</t>
  </si>
  <si>
    <t>Imputed Rent for Other without Project (MT/m2)</t>
  </si>
  <si>
    <t>Imputed Rent of Other with Project (MT/m2)</t>
  </si>
  <si>
    <t>Foereign Inflation Factor (US$)</t>
  </si>
  <si>
    <t>Source:  KMPG report, p. 2 - the first set is proejcted for Year 3, second set, Year 4 and third set, Year 5</t>
  </si>
  <si>
    <t>Number of Urban Parcels Authorized for DUATs</t>
  </si>
  <si>
    <t>Number of Rural Parcels Authorized for DUATs</t>
  </si>
  <si>
    <t>Based on implementer data</t>
  </si>
  <si>
    <t>Average land area per family: 1.4 hectares</t>
  </si>
  <si>
    <t>http://www.fao.org/fileadmin/templates/tc/tce/pdf/Mozambique_factsheet.pdf</t>
  </si>
  <si>
    <t>According to farmer estimates, the average provincial farm size is 2.0 ha. Only in Namialo do farmers cultivate more hectares per household. The annual cassava root yield in Nampula Province is estimated to be about 2.4 mmt.</t>
  </si>
  <si>
    <t>http://www.ifdc.org/Nations/Mozambique/Articles/Commercialized-Cassava-Production-in-Mozambique-He/</t>
  </si>
  <si>
    <t>data from HTSPE spreadsheet 9-18-2013</t>
  </si>
  <si>
    <t>HTSPE</t>
  </si>
  <si>
    <t>Private Surveyors</t>
  </si>
  <si>
    <t>Avg community size (households)</t>
  </si>
  <si>
    <t>data from HTSPE spreadsheet 9-24-2013</t>
  </si>
  <si>
    <t>from Quelimane RAP and MSU respectively</t>
  </si>
  <si>
    <t>TIA HH size is 5.0 for 2003 and 4.0 AE, table 4</t>
  </si>
  <si>
    <t>Based on FISP implementer information</t>
  </si>
  <si>
    <t>Cabo Delgado</t>
  </si>
  <si>
    <t>Median Crop Income Per household -Unofficial TIA estimate 2008 from MSU</t>
  </si>
  <si>
    <t>Total for Communities</t>
  </si>
  <si>
    <t>Total for Farmers</t>
  </si>
  <si>
    <t>Income (MT)</t>
  </si>
  <si>
    <t>Number of Communities</t>
  </si>
  <si>
    <t>Based on unofficial TIA 2008 estimates</t>
  </si>
  <si>
    <t>from MSU survey for North</t>
  </si>
  <si>
    <t>Mean total area per Household (m3)</t>
  </si>
  <si>
    <t>Parcels per HH</t>
  </si>
  <si>
    <t>Based on MSU Rural Impact Evaluation Survey</t>
  </si>
  <si>
    <t>Percentage of households increasiing investment with DUAT</t>
  </si>
  <si>
    <t>Number of Parcels with DUATS</t>
  </si>
  <si>
    <t>data from HTSPE spreadsheet</t>
  </si>
  <si>
    <t>Same as for housing</t>
  </si>
  <si>
    <t>Percent of communities delimtiated</t>
  </si>
  <si>
    <t>Delimitations from KPMG</t>
  </si>
  <si>
    <t>Unofficial TIA estimate - 2008, MSU</t>
  </si>
  <si>
    <t>Probability of Receiving an agricultural DUAT</t>
  </si>
  <si>
    <t>Parcels HSTPE</t>
  </si>
  <si>
    <t>Average crop income per household (MT)</t>
  </si>
  <si>
    <t>Parcels Private</t>
  </si>
  <si>
    <t>Total Parcels</t>
  </si>
  <si>
    <t>Median crop income per household (MT)</t>
  </si>
  <si>
    <t>Average</t>
  </si>
  <si>
    <t>Cumulative</t>
  </si>
  <si>
    <t>Annual</t>
  </si>
  <si>
    <t>Year 3</t>
  </si>
  <si>
    <t>Year 4</t>
  </si>
  <si>
    <t>Q 13 - December  2011</t>
  </si>
  <si>
    <t>Q 14 - March 2012</t>
  </si>
  <si>
    <t>Q 15 - June 2012</t>
  </si>
  <si>
    <t>Q 16 - Sept 2012</t>
  </si>
  <si>
    <t>Year 5</t>
  </si>
  <si>
    <t>Q 17 - December 2012</t>
  </si>
  <si>
    <t>Q 18 - March 2013</t>
  </si>
  <si>
    <t>Q 19 - June 2013</t>
  </si>
  <si>
    <t>Q 20  - September 2013</t>
  </si>
  <si>
    <t>Closeout</t>
  </si>
  <si>
    <t>Eneida</t>
  </si>
  <si>
    <t>Actual Cost Projections</t>
  </si>
  <si>
    <t>Revised Q17 DPF</t>
  </si>
  <si>
    <t>MCA-Moz</t>
  </si>
  <si>
    <t>FY13 - Q3</t>
  </si>
  <si>
    <t>data from HTSPE spreadsheet use-area of rural titles v 2013-10-11</t>
  </si>
  <si>
    <t>Percentage of households increasing investment with DUAT</t>
  </si>
  <si>
    <t>Percent of communities delimited</t>
  </si>
  <si>
    <t>Probability of receiving Housing DUAT</t>
  </si>
  <si>
    <t>Year 1</t>
  </si>
  <si>
    <t>Year 2</t>
  </si>
  <si>
    <t>DPF-QFR Compact</t>
  </si>
  <si>
    <t>ERR Version</t>
  </si>
  <si>
    <t>Original ERR</t>
  </si>
  <si>
    <t>Closeout ERR</t>
  </si>
  <si>
    <t>Date of ERR</t>
  </si>
  <si>
    <t>Amount of MCC funds</t>
  </si>
  <si>
    <t>Project Description</t>
  </si>
  <si>
    <t>Benefit streams included in ERR</t>
  </si>
  <si>
    <t>Costs included in ERR (not borne by MCC)</t>
  </si>
  <si>
    <t>None</t>
  </si>
  <si>
    <t>ERR estimations and time horizon</t>
  </si>
  <si>
    <t>Table of Contents</t>
  </si>
  <si>
    <t>Activity Description</t>
  </si>
  <si>
    <t>One should read this sheet first, as it offers a summary of the project, a list of components, and states the economic rationale for the project.</t>
  </si>
  <si>
    <t>ERR &amp; Sensitivity Analysis</t>
  </si>
  <si>
    <t>This worksheet highlights key assumptions and summarizes how the ERR may change due to varying costs and benefits.</t>
  </si>
  <si>
    <t>Cost-Benefit Summary</t>
  </si>
  <si>
    <t>This worksheet presents the aggregated costs and benefits from the project activities year-by-year, calculating a combined ERR</t>
  </si>
  <si>
    <t>MCC Costs</t>
  </si>
  <si>
    <t>MCC cost calculations years 0-5</t>
  </si>
  <si>
    <t>Crystal Ball Sensitivity</t>
  </si>
  <si>
    <t>Crystal Ball calculations</t>
  </si>
  <si>
    <t>Charts</t>
  </si>
  <si>
    <t>Crystal Ball Charts</t>
  </si>
  <si>
    <t>$39.1 million</t>
  </si>
  <si>
    <t>The Land Tenure Services Project will work on improving policy, upgrading the public land administration agencies (the title registry and cadastre), and facilitating site-specific land access.</t>
  </si>
  <si>
    <t>Income to communities with communal land that are to be delineated and “titled” under the Land Fund and will lease out a fraction of their land to commercial investors</t>
  </si>
  <si>
    <t xml:space="preserve">Income to urban parcel-holders who will receive government approved land use transfer rights  </t>
  </si>
  <si>
    <t>Transaction cost savings to small rural landholders (on non-communal lands) who will access land titling services according to their demand</t>
  </si>
  <si>
    <t xml:space="preserve">Transaction cost savings to large commercial investors who currently pay substantial costs in time and legal fees to access land in Mozambique.  </t>
  </si>
  <si>
    <t>13.0% over 23 years</t>
  </si>
  <si>
    <t>The Land Tenure Services Project is intended to reduce the inefficiency and risk associated with Mozambique’s land tenure system in order to support economic growth.  It is expected to improve the implementation of the country’s land law and the transparency and operational efficiency of land registration procedures, thereby increasing the security and transferability of land rights.</t>
  </si>
  <si>
    <t>Land Tenure Services Project</t>
  </si>
  <si>
    <t>Summary</t>
  </si>
  <si>
    <t xml:space="preserve">The Land Tenure Services Project will work on improving policy, upgrading the public land administration agencies (the title registry and cadastre), and facilitating site-specific land access. The benefits will reach private sector and local communities in the four selected provinces.  </t>
  </si>
  <si>
    <t>Components</t>
  </si>
  <si>
    <t xml:space="preserve">The Project is comprised of three areas: </t>
  </si>
  <si>
    <t>• Support for an improved policy environment, including addressing implementation problems for the existing land law and engaging in regulatory review to improve upon it
• Building the institutional capacity to implement policies and provide quality public land-related services  
• Facilitating access to land use by helping people and business with (i) clear information on land rights and access; (ii) resolution of conflict with more predictable and speedy resolution of land and commercial disputes; and (iii) registering their grants of land use (land titles to long-term or perpetual-use rights).</t>
  </si>
  <si>
    <t>Economic Rationale</t>
  </si>
  <si>
    <t xml:space="preserve">Benefits from the Land Tenure Services Project stem from:   </t>
  </si>
  <si>
    <t xml:space="preserve">(i) Income to communities with communal land that are to be delineated and “titled” under the Land Fund and will lease out a fraction of their land to commercial investors; 
(ii) Income to urban parcel-holders who will receive government approved land use transfer rights under the program; 
(iii) Transaction cost savings to small rural landholders (on non-communal lands) who will access land titling services according to their demand; and  
(iv) Transaction cost savings to large commercial investors who currently pay substantial costs in time and legal fees to access land in Mozambique.   </t>
  </si>
  <si>
    <t xml:space="preserve">The most comprehensive way to value all the hypothesized benefits of land “titling” (including increased security of investments on the land, increased transferability, and reduced transactions costs) is to assume that they are capitalized into an increased market value for land use rights when a government approved land use transfer right (abbreviated "DUAT" from the Portuguese) is obtained, so this approach is followed wherever possible.  Some fraction of estimated transaction cost savings is added to the land “valuation” benefits to account for multiple bids on valuable parcels of land.   That is, the ERR adds land appreciation on community and urban land to transaction cost savings on individual rural and urban parcels (all DUATs), plus a fraction of commercial transaction cost savings.  </t>
  </si>
  <si>
    <t>It is assumed that any transaction cost savings are capitalized into the value of the land (i.e., appreciation) at the time of DUAT.  With commercial transactions, which could be on any of the above categories of land, we assume that there is an additional 25% of total transaction cost savings due to (1) possible multiple bids on the same land (and associated multiplication of transactions costs) and (2) an increase in the number of transactions that will ensue given the lower costs (i.e., induced transactions).</t>
  </si>
  <si>
    <t>* Minor corrections to the analysis have been made since the Investment Memorandum.</t>
  </si>
  <si>
    <t>ERR and sensitivity analysis</t>
  </si>
  <si>
    <r>
      <t xml:space="preserve">Change the </t>
    </r>
    <r>
      <rPr>
        <sz val="10"/>
        <color indexed="12"/>
        <rFont val="Arial"/>
        <family val="2"/>
      </rPr>
      <t>"User Input"</t>
    </r>
    <r>
      <rPr>
        <sz val="10"/>
        <rFont val="Arial"/>
        <family val="2"/>
      </rPr>
      <t xml:space="preserve"> cells in the table below to see the effect on the compact's Economic Rate of Return (ERR) and net benefits (see chart below).  To reset all values to the default MCC estimates, click the </t>
    </r>
    <r>
      <rPr>
        <sz val="10"/>
        <color indexed="12"/>
        <rFont val="Arial"/>
        <family val="2"/>
      </rPr>
      <t xml:space="preserve">"Reset Parameters" </t>
    </r>
    <r>
      <rPr>
        <sz val="10"/>
        <rFont val="Arial"/>
        <family val="2"/>
      </rPr>
      <t>button at right.  Be sure to reset all summary parameters to their original values ("MCC Estimate" values) before changing specific parameters.</t>
    </r>
  </si>
  <si>
    <t>Parameter type</t>
  </si>
  <si>
    <t>Description of key parameters</t>
  </si>
  <si>
    <t>Parameter values</t>
  </si>
  <si>
    <t>User Input</t>
  </si>
  <si>
    <t>MCC Estimate</t>
  </si>
  <si>
    <t>Plausible Range</t>
  </si>
  <si>
    <t xml:space="preserve">Values used in ERR computation </t>
  </si>
  <si>
    <t>All summary parameters set to initial values?</t>
  </si>
  <si>
    <t>Actual costs as a percentage of estimated costs</t>
  </si>
  <si>
    <t>80%-120%</t>
  </si>
  <si>
    <t>Actual benefits as a percentage of estimated benefits</t>
  </si>
  <si>
    <t>Specific</t>
  </si>
  <si>
    <t>All specific parameters set to initial values?</t>
  </si>
  <si>
    <t>2.5-7.5</t>
  </si>
  <si>
    <t xml:space="preserve">User Generated Economic rate of return (ERR)*: </t>
  </si>
  <si>
    <t>MCC Estimated ERRs:</t>
  </si>
  <si>
    <t>Original</t>
  </si>
  <si>
    <t>Revised</t>
  </si>
  <si>
    <t>NA</t>
  </si>
  <si>
    <t>Date</t>
  </si>
  <si>
    <t xml:space="preserve">* This is the only ERR figure linked to other spreadsheets. "Original," "Revised," and "Closeout" ERRs are all static for purposes of illustration. </t>
  </si>
  <si>
    <t>Costs Multiplier</t>
  </si>
  <si>
    <t>Benefits Multiplier</t>
  </si>
  <si>
    <t>Price/Lease ratio for housing</t>
  </si>
  <si>
    <t>Increase in other land values</t>
  </si>
  <si>
    <t>1.3-2.3</t>
  </si>
  <si>
    <t>Value of housing without project (MT/m^2)</t>
  </si>
  <si>
    <t>80-101</t>
  </si>
  <si>
    <t>15-25</t>
  </si>
  <si>
    <t>Dollar Conversion</t>
  </si>
  <si>
    <t>Conversion of MCC costs to local values.</t>
  </si>
  <si>
    <t>Assumptions Community</t>
  </si>
  <si>
    <t>Community Assumptions in the model on land value per hectare, land size, leasing likelihood, etc.</t>
  </si>
  <si>
    <t>Input Community</t>
  </si>
  <si>
    <t>Raw data on number of communities in the project.</t>
  </si>
  <si>
    <t>Benefit Calculations Community</t>
  </si>
  <si>
    <t>Calculations of community based benefits (land value/productivity increases) with project.</t>
  </si>
  <si>
    <t>Assumptions and Benefits Urban</t>
  </si>
  <si>
    <t>Assumptions and benefit calculations for urban communities where land tenure project occurred.</t>
  </si>
  <si>
    <t>Last updated: 06/25/2009</t>
  </si>
  <si>
    <t>Poverty Scorecard</t>
  </si>
  <si>
    <r>
      <t xml:space="preserve">MCC Cost </t>
    </r>
    <r>
      <rPr>
        <b/>
        <sz val="8"/>
        <rFont val="Arial"/>
        <family val="2"/>
      </rPr>
      <t>(Millions USD)</t>
    </r>
  </si>
  <si>
    <t>20-Year ERR</t>
  </si>
  <si>
    <r>
      <t xml:space="preserve">Present Value </t>
    </r>
    <r>
      <rPr>
        <b/>
        <sz val="8"/>
        <rFont val="Arial"/>
        <family val="2"/>
      </rPr>
      <t>(PV)</t>
    </r>
    <r>
      <rPr>
        <b/>
        <sz val="9"/>
        <rFont val="Arial"/>
        <family val="2"/>
      </rPr>
      <t xml:space="preserve"> of Benefit Stream </t>
    </r>
    <r>
      <rPr>
        <b/>
        <sz val="8"/>
        <rFont val="Arial"/>
        <family val="2"/>
      </rPr>
      <t>(Millions 2005 PPP $)</t>
    </r>
  </si>
  <si>
    <t>Present Value (PV) of All Costs (Millions 2005 PPP $)</t>
  </si>
  <si>
    <t>Country</t>
  </si>
  <si>
    <t>Subject Descriptor</t>
  </si>
  <si>
    <t>Units</t>
  </si>
  <si>
    <t>Scale</t>
  </si>
  <si>
    <t>Country/Series-specific Notes</t>
  </si>
  <si>
    <t>Consumption per day (PPP $)</t>
  </si>
  <si>
    <t>United States</t>
  </si>
  <si>
    <t>Inflation, average consumer prices</t>
  </si>
  <si>
    <t>Index</t>
  </si>
  <si>
    <t>Source: National Statistical Office Latest actual data: 2013 Harmonized prices: No Frequency of source data: Monthly Base year: Base is 1982-1984=100 Primary domestic currency: U.S. dollars Data last updated: 03/2014</t>
  </si>
  <si>
    <t>&lt; $1.25</t>
  </si>
  <si>
    <r>
      <t xml:space="preserve">&lt; $2 </t>
    </r>
    <r>
      <rPr>
        <vertAlign val="superscript"/>
        <sz val="9"/>
        <rFont val="Arial"/>
        <family val="2"/>
      </rPr>
      <t>1</t>
    </r>
    <r>
      <rPr>
        <sz val="9"/>
        <rFont val="Arial"/>
        <family val="2"/>
      </rPr>
      <t xml:space="preserve"> </t>
    </r>
  </si>
  <si>
    <t>$2-$4</t>
  </si>
  <si>
    <t>&gt; $4</t>
  </si>
  <si>
    <t>Percent change</t>
  </si>
  <si>
    <t>See notes for:  Inflation, average consumer prices (Index).</t>
  </si>
  <si>
    <r>
      <t xml:space="preserve">Beneficiary Households in Year 20 </t>
    </r>
    <r>
      <rPr>
        <sz val="8"/>
        <rFont val="Arial"/>
        <family val="2"/>
      </rPr>
      <t>(#)</t>
    </r>
  </si>
  <si>
    <r>
      <t xml:space="preserve">Beneficiary Individuals in Year 20 </t>
    </r>
    <r>
      <rPr>
        <sz val="8"/>
        <rFont val="Arial"/>
        <family val="2"/>
      </rPr>
      <t>(#)</t>
    </r>
  </si>
  <si>
    <r>
      <t xml:space="preserve">National Population in Year 20 </t>
    </r>
    <r>
      <rPr>
        <vertAlign val="superscript"/>
        <sz val="9"/>
        <rFont val="Arial"/>
        <family val="2"/>
      </rPr>
      <t>2</t>
    </r>
    <r>
      <rPr>
        <sz val="9"/>
        <rFont val="Arial"/>
        <family val="2"/>
      </rPr>
      <t xml:space="preserve"> </t>
    </r>
    <r>
      <rPr>
        <sz val="8"/>
        <rFont val="Arial"/>
        <family val="2"/>
      </rPr>
      <t>(#)</t>
    </r>
  </si>
  <si>
    <t>Household size</t>
  </si>
  <si>
    <t>2009 Household survey data</t>
  </si>
  <si>
    <r>
      <t xml:space="preserve">Beneficiary Population by Poverty Level </t>
    </r>
    <r>
      <rPr>
        <sz val="8"/>
        <rFont val="Arial"/>
        <family val="2"/>
      </rPr>
      <t xml:space="preserve">(%) </t>
    </r>
    <r>
      <rPr>
        <vertAlign val="superscript"/>
        <sz val="8"/>
        <rFont val="Arial"/>
        <family val="2"/>
      </rPr>
      <t>3</t>
    </r>
  </si>
  <si>
    <t>Population Growth</t>
  </si>
  <si>
    <t>2012 UN Estiamte</t>
  </si>
  <si>
    <r>
      <t xml:space="preserve">National Population by Poverty Level </t>
    </r>
    <r>
      <rPr>
        <vertAlign val="superscript"/>
        <sz val="9"/>
        <rFont val="Arial"/>
        <family val="2"/>
      </rPr>
      <t>4</t>
    </r>
    <r>
      <rPr>
        <sz val="9"/>
        <rFont val="Arial"/>
        <family val="2"/>
      </rPr>
      <t xml:space="preserve"> </t>
    </r>
    <r>
      <rPr>
        <sz val="8"/>
        <rFont val="Arial"/>
        <family val="2"/>
      </rPr>
      <t>(%)</t>
    </r>
  </si>
  <si>
    <t>Population 2012</t>
  </si>
  <si>
    <t>The Magnitude of the Benefits</t>
  </si>
  <si>
    <t xml:space="preserve">PV of Benefit Stream Per Beneficiary Individual (USD) </t>
  </si>
  <si>
    <r>
      <t>PV of Benefit Stream as Share of Annual Income</t>
    </r>
    <r>
      <rPr>
        <sz val="8"/>
        <rFont val="Arial"/>
        <family val="2"/>
      </rPr>
      <t xml:space="preserve"> (%)</t>
    </r>
  </si>
  <si>
    <t>Cost Effectiveness</t>
  </si>
  <si>
    <r>
      <t xml:space="preserve">PV of Benefit Stream/Project Dollar </t>
    </r>
    <r>
      <rPr>
        <sz val="8"/>
        <rFont val="Arial"/>
        <family val="2"/>
      </rPr>
      <t>(USD/USD)</t>
    </r>
  </si>
  <si>
    <r>
      <t xml:space="preserve">Percent of Project Participants Who Are Female </t>
    </r>
    <r>
      <rPr>
        <vertAlign val="superscript"/>
        <sz val="9"/>
        <rFont val="Arial"/>
        <family val="2"/>
      </rPr>
      <t>5</t>
    </r>
  </si>
  <si>
    <r>
      <t xml:space="preserve">GNI per capita </t>
    </r>
    <r>
      <rPr>
        <vertAlign val="superscript"/>
        <sz val="9"/>
        <rFont val="Arial"/>
        <family val="2"/>
      </rPr>
      <t xml:space="preserve">6 </t>
    </r>
    <r>
      <rPr>
        <sz val="9"/>
        <rFont val="Arial"/>
        <family val="2"/>
      </rPr>
      <t>(USD)</t>
    </r>
  </si>
  <si>
    <t>Current National Population</t>
  </si>
  <si>
    <t>25.2 million</t>
  </si>
  <si>
    <t>NB: all benefits incremental; PVs based on 10% discount rate and exclude MCC costs but net out any local costs</t>
  </si>
  <si>
    <r>
      <t xml:space="preserve">1   </t>
    </r>
    <r>
      <rPr>
        <sz val="8"/>
        <rFont val="Arial"/>
        <family val="2"/>
      </rPr>
      <t>The beneficiaries and population living on less than $2 per day include those under $1.25 per day</t>
    </r>
  </si>
  <si>
    <r>
      <t xml:space="preserve">2    </t>
    </r>
    <r>
      <rPr>
        <sz val="8"/>
        <rFont val="Arial"/>
        <family val="2"/>
      </rPr>
      <t>Based on estimated 2012 population (UN population estimates), projected to Year 20</t>
    </r>
  </si>
  <si>
    <r>
      <t xml:space="preserve">3,4 </t>
    </r>
    <r>
      <rPr>
        <sz val="8"/>
        <rFont val="Arial"/>
        <family val="2"/>
      </rPr>
      <t>National Household survey data, 2008</t>
    </r>
  </si>
  <si>
    <r>
      <t xml:space="preserve">5,6 </t>
    </r>
    <r>
      <rPr>
        <sz val="8"/>
        <rFont val="Arial"/>
        <family val="2"/>
      </rPr>
      <t>CIA World Factbook, converted to PPP</t>
    </r>
  </si>
  <si>
    <t>Mozambique:  Land Tenure Services Project</t>
  </si>
  <si>
    <t>Mozambique: Land Tenure Services Project</t>
  </si>
  <si>
    <t>Original Project</t>
  </si>
  <si>
    <t>Closeout Project</t>
  </si>
  <si>
    <t>The Land Tenure Services Project (Land Project) worked on 1) improving policy, 2) upgrading the public land administration agencies (the title registry and cadaster), and 3) facilitating site-specific land access. These three main pillars aimed to address concerns widely shared across the private sector, the Government, and civil society with solutions that bring together their diverse perspectives.  The project is expected to benefit 1,333,445 beneficiaries.</t>
  </si>
  <si>
    <t>Present Value (PV) of Benefits (2009 USD):</t>
  </si>
  <si>
    <t>Present Value (PV) of MCC Costs (2009 USD):</t>
  </si>
  <si>
    <t>Program Costs (2009 MT)</t>
  </si>
  <si>
    <t>NPV Costs (2009 MT)</t>
  </si>
  <si>
    <t>Benefits Community (2009 MT)</t>
  </si>
  <si>
    <t>Benefits Urban (2009 MT)</t>
  </si>
  <si>
    <t>NPV Benefits (2009 MT)</t>
  </si>
  <si>
    <t>The Land Tenure Project economic analysis was revised substantially from the original formulation, as many of the original assumptions could not be verified with recent data. A new model was formulated to reflect the economic impact of the project on direct beneficiaries in keeping with project activities. The updated, revised ERR analysis differs from the original as it does not include transaction-cost savings accruing to large commercial investors who currently pay substantial costs in time and legal fees to access land in Mozambique. Those transaction cost savings were based on anecdotal evidence that could not be measured at closeout.</t>
  </si>
  <si>
    <t>data from HTSPE spreadsheet 9-24-2013 &amp; MCC ITT Q20</t>
  </si>
  <si>
    <t>Increase in agricultural income from rural DUAT</t>
  </si>
  <si>
    <t>KPMG, MCC Q20 ITT</t>
  </si>
  <si>
    <t>40.1 million</t>
  </si>
  <si>
    <t>Clear cells are formulas.</t>
  </si>
  <si>
    <t xml:space="preserve">Jose Negrão, Almeirim de Carvalho, João Donato, Tomás Manhicane Júnior, (2004). “Urban Land Market in Mozambique”, </t>
  </si>
  <si>
    <t>Last updated: 10/07/2014</t>
  </si>
  <si>
    <t>Program Costs (Mid 2013)</t>
  </si>
  <si>
    <t>Costs Breakdown by year</t>
  </si>
  <si>
    <t>Final DFP Costs, yearly estimates</t>
  </si>
  <si>
    <t>Final DPF Costs</t>
  </si>
  <si>
    <t>25.8% over 20 years</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</si>
</sst>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
    <numFmt numFmtId="167" formatCode="0.0%"/>
    <numFmt numFmtId="168" formatCode="#,##0.0000000"/>
    <numFmt numFmtId="169" formatCode="&quot;$&quot;#,##0.00"/>
    <numFmt numFmtId="170" formatCode="&quot;Yes&quot;;&quot;Yes&quot;;&quot;No&quot;"/>
    <numFmt numFmtId="171" formatCode="&quot;True&quot;;&quot;True&quot;;&quot;False&quot;"/>
    <numFmt numFmtId="172" formatCode="&quot;On&quot;;&quot;On&quot;;&quot;Off&quot;"/>
    <numFmt numFmtId="173" formatCode="[$€-2]\ #,##0.00_);[Red]\([$€-2]\ #,##0.00\)"/>
    <numFmt numFmtId="174" formatCode="0.000"/>
    <numFmt numFmtId="175" formatCode="0.0000"/>
    <numFmt numFmtId="176" formatCode="0.000%"/>
    <numFmt numFmtId="177" formatCode="_-* #,##0.00_-;\-* #,##0.00_-;_-* &quot;-&quot;??_-;_-@_-"/>
    <numFmt numFmtId="178" formatCode="0.00_)"/>
    <numFmt numFmtId="179" formatCode="0.000_)"/>
    <numFmt numFmtId="180" formatCode="_(* #,##0.0_);_(* \(#,##0.0\);_(* &quot;-&quot;??_);_(@_)"/>
    <numFmt numFmtId="181" formatCode="_(* #,##0_);_(* \(#,##0\);_(* &quot;-&quot;??_);_(@_)"/>
    <numFmt numFmtId="182" formatCode="_(&quot;$&quot;* #,##0.0_);_(&quot;$&quot;* \(#,##0.0\);_(&quot;$&quot;* &quot;-&quot;??_);_(@_)"/>
    <numFmt numFmtId="183" formatCode="_(&quot;$&quot;* #,##0_);_(&quot;$&quot;* \(#,##0\);_(&quot;$&quot;* &quot;-&quot;??_);_(@_)"/>
    <numFmt numFmtId="184" formatCode="0.00000"/>
    <numFmt numFmtId="185" formatCode="_(* #,##0.0_);_(* \(#,##0.0\);_(* &quot;-&quot;?_);_(@_)"/>
    <numFmt numFmtId="186" formatCode="0.0000000"/>
    <numFmt numFmtId="187" formatCode="0.000000"/>
    <numFmt numFmtId="188" formatCode="_(* #,##0_);_(* \(#,##0\);_(* &quot;-&quot;?_);_(@_)"/>
    <numFmt numFmtId="189" formatCode="0.00000000"/>
    <numFmt numFmtId="190" formatCode="[$-409]dddd\,\ mmmm\ dd\,\ yyyy"/>
    <numFmt numFmtId="191" formatCode="[$-409]h:mm:ss\ AM/PM"/>
    <numFmt numFmtId="192" formatCode="_(* #,##0.000_);_(* \(#,##0.000\);_(* &quot;-&quot;??_);_(@_)"/>
    <numFmt numFmtId="193" formatCode="&quot;$&quot;#,##0.0_);[Red]\(&quot;$&quot;#,##0.0\)"/>
    <numFmt numFmtId="194" formatCode="_(&quot;$&quot;* #,##0.000_);_(&quot;$&quot;* \(#,##0.000\);_(&quot;$&quot;* &quot;-&quot;??_);_(@_)"/>
    <numFmt numFmtId="195" formatCode="_(* #,##0.0000_);_(* \(#,##0.0000\);_(* &quot;-&quot;??_);_(@_)"/>
    <numFmt numFmtId="196" formatCode="&quot;$&quot;#,##0.000"/>
    <numFmt numFmtId="197" formatCode="0.0,,"/>
    <numFmt numFmtId="198" formatCode="0,,"/>
    <numFmt numFmtId="199" formatCode="\$#,##0"/>
  </numFmts>
  <fonts count="118">
    <font>
      <sz val="10"/>
      <name val="Arial"/>
      <family val="0"/>
    </font>
    <font>
      <sz val="8"/>
      <name val="Arial"/>
      <family val="2"/>
    </font>
    <font>
      <u val="single"/>
      <sz val="10"/>
      <color indexed="12"/>
      <name val="Arial"/>
      <family val="2"/>
    </font>
    <font>
      <u val="single"/>
      <sz val="10"/>
      <color indexed="36"/>
      <name val="Arial"/>
      <family val="2"/>
    </font>
    <font>
      <sz val="11"/>
      <name val="Tms Rmn"/>
      <family val="0"/>
    </font>
    <font>
      <b/>
      <i/>
      <sz val="16"/>
      <name val="Helv"/>
      <family val="0"/>
    </font>
    <font>
      <sz val="8"/>
      <color indexed="17"/>
      <name val="Arial"/>
      <family val="2"/>
    </font>
    <font>
      <b/>
      <sz val="16"/>
      <name val="Arial"/>
      <family val="2"/>
    </font>
    <font>
      <b/>
      <sz val="10"/>
      <name val="Arial"/>
      <family val="2"/>
    </font>
    <font>
      <b/>
      <sz val="12"/>
      <color indexed="10"/>
      <name val="Arial"/>
      <family val="2"/>
    </font>
    <font>
      <i/>
      <sz val="10"/>
      <name val="Arial"/>
      <family val="2"/>
    </font>
    <font>
      <sz val="10"/>
      <color indexed="17"/>
      <name val="Arial"/>
      <family val="2"/>
    </font>
    <font>
      <b/>
      <sz val="10"/>
      <color indexed="10"/>
      <name val="Arial"/>
      <family val="2"/>
    </font>
    <font>
      <u val="single"/>
      <sz val="10"/>
      <name val="Arial"/>
      <family val="2"/>
    </font>
    <font>
      <b/>
      <i/>
      <sz val="10"/>
      <name val="Arial"/>
      <family val="2"/>
    </font>
    <font>
      <i/>
      <sz val="10"/>
      <name val="Times New Roman"/>
      <family val="1"/>
    </font>
    <font>
      <sz val="10"/>
      <name val="Arial Narrow"/>
      <family val="2"/>
    </font>
    <font>
      <b/>
      <sz val="11"/>
      <name val="Arial"/>
      <family val="2"/>
    </font>
    <font>
      <vertAlign val="superscript"/>
      <sz val="10"/>
      <name val="Arial"/>
      <family val="2"/>
    </font>
    <font>
      <i/>
      <sz val="9"/>
      <name val="Arial"/>
      <family val="2"/>
    </font>
    <font>
      <sz val="14"/>
      <name val="Arial"/>
      <family val="2"/>
    </font>
    <font>
      <sz val="10"/>
      <name val="Times New Roman"/>
      <family val="1"/>
    </font>
    <font>
      <b/>
      <sz val="14"/>
      <name val="Arial"/>
      <family val="2"/>
    </font>
    <font>
      <b/>
      <sz val="12"/>
      <name val="Arial"/>
      <family val="2"/>
    </font>
    <font>
      <sz val="10"/>
      <color indexed="12"/>
      <name val="Arial"/>
      <family val="2"/>
    </font>
    <font>
      <b/>
      <sz val="10"/>
      <color indexed="12"/>
      <name val="Arial"/>
      <family val="2"/>
    </font>
    <font>
      <sz val="10"/>
      <color indexed="23"/>
      <name val="Arial"/>
      <family val="2"/>
    </font>
    <font>
      <b/>
      <sz val="10"/>
      <color indexed="55"/>
      <name val="Arial"/>
      <family val="2"/>
    </font>
    <font>
      <sz val="9"/>
      <color indexed="55"/>
      <name val="Arial"/>
      <family val="2"/>
    </font>
    <font>
      <b/>
      <sz val="10"/>
      <color indexed="9"/>
      <name val="Arial"/>
      <family val="2"/>
    </font>
    <font>
      <b/>
      <sz val="12"/>
      <color indexed="12"/>
      <name val="Arial"/>
      <family val="2"/>
    </font>
    <font>
      <sz val="10"/>
      <color indexed="42"/>
      <name val="Arial"/>
      <family val="2"/>
    </font>
    <font>
      <sz val="9"/>
      <name val="Arial"/>
      <family val="2"/>
    </font>
    <font>
      <b/>
      <sz val="9"/>
      <name val="Arial"/>
      <family val="2"/>
    </font>
    <font>
      <b/>
      <sz val="8"/>
      <name val="Arial"/>
      <family val="2"/>
    </font>
    <font>
      <vertAlign val="superscript"/>
      <sz val="9"/>
      <name val="Arial"/>
      <family val="2"/>
    </font>
    <font>
      <vertAlign val="superscript"/>
      <sz val="8"/>
      <name val="Arial"/>
      <family val="2"/>
    </font>
    <font>
      <sz val="10"/>
      <color indexed="9"/>
      <name val="Arial"/>
      <family val="2"/>
    </font>
    <font>
      <sz val="9"/>
      <color indexed="12"/>
      <name val="Arial"/>
      <family val="2"/>
    </font>
    <font>
      <sz val="12"/>
      <name val="Times New Roman"/>
      <family val="1"/>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i/>
      <sz val="10"/>
      <color indexed="8"/>
      <name val="Arial"/>
      <family val="2"/>
    </font>
    <font>
      <sz val="10"/>
      <color indexed="56"/>
      <name val="Arial"/>
      <family val="2"/>
    </font>
    <font>
      <sz val="8"/>
      <color indexed="56"/>
      <name val="Arial"/>
      <family val="2"/>
    </font>
    <font>
      <sz val="11"/>
      <name val="Calibri"/>
      <family val="2"/>
    </font>
    <font>
      <b/>
      <sz val="10"/>
      <color indexed="56"/>
      <name val="Arial"/>
      <family val="2"/>
    </font>
    <font>
      <b/>
      <sz val="11"/>
      <name val="Calibri"/>
      <family val="2"/>
    </font>
    <font>
      <sz val="10"/>
      <color indexed="43"/>
      <name val="Arial"/>
      <family val="2"/>
    </font>
    <font>
      <sz val="11"/>
      <color indexed="56"/>
      <name val="Calibri"/>
      <family val="2"/>
    </font>
    <font>
      <b/>
      <sz val="10"/>
      <color indexed="17"/>
      <name val="Arial"/>
      <family val="2"/>
    </font>
    <font>
      <sz val="9"/>
      <color indexed="56"/>
      <name val="Arial"/>
      <family val="2"/>
    </font>
    <font>
      <i/>
      <sz val="10"/>
      <color indexed="62"/>
      <name val="Arial"/>
      <family val="2"/>
    </font>
    <font>
      <i/>
      <sz val="10"/>
      <color indexed="56"/>
      <name val="Arial"/>
      <family val="2"/>
    </font>
    <font>
      <u val="single"/>
      <sz val="11"/>
      <color indexed="8"/>
      <name val="Calibri"/>
      <family val="2"/>
    </font>
    <font>
      <b/>
      <sz val="10"/>
      <color indexed="23"/>
      <name val="Arial"/>
      <family val="2"/>
    </font>
    <font>
      <sz val="10"/>
      <color indexed="55"/>
      <name val="Arial"/>
      <family val="2"/>
    </font>
    <font>
      <sz val="12"/>
      <color indexed="63"/>
      <name val="Georgia"/>
      <family val="1"/>
    </font>
    <font>
      <b/>
      <sz val="10"/>
      <color indexed="8"/>
      <name val="Arial"/>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2"/>
      <color rgb="FFFF0000"/>
      <name val="Arial"/>
      <family val="2"/>
    </font>
    <font>
      <sz val="10"/>
      <color theme="1"/>
      <name val="Arial"/>
      <family val="2"/>
    </font>
    <font>
      <i/>
      <sz val="10"/>
      <color theme="1"/>
      <name val="Arial"/>
      <family val="2"/>
    </font>
    <font>
      <sz val="10"/>
      <color theme="3"/>
      <name val="Arial"/>
      <family val="2"/>
    </font>
    <font>
      <sz val="8"/>
      <color rgb="FF002060"/>
      <name val="Arial"/>
      <family val="2"/>
    </font>
    <font>
      <b/>
      <sz val="10"/>
      <color rgb="FF002060"/>
      <name val="Arial"/>
      <family val="2"/>
    </font>
    <font>
      <sz val="10"/>
      <color theme="2" tint="-0.24997000396251678"/>
      <name val="Arial"/>
      <family val="2"/>
    </font>
    <font>
      <sz val="10"/>
      <color rgb="FF002060"/>
      <name val="Arial"/>
      <family val="2"/>
    </font>
    <font>
      <b/>
      <sz val="10"/>
      <color rgb="FFFF0000"/>
      <name val="Arial"/>
      <family val="2"/>
    </font>
    <font>
      <sz val="11"/>
      <color rgb="FF1F497D"/>
      <name val="Calibri"/>
      <family val="2"/>
    </font>
    <font>
      <sz val="10"/>
      <color rgb="FF00B050"/>
      <name val="Arial"/>
      <family val="2"/>
    </font>
    <font>
      <b/>
      <sz val="10"/>
      <color rgb="FF00B050"/>
      <name val="Arial"/>
      <family val="2"/>
    </font>
    <font>
      <sz val="9"/>
      <color theme="3"/>
      <name val="Arial"/>
      <family val="2"/>
    </font>
    <font>
      <b/>
      <sz val="10"/>
      <color theme="3"/>
      <name val="Arial"/>
      <family val="2"/>
    </font>
    <font>
      <i/>
      <sz val="10"/>
      <color theme="4"/>
      <name val="Arial"/>
      <family val="2"/>
    </font>
    <font>
      <i/>
      <sz val="10"/>
      <color theme="3"/>
      <name val="Arial"/>
      <family val="2"/>
    </font>
    <font>
      <u val="single"/>
      <sz val="11"/>
      <color theme="1"/>
      <name val="Calibri"/>
      <family val="2"/>
    </font>
    <font>
      <b/>
      <sz val="10"/>
      <color theme="0" tint="-0.4999699890613556"/>
      <name val="Arial"/>
      <family val="2"/>
    </font>
    <font>
      <sz val="10"/>
      <color theme="0" tint="-0.3499799966812134"/>
      <name val="Arial"/>
      <family val="2"/>
    </font>
    <font>
      <b/>
      <sz val="10"/>
      <color theme="0"/>
      <name val="Arial"/>
      <family val="2"/>
    </font>
    <font>
      <b/>
      <sz val="10"/>
      <color theme="0" tint="-0.3499799966812134"/>
      <name val="Arial"/>
      <family val="2"/>
    </font>
    <font>
      <sz val="8"/>
      <color rgb="FF008000"/>
      <name val="Arial"/>
      <family val="2"/>
    </font>
    <font>
      <sz val="12"/>
      <color rgb="FF555555"/>
      <name val="Georgia"/>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rgb="FF00FF00"/>
        <bgColor indexed="64"/>
      </patternFill>
    </fill>
    <fill>
      <patternFill patternType="solid">
        <fgColor rgb="FF00FFFF"/>
        <bgColor indexed="64"/>
      </patternFill>
    </fill>
    <fill>
      <patternFill patternType="solid">
        <fgColor rgb="FFFFFF00"/>
        <bgColor indexed="64"/>
      </patternFill>
    </fill>
    <fill>
      <patternFill patternType="solid">
        <fgColor indexed="42"/>
        <bgColor indexed="64"/>
      </patternFill>
    </fill>
    <fill>
      <patternFill patternType="solid">
        <fgColor theme="0"/>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indexed="13"/>
        <bgColor indexed="64"/>
      </patternFill>
    </fill>
    <fill>
      <patternFill patternType="solid">
        <fgColor rgb="FF92D050"/>
        <bgColor indexed="64"/>
      </patternFill>
    </fill>
    <fill>
      <patternFill patternType="solid">
        <fgColor indexed="43"/>
        <bgColor indexed="64"/>
      </patternFill>
    </fill>
    <fill>
      <patternFill patternType="solid">
        <fgColor indexed="9"/>
        <bgColor indexed="64"/>
      </patternFill>
    </fill>
    <fill>
      <patternFill patternType="solid">
        <fgColor rgb="FFC00000"/>
        <bgColor indexed="64"/>
      </patternFill>
    </fill>
    <fill>
      <patternFill patternType="solid">
        <fgColor rgb="FFFFFF66"/>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color indexed="63"/>
      </right>
      <top style="thin"/>
      <bottom>
        <color indexed="63"/>
      </bottom>
    </border>
    <border>
      <left>
        <color indexed="63"/>
      </left>
      <right>
        <color indexed="63"/>
      </right>
      <top>
        <color indexed="63"/>
      </top>
      <bottom style="double"/>
    </border>
    <border>
      <left style="medium"/>
      <right style="medium"/>
      <top style="medium"/>
      <bottom style="medium"/>
    </border>
    <border>
      <left/>
      <right/>
      <top style="thin"/>
      <bottom style="thin"/>
    </border>
    <border>
      <left/>
      <right style="thin"/>
      <top style="thin"/>
      <bottom style="thin"/>
    </border>
    <border>
      <left style="thin"/>
      <right/>
      <top style="thin"/>
      <bottom style="thin"/>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top style="thin">
        <color theme="0" tint="-0.3499799966812134"/>
      </top>
      <bottom style="thin">
        <color theme="0" tint="-0.3499799966812134"/>
      </bottom>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style="thin"/>
      <top style="thin"/>
      <bottom style="thin"/>
    </border>
    <border>
      <left style="thin"/>
      <right style="double"/>
      <top style="thin"/>
      <bottom style="thin"/>
    </border>
    <border>
      <left style="double"/>
      <right style="thin"/>
      <top style="thin"/>
      <bottom/>
    </border>
    <border>
      <left style="thin"/>
      <right style="double"/>
      <top/>
      <bottom/>
    </border>
    <border>
      <left style="thin"/>
      <right style="double"/>
      <top/>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thin"/>
      <right style="double"/>
      <top style="thin"/>
      <bottom/>
    </border>
    <border>
      <left style="thin"/>
      <right>
        <color indexed="63"/>
      </right>
      <top/>
      <bottom/>
    </border>
    <border>
      <left style="thin"/>
      <right style="thin"/>
      <top style="thin"/>
      <bottom style="medium"/>
    </border>
    <border>
      <left style="thin"/>
      <right/>
      <top style="thin"/>
      <bottom style="medium"/>
    </border>
    <border>
      <left style="thin"/>
      <right style="thin"/>
      <top style="thin"/>
      <bottom/>
    </border>
    <border>
      <left/>
      <right style="thin"/>
      <top/>
      <bottom/>
    </border>
    <border>
      <left style="thin"/>
      <right style="thin"/>
      <top/>
      <bottom style="thin"/>
    </border>
    <border>
      <left style="thin"/>
      <right/>
      <top/>
      <bottom style="thin"/>
    </border>
    <border>
      <left/>
      <right style="thin"/>
      <top/>
      <bottom style="thin"/>
    </border>
    <border>
      <left style="thin"/>
      <right/>
      <top style="thin"/>
      <bottom/>
    </border>
    <border>
      <left style="medium">
        <color indexed="12"/>
      </left>
      <right/>
      <top style="medium">
        <color indexed="12"/>
      </top>
      <bottom/>
    </border>
    <border>
      <left/>
      <right/>
      <top style="medium">
        <color indexed="12"/>
      </top>
      <bottom/>
    </border>
    <border>
      <left/>
      <right style="medium">
        <color indexed="12"/>
      </right>
      <top style="medium">
        <color indexed="12"/>
      </top>
      <bottom/>
    </border>
    <border>
      <left style="medium">
        <color indexed="12"/>
      </left>
      <right/>
      <top/>
      <bottom/>
    </border>
    <border>
      <left/>
      <right style="medium">
        <color indexed="12"/>
      </right>
      <top/>
      <bottom/>
    </border>
    <border>
      <left/>
      <right/>
      <top/>
      <bottom style="thin">
        <color indexed="39"/>
      </bottom>
    </border>
    <border>
      <left/>
      <right/>
      <top style="thin">
        <color indexed="39"/>
      </top>
      <bottom/>
    </border>
    <border>
      <left/>
      <right/>
      <top/>
      <bottom style="thin">
        <color indexed="12"/>
      </bottom>
    </border>
    <border>
      <left/>
      <right/>
      <top style="thin">
        <color indexed="12"/>
      </top>
      <bottom/>
    </border>
    <border>
      <left style="medium">
        <color indexed="12"/>
      </left>
      <right/>
      <top/>
      <bottom style="medium">
        <color indexed="12"/>
      </bottom>
    </border>
    <border>
      <left/>
      <right/>
      <top/>
      <bottom style="medium">
        <color indexed="12"/>
      </bottom>
    </border>
    <border>
      <left/>
      <right style="medium">
        <color indexed="12"/>
      </right>
      <top/>
      <bottom style="medium">
        <color indexed="12"/>
      </bottom>
    </border>
    <border>
      <left/>
      <right style="thin"/>
      <top style="thin"/>
      <bottom/>
    </border>
    <border>
      <left style="double"/>
      <right style="thin"/>
      <top/>
      <bottom/>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0" applyNumberFormat="0" applyBorder="0" applyAlignment="0" applyProtection="0"/>
    <xf numFmtId="0" fontId="80" fillId="27" borderId="1" applyNumberFormat="0" applyAlignment="0" applyProtection="0"/>
    <xf numFmtId="0" fontId="81" fillId="28" borderId="2" applyNumberFormat="0" applyAlignment="0" applyProtection="0"/>
    <xf numFmtId="43" fontId="0" fillId="0" borderId="0" applyFont="0" applyFill="0" applyBorder="0" applyAlignment="0" applyProtection="0"/>
    <xf numFmtId="179" fontId="4" fillId="0" borderId="0">
      <alignment/>
      <protection/>
    </xf>
    <xf numFmtId="179" fontId="4" fillId="0" borderId="0">
      <alignment/>
      <protection/>
    </xf>
    <xf numFmtId="179" fontId="4" fillId="0" borderId="0">
      <alignment/>
      <protection/>
    </xf>
    <xf numFmtId="179" fontId="4" fillId="0" borderId="0">
      <alignment/>
      <protection/>
    </xf>
    <xf numFmtId="179" fontId="4" fillId="0" borderId="0">
      <alignment/>
      <protection/>
    </xf>
    <xf numFmtId="179" fontId="4" fillId="0" borderId="0">
      <alignment/>
      <protection/>
    </xf>
    <xf numFmtId="179" fontId="4" fillId="0" borderId="0">
      <alignment/>
      <protection/>
    </xf>
    <xf numFmtId="179" fontId="4" fillId="0" borderId="0">
      <alignment/>
      <protection/>
    </xf>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82" fillId="0" borderId="0" applyNumberFormat="0" applyFill="0" applyBorder="0" applyAlignment="0" applyProtection="0"/>
    <xf numFmtId="0" fontId="3"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2"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178" fontId="5" fillId="0" borderId="0">
      <alignment/>
      <protection/>
    </xf>
    <xf numFmtId="0" fontId="7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537">
    <xf numFmtId="0" fontId="0" fillId="0" borderId="0" xfId="0" applyAlignment="1">
      <alignment/>
    </xf>
    <xf numFmtId="0" fontId="9" fillId="0" borderId="0" xfId="0" applyNumberFormat="1" applyFont="1" applyBorder="1" applyAlignment="1">
      <alignment vertical="top"/>
    </xf>
    <xf numFmtId="0" fontId="6" fillId="0" borderId="0" xfId="0" applyFont="1" applyBorder="1" applyAlignment="1">
      <alignment horizontal="right"/>
    </xf>
    <xf numFmtId="0" fontId="8" fillId="0" borderId="0" xfId="0" applyFont="1" applyBorder="1" applyAlignment="1">
      <alignment/>
    </xf>
    <xf numFmtId="0" fontId="0" fillId="0" borderId="0" xfId="0" applyFont="1" applyBorder="1" applyAlignment="1">
      <alignment vertical="center" wrapText="1"/>
    </xf>
    <xf numFmtId="0" fontId="0" fillId="0" borderId="0" xfId="0" applyFont="1" applyBorder="1" applyAlignment="1">
      <alignment/>
    </xf>
    <xf numFmtId="0" fontId="8" fillId="0" borderId="10" xfId="0" applyFont="1" applyFill="1" applyBorder="1" applyAlignment="1">
      <alignment/>
    </xf>
    <xf numFmtId="0" fontId="0" fillId="0" borderId="10" xfId="0" applyFont="1" applyFill="1" applyBorder="1" applyAlignment="1">
      <alignment/>
    </xf>
    <xf numFmtId="0" fontId="8"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xf>
    <xf numFmtId="0" fontId="8" fillId="0" borderId="0" xfId="0" applyFont="1" applyFill="1" applyBorder="1" applyAlignment="1">
      <alignment/>
    </xf>
    <xf numFmtId="164" fontId="8" fillId="0" borderId="0" xfId="0" applyNumberFormat="1" applyFont="1" applyFill="1" applyBorder="1" applyAlignment="1">
      <alignment/>
    </xf>
    <xf numFmtId="164" fontId="0" fillId="0" borderId="0" xfId="0" applyNumberFormat="1" applyFont="1" applyFill="1" applyBorder="1" applyAlignment="1">
      <alignment/>
    </xf>
    <xf numFmtId="0" fontId="0" fillId="0" borderId="0" xfId="0" applyFont="1" applyFill="1" applyBorder="1" applyAlignment="1">
      <alignment wrapText="1"/>
    </xf>
    <xf numFmtId="0" fontId="0" fillId="0" borderId="0" xfId="0" applyFont="1" applyFill="1" applyAlignment="1">
      <alignment vertical="center" wrapText="1"/>
    </xf>
    <xf numFmtId="0" fontId="0" fillId="0" borderId="0" xfId="0" applyFont="1" applyFill="1" applyAlignment="1">
      <alignment vertical="center"/>
    </xf>
    <xf numFmtId="0" fontId="8" fillId="0" borderId="11" xfId="0" applyFont="1" applyFill="1" applyBorder="1" applyAlignment="1">
      <alignment vertical="center"/>
    </xf>
    <xf numFmtId="0" fontId="10" fillId="0" borderId="0" xfId="0" applyFont="1" applyFill="1" applyAlignment="1">
      <alignment vertical="center"/>
    </xf>
    <xf numFmtId="0" fontId="0" fillId="0" borderId="0" xfId="0" applyFont="1" applyBorder="1" applyAlignment="1">
      <alignment horizontal="right" vertical="center" wrapText="1"/>
    </xf>
    <xf numFmtId="0" fontId="6" fillId="0" borderId="0" xfId="0" applyFont="1" applyBorder="1" applyAlignment="1">
      <alignment horizontal="right" vertical="center"/>
    </xf>
    <xf numFmtId="0" fontId="0" fillId="0" borderId="0" xfId="0" applyFont="1" applyFill="1" applyBorder="1" applyAlignment="1">
      <alignment vertical="center"/>
    </xf>
    <xf numFmtId="0" fontId="0" fillId="0" borderId="0" xfId="0" applyFont="1" applyFill="1" applyAlignment="1">
      <alignment horizontal="right" vertical="center"/>
    </xf>
    <xf numFmtId="0" fontId="8" fillId="0" borderId="12" xfId="0" applyFont="1" applyFill="1" applyBorder="1" applyAlignment="1">
      <alignment vertical="center"/>
    </xf>
    <xf numFmtId="0" fontId="8" fillId="0" borderId="13" xfId="0" applyFont="1" applyFill="1" applyBorder="1" applyAlignment="1">
      <alignment horizontal="center" vertical="center"/>
    </xf>
    <xf numFmtId="0" fontId="8" fillId="0" borderId="13" xfId="0" applyFont="1" applyFill="1" applyBorder="1" applyAlignment="1">
      <alignment vertical="center"/>
    </xf>
    <xf numFmtId="0" fontId="8" fillId="0" borderId="11" xfId="0" applyFont="1" applyFill="1" applyBorder="1" applyAlignment="1">
      <alignment horizontal="right" vertical="center"/>
    </xf>
    <xf numFmtId="0" fontId="0" fillId="0" borderId="11" xfId="0" applyFont="1" applyFill="1" applyBorder="1" applyAlignment="1">
      <alignment vertical="center"/>
    </xf>
    <xf numFmtId="3" fontId="0" fillId="0" borderId="0" xfId="0" applyNumberFormat="1" applyFont="1" applyFill="1" applyAlignment="1">
      <alignment horizontal="right" vertical="center"/>
    </xf>
    <xf numFmtId="0" fontId="8" fillId="0" borderId="11" xfId="0" applyFont="1" applyFill="1" applyBorder="1" applyAlignment="1">
      <alignment/>
    </xf>
    <xf numFmtId="0" fontId="0" fillId="0" borderId="11" xfId="0" applyFont="1" applyFill="1" applyBorder="1" applyAlignment="1">
      <alignment/>
    </xf>
    <xf numFmtId="0" fontId="0" fillId="0" borderId="0" xfId="0" applyFont="1" applyFill="1" applyAlignment="1">
      <alignment/>
    </xf>
    <xf numFmtId="0" fontId="0" fillId="0" borderId="0" xfId="0" applyFont="1" applyFill="1" applyAlignment="1">
      <alignment wrapText="1"/>
    </xf>
    <xf numFmtId="0" fontId="0" fillId="0" borderId="0" xfId="0" applyFont="1" applyAlignment="1">
      <alignment wrapText="1"/>
    </xf>
    <xf numFmtId="0" fontId="0" fillId="0" borderId="0" xfId="0" applyFont="1" applyAlignment="1">
      <alignment/>
    </xf>
    <xf numFmtId="3" fontId="0" fillId="0" borderId="0" xfId="0" applyNumberFormat="1" applyFont="1" applyAlignment="1">
      <alignment/>
    </xf>
    <xf numFmtId="0" fontId="11" fillId="0" borderId="0" xfId="0" applyFont="1" applyBorder="1" applyAlignment="1">
      <alignment horizontal="right"/>
    </xf>
    <xf numFmtId="0" fontId="12" fillId="0" borderId="0" xfId="0" applyNumberFormat="1" applyFont="1" applyBorder="1" applyAlignment="1">
      <alignment vertical="top"/>
    </xf>
    <xf numFmtId="0" fontId="0" fillId="0" borderId="10" xfId="0" applyFont="1" applyBorder="1" applyAlignment="1">
      <alignment/>
    </xf>
    <xf numFmtId="0" fontId="8" fillId="0" borderId="11" xfId="0" applyFont="1" applyFill="1" applyBorder="1" applyAlignment="1">
      <alignment vertical="center" wrapText="1"/>
    </xf>
    <xf numFmtId="0" fontId="94" fillId="0" borderId="0" xfId="0" applyFont="1" applyFill="1" applyAlignment="1">
      <alignment vertical="center"/>
    </xf>
    <xf numFmtId="0" fontId="8" fillId="0" borderId="13" xfId="0" applyFont="1" applyFill="1" applyBorder="1" applyAlignment="1">
      <alignment vertical="center" wrapText="1"/>
    </xf>
    <xf numFmtId="9" fontId="0" fillId="0" borderId="0" xfId="80" applyFont="1" applyFill="1" applyAlignment="1">
      <alignment horizontal="right" vertical="center"/>
    </xf>
    <xf numFmtId="0" fontId="0" fillId="0" borderId="0" xfId="0" applyFont="1" applyFill="1" applyAlignment="1">
      <alignment horizontal="left"/>
    </xf>
    <xf numFmtId="0" fontId="0" fillId="0" borderId="0" xfId="0" applyFont="1" applyFill="1" applyAlignment="1">
      <alignment/>
    </xf>
    <xf numFmtId="0" fontId="13" fillId="0" borderId="0" xfId="0" applyFont="1" applyFill="1" applyBorder="1" applyAlignment="1">
      <alignment/>
    </xf>
    <xf numFmtId="0" fontId="14" fillId="0" borderId="0" xfId="0" applyFont="1" applyAlignment="1">
      <alignment/>
    </xf>
    <xf numFmtId="0" fontId="0" fillId="0" borderId="10" xfId="0" applyBorder="1" applyAlignment="1">
      <alignment/>
    </xf>
    <xf numFmtId="0" fontId="10" fillId="0" borderId="0" xfId="0" applyFont="1" applyFill="1" applyBorder="1" applyAlignment="1">
      <alignment/>
    </xf>
    <xf numFmtId="0" fontId="10" fillId="0" borderId="14" xfId="0" applyFont="1" applyBorder="1" applyAlignment="1">
      <alignment/>
    </xf>
    <xf numFmtId="181" fontId="0" fillId="0" borderId="0" xfId="42" applyNumberFormat="1" applyFont="1" applyAlignment="1">
      <alignment/>
    </xf>
    <xf numFmtId="0" fontId="0" fillId="33" borderId="15" xfId="0" applyFont="1" applyFill="1" applyBorder="1" applyAlignment="1">
      <alignment/>
    </xf>
    <xf numFmtId="0" fontId="0" fillId="33" borderId="16" xfId="0" applyFont="1" applyFill="1" applyBorder="1" applyAlignment="1">
      <alignment/>
    </xf>
    <xf numFmtId="0" fontId="0" fillId="33" borderId="16" xfId="0" applyFill="1" applyBorder="1" applyAlignment="1">
      <alignment/>
    </xf>
    <xf numFmtId="0" fontId="0" fillId="33" borderId="17" xfId="0" applyFill="1" applyBorder="1" applyAlignment="1">
      <alignment/>
    </xf>
    <xf numFmtId="0" fontId="14" fillId="33" borderId="0" xfId="0" applyFont="1" applyFill="1" applyAlignment="1">
      <alignment/>
    </xf>
    <xf numFmtId="0" fontId="0" fillId="33" borderId="0" xfId="0" applyFill="1" applyAlignment="1">
      <alignment/>
    </xf>
    <xf numFmtId="0" fontId="14" fillId="0" borderId="10" xfId="0" applyFont="1" applyBorder="1" applyAlignment="1">
      <alignment/>
    </xf>
    <xf numFmtId="0" fontId="0" fillId="33" borderId="10" xfId="0" applyFill="1" applyBorder="1" applyAlignment="1">
      <alignment/>
    </xf>
    <xf numFmtId="0" fontId="14" fillId="0" borderId="0" xfId="0" applyFont="1" applyAlignment="1">
      <alignment wrapText="1"/>
    </xf>
    <xf numFmtId="183" fontId="0" fillId="0" borderId="0" xfId="0" applyNumberFormat="1" applyFont="1" applyFill="1" applyBorder="1" applyAlignment="1">
      <alignment/>
    </xf>
    <xf numFmtId="167" fontId="95" fillId="0" borderId="0" xfId="0" applyNumberFormat="1" applyFont="1" applyFill="1" applyBorder="1" applyAlignment="1">
      <alignment/>
    </xf>
    <xf numFmtId="0" fontId="96" fillId="0" borderId="0" xfId="0" applyFont="1" applyFill="1" applyAlignment="1">
      <alignment vertical="center" wrapText="1"/>
    </xf>
    <xf numFmtId="0" fontId="96" fillId="0" borderId="0" xfId="0" applyFont="1" applyFill="1" applyAlignment="1">
      <alignment vertical="center"/>
    </xf>
    <xf numFmtId="0" fontId="97" fillId="0" borderId="0" xfId="0" applyFont="1" applyFill="1" applyAlignment="1">
      <alignment vertical="center" wrapText="1"/>
    </xf>
    <xf numFmtId="3" fontId="0" fillId="0" borderId="0" xfId="0" applyNumberFormat="1" applyFont="1" applyFill="1" applyAlignment="1">
      <alignment vertical="center"/>
    </xf>
    <xf numFmtId="1" fontId="0" fillId="0" borderId="0" xfId="0" applyNumberFormat="1" applyFont="1" applyFill="1" applyAlignment="1">
      <alignment vertical="center"/>
    </xf>
    <xf numFmtId="43" fontId="0" fillId="0" borderId="0" xfId="0" applyNumberFormat="1" applyFont="1" applyFill="1" applyAlignment="1">
      <alignment/>
    </xf>
    <xf numFmtId="181" fontId="96" fillId="0" borderId="0" xfId="42" applyNumberFormat="1" applyFont="1" applyFill="1" applyAlignment="1">
      <alignment vertical="center"/>
    </xf>
    <xf numFmtId="0" fontId="0" fillId="0" borderId="0" xfId="70" applyFont="1" applyBorder="1" applyAlignment="1">
      <alignment vertical="center" wrapText="1"/>
      <protection/>
    </xf>
    <xf numFmtId="0" fontId="0" fillId="0" borderId="0" xfId="70" applyFont="1" applyBorder="1" applyAlignment="1">
      <alignment horizontal="right" vertical="center" wrapText="1"/>
      <protection/>
    </xf>
    <xf numFmtId="0" fontId="1" fillId="0" borderId="0" xfId="70" applyFont="1" applyBorder="1" applyAlignment="1">
      <alignment horizontal="right" vertical="center"/>
      <protection/>
    </xf>
    <xf numFmtId="0" fontId="8" fillId="0" borderId="12" xfId="70" applyFont="1" applyFill="1" applyBorder="1" applyAlignment="1">
      <alignment vertical="center"/>
      <protection/>
    </xf>
    <xf numFmtId="0" fontId="8" fillId="0" borderId="13" xfId="70" applyFont="1" applyFill="1" applyBorder="1" applyAlignment="1">
      <alignment vertical="center"/>
      <protection/>
    </xf>
    <xf numFmtId="0" fontId="0" fillId="0" borderId="0" xfId="70" applyFont="1" applyFill="1" applyBorder="1" applyAlignment="1">
      <alignment vertical="center"/>
      <protection/>
    </xf>
    <xf numFmtId="0" fontId="0" fillId="0" borderId="0" xfId="70" applyFont="1" applyFill="1" applyAlignment="1">
      <alignment vertical="center"/>
      <protection/>
    </xf>
    <xf numFmtId="0" fontId="0" fillId="0" borderId="0" xfId="70" applyFont="1" applyFill="1" applyAlignment="1">
      <alignment horizontal="right" vertical="center"/>
      <protection/>
    </xf>
    <xf numFmtId="181" fontId="0" fillId="0" borderId="0" xfId="52" applyNumberFormat="1" applyFont="1" applyFill="1" applyAlignment="1">
      <alignment horizontal="right" vertical="center"/>
    </xf>
    <xf numFmtId="188" fontId="0" fillId="0" borderId="0" xfId="70" applyNumberFormat="1" applyFont="1" applyFill="1" applyAlignment="1">
      <alignment horizontal="right" vertical="center"/>
      <protection/>
    </xf>
    <xf numFmtId="0" fontId="98" fillId="0" borderId="0" xfId="70" applyFont="1" applyFill="1" applyAlignment="1">
      <alignment vertical="center"/>
      <protection/>
    </xf>
    <xf numFmtId="0" fontId="0" fillId="0" borderId="0" xfId="70" applyFont="1" applyFill="1" applyAlignment="1">
      <alignment vertical="center" wrapText="1"/>
      <protection/>
    </xf>
    <xf numFmtId="166" fontId="0" fillId="0" borderId="0" xfId="70" applyNumberFormat="1" applyFont="1" applyFill="1" applyAlignment="1">
      <alignment vertical="center"/>
      <protection/>
    </xf>
    <xf numFmtId="0" fontId="8" fillId="0" borderId="0" xfId="0" applyFont="1" applyFill="1" applyBorder="1" applyAlignment="1">
      <alignment wrapText="1"/>
    </xf>
    <xf numFmtId="0" fontId="0" fillId="0" borderId="18" xfId="0" applyFont="1" applyFill="1" applyBorder="1" applyAlignment="1">
      <alignment/>
    </xf>
    <xf numFmtId="181" fontId="98" fillId="0" borderId="0" xfId="42" applyNumberFormat="1" applyFont="1" applyFill="1" applyBorder="1" applyAlignment="1">
      <alignment vertical="center"/>
    </xf>
    <xf numFmtId="166" fontId="98" fillId="0" borderId="0" xfId="70" applyNumberFormat="1" applyFont="1" applyFill="1" applyBorder="1" applyAlignment="1">
      <alignment vertical="center"/>
      <protection/>
    </xf>
    <xf numFmtId="0" fontId="98" fillId="0" borderId="0" xfId="70" applyFont="1" applyFill="1" applyBorder="1" applyAlignment="1">
      <alignment horizontal="right" vertical="center"/>
      <protection/>
    </xf>
    <xf numFmtId="0" fontId="0" fillId="0" borderId="14" xfId="70" applyFont="1" applyFill="1" applyBorder="1" applyAlignment="1">
      <alignment vertical="center"/>
      <protection/>
    </xf>
    <xf numFmtId="0" fontId="99" fillId="0" borderId="0" xfId="70" applyFont="1" applyFill="1" applyAlignment="1">
      <alignment vertical="center"/>
      <protection/>
    </xf>
    <xf numFmtId="181" fontId="0" fillId="0" borderId="0" xfId="42" applyNumberFormat="1" applyFont="1" applyFill="1" applyAlignment="1">
      <alignment vertical="center"/>
    </xf>
    <xf numFmtId="174" fontId="0" fillId="0" borderId="0" xfId="70" applyNumberFormat="1" applyFont="1" applyFill="1" applyAlignment="1">
      <alignment vertical="center"/>
      <protection/>
    </xf>
    <xf numFmtId="175" fontId="62" fillId="0" borderId="0" xfId="0" applyNumberFormat="1" applyFont="1" applyAlignment="1">
      <alignment/>
    </xf>
    <xf numFmtId="164" fontId="0" fillId="0" borderId="0" xfId="0" applyNumberFormat="1" applyFont="1" applyBorder="1" applyAlignment="1">
      <alignment/>
    </xf>
    <xf numFmtId="9" fontId="0" fillId="0" borderId="0" xfId="80" applyFont="1" applyFill="1" applyAlignment="1">
      <alignment vertical="center"/>
    </xf>
    <xf numFmtId="0" fontId="8" fillId="0" borderId="0" xfId="70" applyFont="1" applyFill="1" applyBorder="1" applyAlignment="1">
      <alignment vertical="center" wrapText="1"/>
      <protection/>
    </xf>
    <xf numFmtId="3" fontId="0" fillId="0" borderId="0" xfId="70" applyNumberFormat="1" applyFont="1" applyFill="1" applyBorder="1" applyAlignment="1">
      <alignment horizontal="right" vertical="center"/>
      <protection/>
    </xf>
    <xf numFmtId="0" fontId="2" fillId="0" borderId="0" xfId="64" applyAlignment="1" applyProtection="1">
      <alignment/>
      <protection/>
    </xf>
    <xf numFmtId="181" fontId="0" fillId="0" borderId="0" xfId="42" applyNumberFormat="1" applyFont="1" applyFill="1" applyAlignment="1">
      <alignment horizontal="right" vertical="center"/>
    </xf>
    <xf numFmtId="0" fontId="14" fillId="0" borderId="0" xfId="0" applyFont="1" applyFill="1" applyBorder="1" applyAlignment="1">
      <alignment/>
    </xf>
    <xf numFmtId="0" fontId="95" fillId="0" borderId="0" xfId="0" applyFont="1" applyFill="1" applyBorder="1" applyAlignment="1">
      <alignment/>
    </xf>
    <xf numFmtId="0" fontId="94" fillId="0" borderId="0" xfId="0" applyFont="1" applyFill="1" applyBorder="1" applyAlignment="1">
      <alignment/>
    </xf>
    <xf numFmtId="0" fontId="95" fillId="0" borderId="0" xfId="0" applyFont="1" applyFill="1" applyBorder="1" applyAlignment="1">
      <alignment wrapText="1"/>
    </xf>
    <xf numFmtId="181" fontId="14" fillId="0" borderId="0" xfId="42" applyNumberFormat="1" applyFont="1" applyFill="1" applyBorder="1" applyAlignment="1">
      <alignment/>
    </xf>
    <xf numFmtId="0" fontId="1" fillId="0" borderId="0" xfId="70" applyFont="1" applyFill="1" applyAlignment="1">
      <alignment horizontal="left" vertical="center" wrapText="1"/>
      <protection/>
    </xf>
    <xf numFmtId="0" fontId="0" fillId="0" borderId="0" xfId="0" applyFont="1" applyFill="1" applyBorder="1" applyAlignment="1">
      <alignment/>
    </xf>
    <xf numFmtId="0" fontId="0" fillId="0" borderId="0" xfId="0" applyFont="1" applyFill="1" applyBorder="1" applyAlignment="1">
      <alignment horizontal="center"/>
    </xf>
    <xf numFmtId="9" fontId="94" fillId="0" borderId="0" xfId="80" applyFont="1" applyFill="1" applyAlignment="1">
      <alignment horizontal="right" vertical="center"/>
    </xf>
    <xf numFmtId="0" fontId="94" fillId="0" borderId="0" xfId="70" applyFont="1" applyFill="1" applyAlignment="1">
      <alignment horizontal="right" vertical="center"/>
      <protection/>
    </xf>
    <xf numFmtId="166" fontId="94" fillId="0" borderId="0" xfId="70" applyNumberFormat="1" applyFont="1" applyFill="1" applyAlignment="1">
      <alignment horizontal="right" vertical="center"/>
      <protection/>
    </xf>
    <xf numFmtId="0" fontId="8" fillId="0" borderId="0" xfId="70" applyFont="1" applyFill="1" applyAlignment="1">
      <alignment vertical="center"/>
      <protection/>
    </xf>
    <xf numFmtId="0" fontId="8" fillId="0" borderId="14" xfId="70" applyFont="1" applyFill="1" applyBorder="1" applyAlignment="1">
      <alignment vertical="center"/>
      <protection/>
    </xf>
    <xf numFmtId="0" fontId="100" fillId="0" borderId="0" xfId="70" applyFont="1" applyFill="1" applyAlignment="1">
      <alignment vertical="center"/>
      <protection/>
    </xf>
    <xf numFmtId="181" fontId="8" fillId="0" borderId="0" xfId="42" applyNumberFormat="1" applyFont="1" applyFill="1" applyAlignment="1">
      <alignment vertical="center"/>
    </xf>
    <xf numFmtId="174" fontId="8" fillId="0" borderId="0" xfId="70" applyNumberFormat="1" applyFont="1" applyFill="1" applyAlignment="1">
      <alignment vertical="center"/>
      <protection/>
    </xf>
    <xf numFmtId="175" fontId="64" fillId="0" borderId="0" xfId="0" applyNumberFormat="1" applyFont="1" applyAlignment="1">
      <alignment/>
    </xf>
    <xf numFmtId="0" fontId="8" fillId="0" borderId="0" xfId="0" applyFont="1" applyFill="1" applyAlignment="1">
      <alignment/>
    </xf>
    <xf numFmtId="43" fontId="8" fillId="0" borderId="0" xfId="0" applyNumberFormat="1" applyFont="1" applyFill="1" applyAlignment="1">
      <alignment/>
    </xf>
    <xf numFmtId="9" fontId="0" fillId="0" borderId="14" xfId="80" applyFont="1" applyFill="1" applyBorder="1" applyAlignment="1">
      <alignment vertical="center"/>
    </xf>
    <xf numFmtId="0" fontId="95" fillId="0" borderId="12" xfId="0" applyFont="1" applyFill="1" applyBorder="1" applyAlignment="1">
      <alignment wrapText="1"/>
    </xf>
    <xf numFmtId="44" fontId="0" fillId="0" borderId="0" xfId="54" applyFont="1" applyFill="1" applyBorder="1" applyAlignment="1">
      <alignment vertical="center"/>
    </xf>
    <xf numFmtId="9" fontId="0" fillId="0" borderId="0" xfId="80" applyFont="1" applyFill="1" applyBorder="1" applyAlignment="1">
      <alignment vertical="center"/>
    </xf>
    <xf numFmtId="2" fontId="98" fillId="0" borderId="0" xfId="70" applyNumberFormat="1" applyFont="1" applyFill="1" applyAlignment="1">
      <alignment horizontal="right" vertical="center"/>
      <protection/>
    </xf>
    <xf numFmtId="2" fontId="0" fillId="0" borderId="0" xfId="70" applyNumberFormat="1" applyFont="1" applyFill="1" applyAlignment="1">
      <alignment horizontal="right" vertical="center"/>
      <protection/>
    </xf>
    <xf numFmtId="1" fontId="0" fillId="0" borderId="0" xfId="70" applyNumberFormat="1" applyFont="1" applyFill="1" applyAlignment="1">
      <alignment horizontal="right" vertical="center"/>
      <protection/>
    </xf>
    <xf numFmtId="43" fontId="0" fillId="0" borderId="0" xfId="42" applyFont="1" applyFill="1" applyAlignment="1">
      <alignment horizontal="right" vertical="center"/>
    </xf>
    <xf numFmtId="0" fontId="98" fillId="0" borderId="0" xfId="70" applyFont="1" applyFill="1" applyBorder="1" applyAlignment="1">
      <alignment vertical="center"/>
      <protection/>
    </xf>
    <xf numFmtId="2" fontId="101" fillId="0" borderId="0" xfId="70" applyNumberFormat="1" applyFont="1" applyFill="1" applyBorder="1" applyAlignment="1">
      <alignment vertical="center"/>
      <protection/>
    </xf>
    <xf numFmtId="166" fontId="101" fillId="0" borderId="0" xfId="70" applyNumberFormat="1" applyFont="1" applyFill="1" applyBorder="1" applyAlignment="1">
      <alignment vertical="center"/>
      <protection/>
    </xf>
    <xf numFmtId="181" fontId="0" fillId="0" borderId="0" xfId="42" applyNumberFormat="1" applyFont="1" applyFill="1" applyBorder="1" applyAlignment="1">
      <alignment vertical="center"/>
    </xf>
    <xf numFmtId="43" fontId="0" fillId="0" borderId="0" xfId="70" applyNumberFormat="1" applyFont="1" applyFill="1" applyBorder="1" applyAlignment="1">
      <alignment vertical="center"/>
      <protection/>
    </xf>
    <xf numFmtId="0" fontId="0" fillId="0" borderId="13" xfId="70" applyFont="1" applyFill="1" applyBorder="1" applyAlignment="1">
      <alignment horizontal="center" vertical="center"/>
      <protection/>
    </xf>
    <xf numFmtId="2" fontId="0" fillId="0" borderId="14" xfId="70" applyNumberFormat="1" applyFont="1" applyFill="1" applyBorder="1" applyAlignment="1">
      <alignment horizontal="right" vertical="center"/>
      <protection/>
    </xf>
    <xf numFmtId="181" fontId="0" fillId="0" borderId="0" xfId="70" applyNumberFormat="1" applyFont="1" applyFill="1" applyAlignment="1">
      <alignment horizontal="right" vertical="center"/>
      <protection/>
    </xf>
    <xf numFmtId="2" fontId="94" fillId="0" borderId="0" xfId="0" applyNumberFormat="1" applyFont="1" applyFill="1" applyAlignment="1">
      <alignment horizontal="right"/>
    </xf>
    <xf numFmtId="0" fontId="102" fillId="0" borderId="0" xfId="70" applyFont="1" applyFill="1" applyAlignment="1">
      <alignment horizontal="right" vertical="center"/>
      <protection/>
    </xf>
    <xf numFmtId="0" fontId="8" fillId="0" borderId="19" xfId="70" applyFont="1" applyFill="1" applyBorder="1" applyAlignment="1">
      <alignment vertical="center"/>
      <protection/>
    </xf>
    <xf numFmtId="0" fontId="0" fillId="0" borderId="19" xfId="70" applyFont="1" applyFill="1" applyBorder="1" applyAlignment="1">
      <alignment horizontal="right" vertical="center"/>
      <protection/>
    </xf>
    <xf numFmtId="3" fontId="96" fillId="0" borderId="0" xfId="0" applyNumberFormat="1" applyFont="1" applyFill="1" applyAlignment="1">
      <alignment horizontal="right" vertical="center"/>
    </xf>
    <xf numFmtId="4" fontId="96" fillId="0" borderId="0" xfId="0" applyNumberFormat="1" applyFont="1" applyFill="1" applyAlignment="1">
      <alignment horizontal="right" vertical="center"/>
    </xf>
    <xf numFmtId="165" fontId="96" fillId="0" borderId="0" xfId="0" applyNumberFormat="1" applyFont="1" applyFill="1" applyAlignment="1">
      <alignment horizontal="right" vertical="center"/>
    </xf>
    <xf numFmtId="0" fontId="96" fillId="0" borderId="0" xfId="0" applyFont="1" applyFill="1" applyAlignment="1">
      <alignment horizontal="right" vertical="center"/>
    </xf>
    <xf numFmtId="2" fontId="94" fillId="0" borderId="0" xfId="70" applyNumberFormat="1" applyFont="1" applyFill="1" applyAlignment="1">
      <alignment horizontal="right" vertical="center"/>
      <protection/>
    </xf>
    <xf numFmtId="0" fontId="103" fillId="0" borderId="0" xfId="0" applyFont="1" applyFill="1" applyBorder="1" applyAlignment="1">
      <alignment horizontal="right"/>
    </xf>
    <xf numFmtId="0" fontId="104" fillId="0" borderId="0" xfId="0" applyFont="1" applyAlignment="1">
      <alignment/>
    </xf>
    <xf numFmtId="9" fontId="14" fillId="0" borderId="0" xfId="80" applyFont="1" applyAlignment="1">
      <alignment/>
    </xf>
    <xf numFmtId="0" fontId="0" fillId="0" borderId="0" xfId="0" applyAlignment="1">
      <alignment wrapText="1"/>
    </xf>
    <xf numFmtId="0" fontId="0" fillId="0" borderId="11" xfId="0" applyFont="1" applyFill="1" applyBorder="1" applyAlignment="1">
      <alignment vertical="center" wrapText="1"/>
    </xf>
    <xf numFmtId="43" fontId="0" fillId="0" borderId="0" xfId="0" applyNumberFormat="1" applyFont="1" applyFill="1" applyAlignment="1">
      <alignment wrapText="1"/>
    </xf>
    <xf numFmtId="0" fontId="1" fillId="0" borderId="0" xfId="0" applyFont="1" applyFill="1" applyBorder="1" applyAlignment="1">
      <alignment wrapText="1"/>
    </xf>
    <xf numFmtId="0" fontId="0" fillId="0" borderId="0" xfId="0" applyAlignment="1">
      <alignment vertical="center"/>
    </xf>
    <xf numFmtId="9" fontId="94" fillId="0" borderId="0" xfId="70" applyNumberFormat="1" applyFont="1" applyFill="1" applyAlignment="1">
      <alignment horizontal="right" vertical="center"/>
      <protection/>
    </xf>
    <xf numFmtId="0" fontId="0" fillId="34" borderId="0" xfId="70" applyFont="1" applyFill="1" applyAlignment="1">
      <alignment vertical="center"/>
      <protection/>
    </xf>
    <xf numFmtId="0" fontId="0" fillId="34" borderId="0" xfId="0" applyFill="1" applyAlignment="1">
      <alignment/>
    </xf>
    <xf numFmtId="9" fontId="0" fillId="34" borderId="0" xfId="80" applyFont="1" applyFill="1" applyAlignment="1">
      <alignment vertical="center"/>
    </xf>
    <xf numFmtId="9" fontId="0" fillId="34" borderId="0" xfId="80" applyFont="1" applyFill="1" applyAlignment="1">
      <alignment vertical="center"/>
    </xf>
    <xf numFmtId="167" fontId="17" fillId="35" borderId="20" xfId="80" applyNumberFormat="1" applyFont="1" applyFill="1" applyBorder="1" applyAlignment="1">
      <alignment/>
    </xf>
    <xf numFmtId="181" fontId="0" fillId="0" borderId="0" xfId="0" applyNumberFormat="1" applyAlignment="1">
      <alignment/>
    </xf>
    <xf numFmtId="181" fontId="0" fillId="0" borderId="0" xfId="0" applyNumberFormat="1" applyFont="1" applyAlignment="1">
      <alignment/>
    </xf>
    <xf numFmtId="3" fontId="105" fillId="0" borderId="0" xfId="0" applyNumberFormat="1" applyFont="1" applyFill="1" applyAlignment="1">
      <alignment horizontal="right" vertical="center"/>
    </xf>
    <xf numFmtId="3" fontId="106" fillId="0" borderId="0" xfId="0" applyNumberFormat="1" applyFont="1" applyFill="1" applyAlignment="1">
      <alignment horizontal="right" vertical="center"/>
    </xf>
    <xf numFmtId="181" fontId="105" fillId="33" borderId="21" xfId="52" applyNumberFormat="1" applyFont="1" applyFill="1" applyBorder="1" applyAlignment="1">
      <alignment horizontal="right" vertical="center"/>
    </xf>
    <xf numFmtId="0" fontId="8" fillId="2" borderId="11" xfId="70" applyFont="1" applyFill="1" applyBorder="1" applyAlignment="1">
      <alignment vertical="center" wrapText="1"/>
      <protection/>
    </xf>
    <xf numFmtId="3" fontId="0" fillId="2" borderId="11" xfId="70" applyNumberFormat="1" applyFont="1" applyFill="1" applyBorder="1" applyAlignment="1">
      <alignment horizontal="right" vertical="center"/>
      <protection/>
    </xf>
    <xf numFmtId="0" fontId="0" fillId="2" borderId="11" xfId="70" applyFont="1" applyFill="1" applyBorder="1" applyAlignment="1">
      <alignment vertical="center"/>
      <protection/>
    </xf>
    <xf numFmtId="0" fontId="0" fillId="2" borderId="0" xfId="70" applyFont="1" applyFill="1" applyAlignment="1">
      <alignment vertical="center"/>
      <protection/>
    </xf>
    <xf numFmtId="0" fontId="94" fillId="0" borderId="21" xfId="70" applyFont="1" applyFill="1" applyBorder="1" applyAlignment="1">
      <alignment vertical="center"/>
      <protection/>
    </xf>
    <xf numFmtId="167" fontId="105" fillId="0" borderId="0" xfId="81" applyNumberFormat="1" applyFont="1" applyFill="1" applyAlignment="1">
      <alignment horizontal="right" vertical="center"/>
    </xf>
    <xf numFmtId="0" fontId="105" fillId="0" borderId="0" xfId="70" applyFont="1" applyFill="1" applyAlignment="1">
      <alignment horizontal="right" vertical="center"/>
      <protection/>
    </xf>
    <xf numFmtId="0" fontId="14" fillId="33" borderId="21" xfId="70" applyFont="1" applyFill="1" applyBorder="1" applyAlignment="1">
      <alignment vertical="center"/>
      <protection/>
    </xf>
    <xf numFmtId="0" fontId="103" fillId="33" borderId="21" xfId="70" applyFont="1" applyFill="1" applyBorder="1" applyAlignment="1">
      <alignment vertical="center"/>
      <protection/>
    </xf>
    <xf numFmtId="0" fontId="103" fillId="33" borderId="0" xfId="70" applyFont="1" applyFill="1" applyAlignment="1">
      <alignment vertical="center"/>
      <protection/>
    </xf>
    <xf numFmtId="9" fontId="105" fillId="0" borderId="0" xfId="80" applyFont="1" applyFill="1" applyAlignment="1">
      <alignment horizontal="right" vertical="center"/>
    </xf>
    <xf numFmtId="0" fontId="0" fillId="36" borderId="0" xfId="0" applyFill="1" applyAlignment="1">
      <alignment/>
    </xf>
    <xf numFmtId="0" fontId="107" fillId="0" borderId="21" xfId="0" applyFont="1" applyBorder="1" applyAlignment="1">
      <alignment/>
    </xf>
    <xf numFmtId="166" fontId="107" fillId="0" borderId="22" xfId="0" applyNumberFormat="1" applyFont="1" applyBorder="1" applyAlignment="1">
      <alignment/>
    </xf>
    <xf numFmtId="166" fontId="107" fillId="0" borderId="21" xfId="0" applyNumberFormat="1" applyFont="1" applyBorder="1" applyAlignment="1">
      <alignment/>
    </xf>
    <xf numFmtId="1" fontId="107" fillId="37" borderId="21" xfId="0" applyNumberFormat="1" applyFont="1" applyFill="1" applyBorder="1" applyAlignment="1">
      <alignment/>
    </xf>
    <xf numFmtId="0" fontId="0" fillId="0" borderId="14" xfId="70" applyFont="1" applyFill="1" applyBorder="1" applyAlignment="1">
      <alignment horizontal="right" vertical="center"/>
      <protection/>
    </xf>
    <xf numFmtId="183" fontId="0" fillId="0" borderId="0" xfId="70" applyNumberFormat="1" applyFont="1" applyFill="1" applyAlignment="1">
      <alignment vertical="center"/>
      <protection/>
    </xf>
    <xf numFmtId="0" fontId="8" fillId="0" borderId="14" xfId="0" applyFont="1" applyFill="1" applyBorder="1" applyAlignment="1">
      <alignment/>
    </xf>
    <xf numFmtId="0" fontId="0" fillId="0" borderId="14" xfId="0" applyFont="1" applyFill="1" applyBorder="1" applyAlignment="1">
      <alignment/>
    </xf>
    <xf numFmtId="6" fontId="0" fillId="0" borderId="0" xfId="0" applyNumberFormat="1" applyFont="1" applyFill="1" applyBorder="1" applyAlignment="1">
      <alignment/>
    </xf>
    <xf numFmtId="0" fontId="0" fillId="0" borderId="14" xfId="0" applyFont="1" applyFill="1" applyBorder="1" applyAlignment="1">
      <alignment wrapText="1"/>
    </xf>
    <xf numFmtId="6" fontId="0" fillId="0" borderId="14" xfId="0" applyNumberFormat="1" applyFont="1" applyFill="1" applyBorder="1" applyAlignment="1">
      <alignment/>
    </xf>
    <xf numFmtId="167" fontId="0" fillId="0" borderId="0" xfId="80" applyNumberFormat="1" applyFont="1" applyFill="1" applyBorder="1" applyAlignment="1">
      <alignment/>
    </xf>
    <xf numFmtId="167" fontId="0" fillId="0" borderId="14" xfId="80" applyNumberFormat="1" applyFont="1" applyFill="1" applyBorder="1" applyAlignment="1">
      <alignment/>
    </xf>
    <xf numFmtId="9" fontId="0" fillId="34" borderId="0" xfId="80" applyFont="1" applyFill="1" applyAlignment="1">
      <alignment/>
    </xf>
    <xf numFmtId="9" fontId="0" fillId="34" borderId="0" xfId="80" applyFont="1" applyFill="1" applyAlignment="1">
      <alignment horizontal="right"/>
    </xf>
    <xf numFmtId="181" fontId="0" fillId="0" borderId="0" xfId="42" applyNumberFormat="1" applyFont="1" applyAlignment="1">
      <alignment wrapText="1"/>
    </xf>
    <xf numFmtId="181" fontId="0" fillId="0" borderId="0" xfId="42" applyNumberFormat="1" applyFont="1" applyAlignment="1">
      <alignment/>
    </xf>
    <xf numFmtId="181" fontId="14" fillId="0" borderId="0" xfId="42" applyNumberFormat="1" applyFont="1" applyAlignment="1">
      <alignment/>
    </xf>
    <xf numFmtId="181" fontId="10" fillId="0" borderId="0" xfId="42" applyNumberFormat="1" applyFont="1" applyAlignment="1">
      <alignment wrapText="1"/>
    </xf>
    <xf numFmtId="181" fontId="0" fillId="0" borderId="0" xfId="42" applyNumberFormat="1" applyFont="1" applyFill="1" applyBorder="1" applyAlignment="1">
      <alignment/>
    </xf>
    <xf numFmtId="181" fontId="0" fillId="0" borderId="0" xfId="42" applyNumberFormat="1" applyFont="1" applyFill="1" applyAlignment="1">
      <alignment/>
    </xf>
    <xf numFmtId="181" fontId="0" fillId="0" borderId="0" xfId="42" applyNumberFormat="1" applyFont="1" applyFill="1" applyBorder="1" applyAlignment="1">
      <alignment wrapText="1"/>
    </xf>
    <xf numFmtId="181" fontId="0" fillId="0" borderId="0" xfId="42" applyNumberFormat="1" applyFont="1" applyFill="1" applyBorder="1" applyAlignment="1">
      <alignment horizontal="center" vertical="center"/>
    </xf>
    <xf numFmtId="181" fontId="0" fillId="0" borderId="19" xfId="42" applyNumberFormat="1" applyFont="1" applyFill="1" applyBorder="1" applyAlignment="1">
      <alignment wrapText="1"/>
    </xf>
    <xf numFmtId="181" fontId="0" fillId="0" borderId="14" xfId="42" applyNumberFormat="1" applyFont="1" applyFill="1" applyBorder="1" applyAlignment="1">
      <alignment horizontal="center" vertical="center"/>
    </xf>
    <xf numFmtId="181" fontId="0" fillId="0" borderId="19" xfId="42" applyNumberFormat="1" applyFont="1" applyFill="1" applyBorder="1" applyAlignment="1">
      <alignment/>
    </xf>
    <xf numFmtId="181" fontId="8" fillId="0" borderId="19" xfId="42" applyNumberFormat="1" applyFont="1" applyFill="1" applyBorder="1" applyAlignment="1">
      <alignment wrapText="1"/>
    </xf>
    <xf numFmtId="181" fontId="8" fillId="0" borderId="14" xfId="42" applyNumberFormat="1" applyFont="1" applyFill="1" applyBorder="1" applyAlignment="1">
      <alignment horizontal="center" vertical="center"/>
    </xf>
    <xf numFmtId="181" fontId="8" fillId="0" borderId="19" xfId="42" applyNumberFormat="1" applyFont="1" applyFill="1" applyBorder="1" applyAlignment="1">
      <alignment/>
    </xf>
    <xf numFmtId="0" fontId="0" fillId="0" borderId="14" xfId="0" applyBorder="1" applyAlignment="1">
      <alignment/>
    </xf>
    <xf numFmtId="166" fontId="93" fillId="0" borderId="0" xfId="0" applyNumberFormat="1" applyFont="1" applyAlignment="1">
      <alignment/>
    </xf>
    <xf numFmtId="174" fontId="93" fillId="0" borderId="0" xfId="0" applyNumberFormat="1" applyFont="1" applyAlignment="1">
      <alignment/>
    </xf>
    <xf numFmtId="0" fontId="93" fillId="0" borderId="0" xfId="0" applyFont="1" applyAlignment="1">
      <alignment/>
    </xf>
    <xf numFmtId="166" fontId="0" fillId="0" borderId="0" xfId="0" applyNumberFormat="1" applyAlignment="1">
      <alignment/>
    </xf>
    <xf numFmtId="9" fontId="0" fillId="36" borderId="0" xfId="0" applyNumberFormat="1" applyFill="1" applyAlignment="1">
      <alignment/>
    </xf>
    <xf numFmtId="181" fontId="0" fillId="0" borderId="14" xfId="42" applyNumberFormat="1" applyFont="1" applyBorder="1" applyAlignment="1">
      <alignment/>
    </xf>
    <xf numFmtId="181" fontId="8" fillId="0" borderId="0" xfId="42" applyNumberFormat="1" applyFont="1" applyFill="1" applyBorder="1" applyAlignment="1">
      <alignment/>
    </xf>
    <xf numFmtId="181" fontId="95" fillId="0" borderId="0" xfId="42" applyNumberFormat="1" applyFont="1" applyFill="1" applyBorder="1" applyAlignment="1">
      <alignment/>
    </xf>
    <xf numFmtId="9" fontId="0" fillId="36" borderId="0" xfId="80" applyFont="1" applyFill="1" applyAlignment="1">
      <alignment/>
    </xf>
    <xf numFmtId="181" fontId="8" fillId="0" borderId="0" xfId="42" applyNumberFormat="1" applyFont="1" applyAlignment="1">
      <alignment/>
    </xf>
    <xf numFmtId="2" fontId="14" fillId="33" borderId="0" xfId="0" applyNumberFormat="1" applyFont="1" applyFill="1" applyAlignment="1">
      <alignment/>
    </xf>
    <xf numFmtId="180" fontId="14" fillId="0" borderId="0" xfId="42" applyNumberFormat="1" applyFont="1" applyAlignment="1">
      <alignment/>
    </xf>
    <xf numFmtId="180" fontId="14" fillId="33" borderId="0" xfId="42" applyNumberFormat="1" applyFont="1" applyFill="1" applyAlignment="1">
      <alignment/>
    </xf>
    <xf numFmtId="9" fontId="103" fillId="0" borderId="0" xfId="80" applyFont="1" applyFill="1" applyAlignment="1">
      <alignment horizontal="right"/>
    </xf>
    <xf numFmtId="0" fontId="108" fillId="0" borderId="23" xfId="0" applyFont="1" applyFill="1" applyBorder="1" applyAlignment="1">
      <alignment vertical="center"/>
    </xf>
    <xf numFmtId="181" fontId="8" fillId="0" borderId="0" xfId="70" applyNumberFormat="1" applyFont="1" applyFill="1" applyAlignment="1">
      <alignment horizontal="right" vertical="center"/>
      <protection/>
    </xf>
    <xf numFmtId="181" fontId="8" fillId="0" borderId="14" xfId="42" applyNumberFormat="1" applyFont="1" applyFill="1" applyBorder="1" applyAlignment="1">
      <alignment horizontal="right" vertical="center"/>
    </xf>
    <xf numFmtId="181" fontId="108" fillId="0" borderId="22" xfId="0" applyNumberFormat="1" applyFont="1" applyFill="1" applyBorder="1" applyAlignment="1">
      <alignment horizontal="right" vertical="center"/>
    </xf>
    <xf numFmtId="167" fontId="0" fillId="0" borderId="24" xfId="80" applyNumberFormat="1" applyFont="1" applyBorder="1" applyAlignment="1">
      <alignment/>
    </xf>
    <xf numFmtId="165" fontId="0" fillId="0" borderId="25" xfId="42" applyNumberFormat="1" applyFont="1" applyBorder="1" applyAlignment="1">
      <alignment/>
    </xf>
    <xf numFmtId="181" fontId="0" fillId="33" borderId="21" xfId="42" applyNumberFormat="1" applyFont="1" applyFill="1" applyBorder="1" applyAlignment="1">
      <alignment vertical="center"/>
    </xf>
    <xf numFmtId="165" fontId="105" fillId="0" borderId="0" xfId="70" applyNumberFormat="1" applyFont="1" applyFill="1" applyAlignment="1">
      <alignment horizontal="right" vertical="center"/>
      <protection/>
    </xf>
    <xf numFmtId="180" fontId="105" fillId="0" borderId="0" xfId="42" applyNumberFormat="1" applyFont="1" applyFill="1" applyAlignment="1">
      <alignment horizontal="right" vertical="center"/>
    </xf>
    <xf numFmtId="0" fontId="8" fillId="0" borderId="0" xfId="70" applyFont="1" applyFill="1" applyAlignment="1">
      <alignment vertical="center" wrapText="1"/>
      <protection/>
    </xf>
    <xf numFmtId="0" fontId="8" fillId="0" borderId="0" xfId="70" applyFont="1" applyFill="1" applyAlignment="1">
      <alignment horizontal="center" vertical="center"/>
      <protection/>
    </xf>
    <xf numFmtId="181" fontId="0" fillId="38" borderId="0" xfId="70" applyNumberFormat="1" applyFont="1" applyFill="1" applyAlignment="1">
      <alignment horizontal="right" vertical="center"/>
      <protection/>
    </xf>
    <xf numFmtId="0" fontId="19" fillId="0" borderId="0" xfId="0" applyFont="1" applyFill="1" applyAlignment="1">
      <alignment vertical="center" wrapText="1"/>
    </xf>
    <xf numFmtId="166" fontId="0" fillId="0" borderId="0" xfId="0" applyNumberFormat="1" applyFont="1" applyFill="1" applyAlignment="1">
      <alignment horizontal="right" vertical="center"/>
    </xf>
    <xf numFmtId="0" fontId="8" fillId="0" borderId="0" xfId="0" applyFont="1" applyAlignment="1">
      <alignment/>
    </xf>
    <xf numFmtId="0" fontId="109" fillId="0" borderId="0" xfId="70" applyFont="1" applyFill="1" applyAlignment="1">
      <alignment vertical="center"/>
      <protection/>
    </xf>
    <xf numFmtId="43" fontId="109" fillId="0" borderId="0" xfId="42" applyNumberFormat="1" applyFont="1" applyFill="1" applyAlignment="1">
      <alignment horizontal="right" vertical="center"/>
    </xf>
    <xf numFmtId="0" fontId="15" fillId="0" borderId="0" xfId="0" applyFont="1" applyAlignment="1">
      <alignment horizontal="left" wrapText="1"/>
    </xf>
    <xf numFmtId="9" fontId="0" fillId="34" borderId="0" xfId="80" applyFont="1" applyFill="1" applyAlignment="1">
      <alignment/>
    </xf>
    <xf numFmtId="181" fontId="105" fillId="0" borderId="0" xfId="80" applyNumberFormat="1" applyFont="1" applyFill="1" applyAlignment="1">
      <alignment horizontal="right" vertical="center"/>
    </xf>
    <xf numFmtId="167" fontId="0" fillId="0" borderId="0" xfId="80" applyNumberFormat="1" applyFont="1" applyFill="1" applyAlignment="1">
      <alignment vertical="center"/>
    </xf>
    <xf numFmtId="0" fontId="94" fillId="33" borderId="21" xfId="70" applyFont="1" applyFill="1" applyBorder="1" applyAlignment="1">
      <alignment vertical="center"/>
      <protection/>
    </xf>
    <xf numFmtId="0" fontId="10" fillId="36" borderId="0" xfId="0" applyFont="1" applyFill="1" applyAlignment="1">
      <alignment/>
    </xf>
    <xf numFmtId="2" fontId="10" fillId="36" borderId="0" xfId="0" applyNumberFormat="1" applyFont="1" applyFill="1" applyAlignment="1">
      <alignment/>
    </xf>
    <xf numFmtId="2" fontId="10" fillId="36" borderId="0" xfId="0" applyNumberFormat="1" applyFont="1" applyFill="1" applyAlignment="1">
      <alignment/>
    </xf>
    <xf numFmtId="1" fontId="0" fillId="0" borderId="0" xfId="0" applyNumberFormat="1" applyAlignment="1">
      <alignment/>
    </xf>
    <xf numFmtId="180" fontId="0" fillId="0" borderId="0" xfId="42" applyNumberFormat="1" applyFont="1" applyAlignment="1">
      <alignment/>
    </xf>
    <xf numFmtId="180" fontId="0" fillId="33" borderId="16" xfId="42" applyNumberFormat="1" applyFont="1" applyFill="1" applyBorder="1" applyAlignment="1">
      <alignment/>
    </xf>
    <xf numFmtId="180" fontId="0" fillId="0" borderId="10" xfId="42" applyNumberFormat="1" applyFont="1" applyBorder="1" applyAlignment="1">
      <alignment/>
    </xf>
    <xf numFmtId="180" fontId="0" fillId="0" borderId="10" xfId="42" applyNumberFormat="1" applyFont="1" applyBorder="1" applyAlignment="1">
      <alignment/>
    </xf>
    <xf numFmtId="180" fontId="0" fillId="33" borderId="17" xfId="42" applyNumberFormat="1" applyFont="1" applyFill="1" applyBorder="1" applyAlignment="1">
      <alignment/>
    </xf>
    <xf numFmtId="0" fontId="103" fillId="0" borderId="0" xfId="0" applyFont="1" applyFill="1" applyAlignment="1">
      <alignment vertical="center"/>
    </xf>
    <xf numFmtId="0" fontId="8" fillId="0" borderId="0" xfId="0" applyFont="1" applyFill="1" applyAlignment="1">
      <alignment wrapText="1"/>
    </xf>
    <xf numFmtId="2" fontId="103" fillId="0" borderId="0" xfId="0" applyNumberFormat="1" applyFont="1" applyFill="1" applyAlignment="1">
      <alignment horizontal="right"/>
    </xf>
    <xf numFmtId="9" fontId="94" fillId="0" borderId="14" xfId="80" applyFont="1" applyFill="1" applyBorder="1" applyAlignment="1">
      <alignment horizontal="right" vertical="center"/>
    </xf>
    <xf numFmtId="181" fontId="110" fillId="3" borderId="0" xfId="0" applyNumberFormat="1" applyFont="1" applyFill="1" applyAlignment="1">
      <alignment/>
    </xf>
    <xf numFmtId="9" fontId="0" fillId="0" borderId="14" xfId="80" applyFont="1" applyBorder="1" applyAlignment="1">
      <alignment/>
    </xf>
    <xf numFmtId="180" fontId="0" fillId="38" borderId="0" xfId="42" applyNumberFormat="1" applyFont="1" applyFill="1" applyAlignment="1">
      <alignment horizontal="right"/>
    </xf>
    <xf numFmtId="181" fontId="0" fillId="0" borderId="0" xfId="42" applyNumberFormat="1" applyFont="1" applyFill="1" applyAlignment="1">
      <alignment/>
    </xf>
    <xf numFmtId="181" fontId="0" fillId="36" borderId="0" xfId="42" applyNumberFormat="1" applyFont="1" applyFill="1" applyAlignment="1">
      <alignment/>
    </xf>
    <xf numFmtId="181" fontId="93" fillId="0" borderId="0" xfId="0" applyNumberFormat="1" applyFont="1" applyAlignment="1">
      <alignment/>
    </xf>
    <xf numFmtId="181" fontId="62" fillId="3" borderId="0" xfId="0" applyNumberFormat="1" applyFont="1" applyFill="1" applyAlignment="1">
      <alignment/>
    </xf>
    <xf numFmtId="181" fontId="0" fillId="39" borderId="0" xfId="42" applyNumberFormat="1" applyFont="1" applyFill="1" applyAlignment="1">
      <alignment/>
    </xf>
    <xf numFmtId="0" fontId="111" fillId="0" borderId="0" xfId="0" applyFont="1" applyAlignment="1">
      <alignment/>
    </xf>
    <xf numFmtId="181" fontId="93" fillId="38" borderId="0" xfId="0" applyNumberFormat="1" applyFont="1" applyFill="1" applyAlignment="1">
      <alignment/>
    </xf>
    <xf numFmtId="181" fontId="77" fillId="40" borderId="0" xfId="42" applyNumberFormat="1" applyFont="1" applyFill="1" applyAlignment="1">
      <alignment/>
    </xf>
    <xf numFmtId="0" fontId="0" fillId="0" borderId="0" xfId="0" applyFont="1" applyAlignment="1">
      <alignment/>
    </xf>
    <xf numFmtId="0" fontId="0" fillId="40" borderId="0" xfId="0" applyFont="1" applyFill="1" applyAlignment="1">
      <alignment/>
    </xf>
    <xf numFmtId="0" fontId="0" fillId="3" borderId="0" xfId="0" applyFill="1" applyAlignment="1">
      <alignment/>
    </xf>
    <xf numFmtId="0" fontId="0" fillId="39" borderId="0" xfId="0" applyFill="1" applyAlignment="1">
      <alignment/>
    </xf>
    <xf numFmtId="41" fontId="16" fillId="41" borderId="0" xfId="42" applyNumberFormat="1" applyFont="1" applyFill="1" applyBorder="1" applyAlignment="1">
      <alignment/>
    </xf>
    <xf numFmtId="181" fontId="0" fillId="42" borderId="0" xfId="42" applyNumberFormat="1" applyFont="1" applyFill="1" applyAlignment="1">
      <alignment/>
    </xf>
    <xf numFmtId="0" fontId="0" fillId="42" borderId="0" xfId="0" applyFill="1" applyAlignment="1">
      <alignment/>
    </xf>
    <xf numFmtId="0" fontId="0" fillId="19" borderId="0" xfId="0" applyFill="1" applyAlignment="1">
      <alignment/>
    </xf>
    <xf numFmtId="181" fontId="0" fillId="19" borderId="0" xfId="42" applyNumberFormat="1" applyFont="1" applyFill="1" applyAlignment="1">
      <alignment/>
    </xf>
    <xf numFmtId="41" fontId="0" fillId="0" borderId="0" xfId="0" applyNumberFormat="1" applyAlignment="1">
      <alignment/>
    </xf>
    <xf numFmtId="0" fontId="0" fillId="0" borderId="0" xfId="72">
      <alignment/>
      <protection/>
    </xf>
    <xf numFmtId="0" fontId="0" fillId="0" borderId="0" xfId="72" applyAlignment="1">
      <alignment vertical="center"/>
      <protection/>
    </xf>
    <xf numFmtId="0" fontId="8" fillId="0" borderId="26" xfId="72" applyFont="1" applyBorder="1" applyAlignment="1">
      <alignment horizontal="left" vertical="center" wrapText="1"/>
      <protection/>
    </xf>
    <xf numFmtId="0" fontId="112" fillId="0" borderId="27" xfId="0" applyFont="1" applyFill="1" applyBorder="1" applyAlignment="1">
      <alignment/>
    </xf>
    <xf numFmtId="0" fontId="8" fillId="0" borderId="28" xfId="0" applyFont="1" applyFill="1" applyBorder="1" applyAlignment="1">
      <alignment/>
    </xf>
    <xf numFmtId="0" fontId="8" fillId="0" borderId="0" xfId="72" applyFont="1" applyAlignment="1">
      <alignment vertical="center"/>
      <protection/>
    </xf>
    <xf numFmtId="0" fontId="8" fillId="0" borderId="29" xfId="72" applyFont="1" applyBorder="1" applyAlignment="1">
      <alignment horizontal="left" vertical="center" wrapText="1"/>
      <protection/>
    </xf>
    <xf numFmtId="14" fontId="113" fillId="0" borderId="30" xfId="72" applyNumberFormat="1" applyFont="1" applyFill="1" applyBorder="1" applyAlignment="1">
      <alignment horizontal="left" vertical="center" wrapText="1"/>
      <protection/>
    </xf>
    <xf numFmtId="14" fontId="0" fillId="0" borderId="31" xfId="72" applyNumberFormat="1" applyFont="1" applyFill="1" applyBorder="1" applyAlignment="1">
      <alignment horizontal="left" vertical="center" wrapText="1"/>
      <protection/>
    </xf>
    <xf numFmtId="6" fontId="113" fillId="0" borderId="30" xfId="72" applyNumberFormat="1" applyFont="1" applyFill="1" applyBorder="1" applyAlignment="1">
      <alignment horizontal="left" vertical="center" wrapText="1"/>
      <protection/>
    </xf>
    <xf numFmtId="0" fontId="8" fillId="0" borderId="32" xfId="0" applyFont="1" applyBorder="1" applyAlignment="1">
      <alignment vertical="center"/>
    </xf>
    <xf numFmtId="0" fontId="1" fillId="0" borderId="33" xfId="0" applyFont="1" applyFill="1" applyBorder="1" applyAlignment="1">
      <alignment horizontal="left" vertical="center" wrapText="1" indent="3"/>
    </xf>
    <xf numFmtId="0" fontId="113" fillId="0" borderId="30" xfId="72" applyFont="1" applyFill="1" applyBorder="1" applyAlignment="1">
      <alignment vertical="center" wrapText="1"/>
      <protection/>
    </xf>
    <xf numFmtId="0" fontId="96" fillId="0" borderId="34" xfId="72" applyFont="1" applyFill="1" applyBorder="1" applyAlignment="1">
      <alignment vertical="center" wrapText="1"/>
      <protection/>
    </xf>
    <xf numFmtId="0" fontId="8" fillId="0" borderId="35" xfId="0" applyFont="1" applyBorder="1" applyAlignment="1">
      <alignment/>
    </xf>
    <xf numFmtId="9" fontId="113" fillId="0" borderId="36" xfId="72" applyNumberFormat="1" applyFont="1" applyFill="1" applyBorder="1" applyAlignment="1">
      <alignment horizontal="left" vertical="center" wrapText="1"/>
      <protection/>
    </xf>
    <xf numFmtId="0" fontId="0" fillId="0" borderId="37" xfId="72" applyFont="1" applyFill="1" applyBorder="1" applyAlignment="1" quotePrefix="1">
      <alignment horizontal="left" vertical="center" wrapText="1"/>
      <protection/>
    </xf>
    <xf numFmtId="0" fontId="0" fillId="0" borderId="0" xfId="72" applyFont="1" applyFill="1" applyBorder="1" applyAlignment="1">
      <alignment horizontal="left" vertical="center" wrapText="1"/>
      <protection/>
    </xf>
    <xf numFmtId="9" fontId="0" fillId="0" borderId="0" xfId="72" applyNumberFormat="1" applyFont="1" applyBorder="1" applyAlignment="1">
      <alignment horizontal="left" vertical="center" wrapText="1"/>
      <protection/>
    </xf>
    <xf numFmtId="0" fontId="8" fillId="0" borderId="0" xfId="0" applyFont="1" applyBorder="1" applyAlignment="1">
      <alignment horizontal="left" wrapText="1"/>
    </xf>
    <xf numFmtId="0" fontId="0" fillId="0" borderId="0" xfId="74" applyFont="1" applyBorder="1" applyAlignment="1">
      <alignment horizontal="left" vertical="top" wrapText="1"/>
      <protection/>
    </xf>
    <xf numFmtId="0" fontId="2" fillId="0" borderId="0" xfId="64" applyBorder="1" applyAlignment="1" applyProtection="1">
      <alignment horizontal="left" vertical="top" wrapText="1"/>
      <protection/>
    </xf>
    <xf numFmtId="0" fontId="2" fillId="0" borderId="0" xfId="64" applyFont="1" applyBorder="1" applyAlignment="1" applyProtection="1">
      <alignment horizontal="left" vertical="top" wrapText="1"/>
      <protection/>
    </xf>
    <xf numFmtId="0" fontId="0" fillId="0" borderId="0" xfId="72" applyFont="1">
      <alignment/>
      <protection/>
    </xf>
    <xf numFmtId="0" fontId="0" fillId="0" borderId="0" xfId="72" applyAlignment="1">
      <alignment wrapText="1"/>
      <protection/>
    </xf>
    <xf numFmtId="0" fontId="2" fillId="0" borderId="0" xfId="64" applyFont="1" applyFill="1" applyBorder="1" applyAlignment="1" applyProtection="1">
      <alignment horizontal="left" vertical="top" wrapText="1"/>
      <protection/>
    </xf>
    <xf numFmtId="0" fontId="0" fillId="0" borderId="0" xfId="72" applyFont="1" applyAlignment="1">
      <alignment wrapText="1"/>
      <protection/>
    </xf>
    <xf numFmtId="0" fontId="0" fillId="0" borderId="0" xfId="74" applyFont="1" applyBorder="1" applyAlignment="1">
      <alignment horizontal="left" wrapText="1"/>
      <protection/>
    </xf>
    <xf numFmtId="0" fontId="2" fillId="0" borderId="0" xfId="64" applyFont="1" applyBorder="1" applyAlignment="1" applyProtection="1">
      <alignment horizontal="left" wrapText="1"/>
      <protection/>
    </xf>
    <xf numFmtId="0" fontId="2" fillId="0" borderId="0" xfId="64" applyNumberFormat="1" applyBorder="1" applyAlignment="1" applyProtection="1">
      <alignment horizontal="left" wrapText="1"/>
      <protection/>
    </xf>
    <xf numFmtId="0" fontId="2" fillId="0" borderId="0" xfId="64" applyNumberFormat="1" applyFont="1" applyBorder="1" applyAlignment="1" applyProtection="1">
      <alignment horizontal="left" wrapText="1"/>
      <protection/>
    </xf>
    <xf numFmtId="0" fontId="2" fillId="0" borderId="0" xfId="64" applyBorder="1" applyAlignment="1" applyProtection="1">
      <alignment horizontal="left" wrapText="1"/>
      <protection/>
    </xf>
    <xf numFmtId="0" fontId="0" fillId="0" borderId="0" xfId="72" applyNumberFormat="1" applyFont="1" applyBorder="1" applyAlignment="1">
      <alignment horizontal="left" wrapText="1"/>
      <protection/>
    </xf>
    <xf numFmtId="6" fontId="0" fillId="0" borderId="38" xfId="72" applyNumberFormat="1" applyFont="1" applyFill="1" applyBorder="1" applyAlignment="1">
      <alignment horizontal="left" vertical="center" wrapText="1"/>
      <protection/>
    </xf>
    <xf numFmtId="0" fontId="1" fillId="0" borderId="34" xfId="0" applyFont="1" applyFill="1" applyBorder="1" applyAlignment="1">
      <alignment horizontal="left" vertical="center" wrapText="1" indent="3"/>
    </xf>
    <xf numFmtId="0" fontId="113" fillId="0" borderId="39" xfId="75" applyFont="1" applyBorder="1" applyAlignment="1">
      <alignment vertical="center" wrapText="1"/>
      <protection/>
    </xf>
    <xf numFmtId="0" fontId="6" fillId="0" borderId="0" xfId="75" applyFont="1" applyAlignment="1">
      <alignment horizontal="right"/>
      <protection/>
    </xf>
    <xf numFmtId="0" fontId="0" fillId="0" borderId="0" xfId="75" applyAlignment="1">
      <alignment vertical="center" wrapText="1"/>
      <protection/>
    </xf>
    <xf numFmtId="0" fontId="7" fillId="0" borderId="0" xfId="75" applyFont="1" applyAlignment="1">
      <alignment vertical="center" wrapText="1"/>
      <protection/>
    </xf>
    <xf numFmtId="0" fontId="22" fillId="0" borderId="0" xfId="75" applyFont="1" applyAlignment="1">
      <alignment vertical="center" wrapText="1"/>
      <protection/>
    </xf>
    <xf numFmtId="0" fontId="8" fillId="0" borderId="0" xfId="75" applyFont="1" applyAlignment="1">
      <alignment vertical="center" wrapText="1"/>
      <protection/>
    </xf>
    <xf numFmtId="0" fontId="0" fillId="0" borderId="0" xfId="75" applyNumberFormat="1" applyFont="1" applyAlignment="1">
      <alignment vertical="center" wrapText="1"/>
      <protection/>
    </xf>
    <xf numFmtId="0" fontId="0" fillId="0" borderId="0" xfId="75" applyNumberFormat="1" applyFont="1" applyAlignment="1">
      <alignment horizontal="left" vertical="center" wrapText="1" indent="2"/>
      <protection/>
    </xf>
    <xf numFmtId="0" fontId="0" fillId="0" borderId="0" xfId="75" applyFont="1" applyAlignment="1">
      <alignment vertical="center" wrapText="1"/>
      <protection/>
    </xf>
    <xf numFmtId="0" fontId="10" fillId="0" borderId="0" xfId="75" applyFont="1">
      <alignment/>
      <protection/>
    </xf>
    <xf numFmtId="0" fontId="6" fillId="0" borderId="0" xfId="72" applyFont="1" applyAlignment="1">
      <alignment/>
      <protection/>
    </xf>
    <xf numFmtId="14" fontId="6" fillId="0" borderId="0" xfId="0" applyNumberFormat="1" applyFont="1" applyFill="1" applyAlignment="1">
      <alignment horizontal="right"/>
    </xf>
    <xf numFmtId="0" fontId="0" fillId="0" borderId="0" xfId="73">
      <alignment/>
      <protection/>
    </xf>
    <xf numFmtId="0" fontId="7" fillId="0" borderId="0" xfId="0" applyFont="1" applyAlignment="1">
      <alignment/>
    </xf>
    <xf numFmtId="0" fontId="6" fillId="0" borderId="0" xfId="73" applyFont="1" applyAlignment="1">
      <alignment horizontal="right" vertical="top"/>
      <protection/>
    </xf>
    <xf numFmtId="0" fontId="0" fillId="0" borderId="0" xfId="76">
      <alignment/>
      <protection/>
    </xf>
    <xf numFmtId="0" fontId="20" fillId="0" borderId="0" xfId="73" applyFont="1">
      <alignment/>
      <protection/>
    </xf>
    <xf numFmtId="14" fontId="6" fillId="0" borderId="0" xfId="73" applyNumberFormat="1" applyFont="1" applyAlignment="1">
      <alignment horizontal="right" vertical="top"/>
      <protection/>
    </xf>
    <xf numFmtId="0" fontId="23" fillId="0" borderId="0" xfId="76" applyFont="1">
      <alignment/>
      <protection/>
    </xf>
    <xf numFmtId="0" fontId="25" fillId="0" borderId="40" xfId="76" applyFont="1" applyBorder="1" applyAlignment="1">
      <alignment horizontal="center" vertical="center" wrapText="1"/>
      <protection/>
    </xf>
    <xf numFmtId="0" fontId="0" fillId="0" borderId="40" xfId="76" applyFont="1" applyBorder="1" applyAlignment="1">
      <alignment horizontal="center" vertical="center" wrapText="1"/>
      <protection/>
    </xf>
    <xf numFmtId="0" fontId="0" fillId="0" borderId="41" xfId="76" applyFont="1" applyBorder="1" applyAlignment="1">
      <alignment horizontal="center" vertical="center" wrapText="1"/>
      <protection/>
    </xf>
    <xf numFmtId="0" fontId="26" fillId="0" borderId="42" xfId="76" applyFont="1" applyBorder="1" applyAlignment="1">
      <alignment horizontal="center" vertical="center" wrapText="1"/>
      <protection/>
    </xf>
    <xf numFmtId="0" fontId="0" fillId="0" borderId="0" xfId="76" applyFont="1">
      <alignment/>
      <protection/>
    </xf>
    <xf numFmtId="0" fontId="0" fillId="0" borderId="16" xfId="76" applyFill="1" applyBorder="1" applyAlignment="1">
      <alignment vertical="center"/>
      <protection/>
    </xf>
    <xf numFmtId="0" fontId="0" fillId="0" borderId="0" xfId="76" applyBorder="1" applyAlignment="1">
      <alignment vertical="center" wrapText="1"/>
      <protection/>
    </xf>
    <xf numFmtId="9" fontId="25" fillId="43" borderId="39" xfId="76" applyNumberFormat="1" applyFont="1" applyFill="1" applyBorder="1" applyAlignment="1">
      <alignment horizontal="center" vertical="center"/>
      <protection/>
    </xf>
    <xf numFmtId="9" fontId="0" fillId="0" borderId="16" xfId="76" applyNumberFormat="1" applyBorder="1" applyAlignment="1">
      <alignment horizontal="center" vertical="center"/>
      <protection/>
    </xf>
    <xf numFmtId="9" fontId="0" fillId="0" borderId="43" xfId="82" applyFont="1" applyBorder="1" applyAlignment="1">
      <alignment horizontal="center" vertical="center"/>
    </xf>
    <xf numFmtId="9" fontId="0" fillId="37" borderId="16" xfId="76" applyNumberFormat="1" applyFont="1" applyFill="1" applyBorder="1" applyAlignment="1">
      <alignment horizontal="center" vertical="center"/>
      <protection/>
    </xf>
    <xf numFmtId="0" fontId="27" fillId="0" borderId="44" xfId="76" applyFont="1" applyFill="1" applyBorder="1" applyAlignment="1">
      <alignment horizontal="center" vertical="center" wrapText="1"/>
      <protection/>
    </xf>
    <xf numFmtId="0" fontId="0" fillId="0" borderId="44" xfId="76" applyFill="1" applyBorder="1" applyAlignment="1">
      <alignment vertical="center"/>
      <protection/>
    </xf>
    <xf numFmtId="0" fontId="0" fillId="0" borderId="14" xfId="76" applyBorder="1" applyAlignment="1">
      <alignment vertical="center" wrapText="1"/>
      <protection/>
    </xf>
    <xf numFmtId="9" fontId="25" fillId="43" borderId="45" xfId="76" applyNumberFormat="1" applyFont="1" applyFill="1" applyBorder="1" applyAlignment="1">
      <alignment horizontal="center" vertical="center"/>
      <protection/>
    </xf>
    <xf numFmtId="9" fontId="0" fillId="0" borderId="44" xfId="76" applyNumberFormat="1" applyBorder="1" applyAlignment="1">
      <alignment horizontal="center" vertical="center"/>
      <protection/>
    </xf>
    <xf numFmtId="9" fontId="0" fillId="0" borderId="46" xfId="82" applyFont="1" applyBorder="1" applyAlignment="1">
      <alignment horizontal="center" vertical="center"/>
    </xf>
    <xf numFmtId="9" fontId="0" fillId="37" borderId="44" xfId="76" applyNumberFormat="1" applyFont="1" applyFill="1" applyBorder="1" applyAlignment="1">
      <alignment horizontal="center" vertical="center"/>
      <protection/>
    </xf>
    <xf numFmtId="0" fontId="8" fillId="0" borderId="18" xfId="76" applyFont="1" applyFill="1" applyBorder="1" applyAlignment="1">
      <alignment vertical="center" wrapText="1"/>
      <protection/>
    </xf>
    <xf numFmtId="0" fontId="8" fillId="0" borderId="21" xfId="76" applyFont="1" applyFill="1" applyBorder="1" applyAlignment="1">
      <alignment vertical="center" wrapText="1"/>
      <protection/>
    </xf>
    <xf numFmtId="0" fontId="0" fillId="0" borderId="42" xfId="76" applyBorder="1" applyAlignment="1">
      <alignment vertical="center"/>
      <protection/>
    </xf>
    <xf numFmtId="166" fontId="25" fillId="43" borderId="47" xfId="82" applyNumberFormat="1" applyFont="1" applyFill="1" applyBorder="1" applyAlignment="1">
      <alignment horizontal="center" vertical="center"/>
    </xf>
    <xf numFmtId="166" fontId="0" fillId="44" borderId="42" xfId="82" applyNumberFormat="1" applyFont="1" applyFill="1" applyBorder="1" applyAlignment="1">
      <alignment horizontal="center" vertical="center"/>
    </xf>
    <xf numFmtId="166" fontId="0" fillId="37" borderId="42" xfId="82" applyNumberFormat="1" applyFont="1" applyFill="1" applyBorder="1" applyAlignment="1">
      <alignment horizontal="center" vertical="center"/>
    </xf>
    <xf numFmtId="0" fontId="0" fillId="0" borderId="16" xfId="76" applyBorder="1" applyAlignment="1">
      <alignment vertical="center"/>
      <protection/>
    </xf>
    <xf numFmtId="166" fontId="25" fillId="43" borderId="39" xfId="82" applyNumberFormat="1" applyFont="1" applyFill="1" applyBorder="1" applyAlignment="1">
      <alignment horizontal="center" vertical="center"/>
    </xf>
    <xf numFmtId="166" fontId="0" fillId="44" borderId="16" xfId="82" applyNumberFormat="1" applyFont="1" applyFill="1" applyBorder="1" applyAlignment="1">
      <alignment horizontal="center" vertical="center"/>
    </xf>
    <xf numFmtId="166" fontId="0" fillId="37" borderId="16" xfId="82" applyNumberFormat="1" applyFont="1" applyFill="1" applyBorder="1" applyAlignment="1">
      <alignment horizontal="center" vertical="center"/>
    </xf>
    <xf numFmtId="0" fontId="0" fillId="0" borderId="44" xfId="76" applyBorder="1" applyAlignment="1">
      <alignment vertical="center"/>
      <protection/>
    </xf>
    <xf numFmtId="0" fontId="8" fillId="0" borderId="0" xfId="76" applyFont="1" applyFill="1" applyAlignment="1">
      <alignment horizontal="left" vertical="center" wrapText="1"/>
      <protection/>
    </xf>
    <xf numFmtId="0" fontId="8" fillId="0" borderId="0" xfId="76" applyFont="1" applyAlignment="1">
      <alignment horizontal="right"/>
      <protection/>
    </xf>
    <xf numFmtId="167" fontId="114" fillId="45" borderId="30" xfId="82" applyNumberFormat="1" applyFont="1" applyFill="1" applyBorder="1" applyAlignment="1">
      <alignment horizontal="center" vertical="center"/>
    </xf>
    <xf numFmtId="167" fontId="29" fillId="0" borderId="0" xfId="82" applyNumberFormat="1" applyFont="1" applyFill="1" applyBorder="1" applyAlignment="1">
      <alignment horizontal="center"/>
    </xf>
    <xf numFmtId="6" fontId="8" fillId="0" borderId="0" xfId="76" applyNumberFormat="1" applyFont="1" applyFill="1" applyBorder="1" applyAlignment="1">
      <alignment horizontal="center" vertical="center"/>
      <protection/>
    </xf>
    <xf numFmtId="0" fontId="0" fillId="0" borderId="30" xfId="76" applyFont="1" applyBorder="1">
      <alignment/>
      <protection/>
    </xf>
    <xf numFmtId="0" fontId="115" fillId="0" borderId="30" xfId="76" applyFont="1" applyBorder="1" applyAlignment="1">
      <alignment horizontal="center"/>
      <protection/>
    </xf>
    <xf numFmtId="167" fontId="115" fillId="0" borderId="30" xfId="82" applyNumberFormat="1" applyFont="1" applyFill="1" applyBorder="1" applyAlignment="1">
      <alignment horizontal="center"/>
    </xf>
    <xf numFmtId="0" fontId="8" fillId="0" borderId="30" xfId="76" applyFont="1" applyBorder="1" applyAlignment="1">
      <alignment horizontal="center"/>
      <protection/>
    </xf>
    <xf numFmtId="0" fontId="8" fillId="0" borderId="30" xfId="76" applyFont="1" applyBorder="1">
      <alignment/>
      <protection/>
    </xf>
    <xf numFmtId="9" fontId="113" fillId="0" borderId="30" xfId="76" applyNumberFormat="1" applyFont="1" applyBorder="1" applyAlignment="1">
      <alignment horizontal="center"/>
      <protection/>
    </xf>
    <xf numFmtId="167" fontId="8" fillId="0" borderId="30" xfId="76" applyNumberFormat="1" applyFont="1" applyBorder="1" applyAlignment="1">
      <alignment horizontal="center"/>
      <protection/>
    </xf>
    <xf numFmtId="14" fontId="113" fillId="0" borderId="30" xfId="72" applyNumberFormat="1" applyFont="1" applyBorder="1" applyAlignment="1">
      <alignment horizontal="center" vertical="center" wrapText="1"/>
      <protection/>
    </xf>
    <xf numFmtId="14" fontId="113" fillId="0" borderId="30" xfId="72" applyNumberFormat="1" applyFont="1" applyFill="1" applyBorder="1" applyAlignment="1">
      <alignment horizontal="center" vertical="center" wrapText="1"/>
      <protection/>
    </xf>
    <xf numFmtId="14" fontId="8" fillId="0" borderId="30" xfId="72" applyNumberFormat="1" applyFont="1" applyFill="1" applyBorder="1" applyAlignment="1">
      <alignment horizontal="center" vertical="center" wrapText="1"/>
      <protection/>
    </xf>
    <xf numFmtId="0" fontId="8" fillId="0" borderId="0" xfId="0" applyFont="1" applyFill="1" applyAlignment="1">
      <alignment horizontal="right"/>
    </xf>
    <xf numFmtId="183" fontId="8" fillId="0" borderId="30" xfId="56" applyNumberFormat="1" applyFont="1" applyFill="1" applyBorder="1" applyAlignment="1">
      <alignment/>
    </xf>
    <xf numFmtId="183" fontId="8" fillId="0" borderId="0" xfId="56" applyNumberFormat="1" applyFont="1" applyFill="1" applyAlignment="1">
      <alignment/>
    </xf>
    <xf numFmtId="0" fontId="0" fillId="0" borderId="0" xfId="76" applyFill="1">
      <alignment/>
      <protection/>
    </xf>
    <xf numFmtId="0" fontId="1" fillId="0" borderId="0" xfId="76" applyFont="1">
      <alignment/>
      <protection/>
    </xf>
    <xf numFmtId="9" fontId="25" fillId="0" borderId="30" xfId="76" applyNumberFormat="1" applyFont="1" applyFill="1" applyBorder="1" applyAlignment="1">
      <alignment horizontal="center" vertical="center"/>
      <protection/>
    </xf>
    <xf numFmtId="0" fontId="26" fillId="0" borderId="16" xfId="76" applyFont="1" applyBorder="1" applyAlignment="1">
      <alignment horizontal="center" vertical="center" wrapText="1"/>
      <protection/>
    </xf>
    <xf numFmtId="166" fontId="25" fillId="43" borderId="45" xfId="82" applyNumberFormat="1" applyFont="1" applyFill="1" applyBorder="1" applyAlignment="1">
      <alignment horizontal="center" vertical="center"/>
    </xf>
    <xf numFmtId="166" fontId="0" fillId="44" borderId="44" xfId="82" applyNumberFormat="1" applyFont="1" applyFill="1" applyBorder="1" applyAlignment="1">
      <alignment horizontal="center" vertical="center"/>
    </xf>
    <xf numFmtId="166" fontId="0" fillId="37" borderId="44" xfId="82" applyNumberFormat="1" applyFont="1" applyFill="1" applyBorder="1" applyAlignment="1">
      <alignment horizontal="center" vertical="center"/>
    </xf>
    <xf numFmtId="0" fontId="0" fillId="38" borderId="0" xfId="71" applyFill="1">
      <alignment/>
      <protection/>
    </xf>
    <xf numFmtId="0" fontId="0" fillId="38" borderId="0" xfId="71" applyFill="1" applyBorder="1">
      <alignment/>
      <protection/>
    </xf>
    <xf numFmtId="0" fontId="0" fillId="38" borderId="0" xfId="0" applyFill="1" applyAlignment="1">
      <alignment/>
    </xf>
    <xf numFmtId="0" fontId="116" fillId="0" borderId="0" xfId="72" applyFont="1" applyAlignment="1">
      <alignment horizontal="right"/>
      <protection/>
    </xf>
    <xf numFmtId="0" fontId="30" fillId="38" borderId="0" xfId="71" applyFont="1" applyFill="1" applyBorder="1" applyAlignment="1">
      <alignment/>
      <protection/>
    </xf>
    <xf numFmtId="0" fontId="31" fillId="38" borderId="0" xfId="71" applyFont="1" applyFill="1" applyBorder="1">
      <alignment/>
      <protection/>
    </xf>
    <xf numFmtId="0" fontId="0" fillId="38" borderId="0" xfId="71" applyFont="1" applyFill="1" applyBorder="1">
      <alignment/>
      <protection/>
    </xf>
    <xf numFmtId="0" fontId="17" fillId="38" borderId="0" xfId="71" applyFont="1" applyFill="1" applyBorder="1" applyAlignment="1">
      <alignment horizontal="right"/>
      <protection/>
    </xf>
    <xf numFmtId="0" fontId="0" fillId="38" borderId="48" xfId="71" applyFill="1" applyBorder="1">
      <alignment/>
      <protection/>
    </xf>
    <xf numFmtId="0" fontId="32" fillId="38" borderId="49" xfId="71" applyFont="1" applyFill="1" applyBorder="1" applyAlignment="1">
      <alignment wrapText="1"/>
      <protection/>
    </xf>
    <xf numFmtId="164" fontId="32" fillId="38" borderId="49" xfId="71" applyNumberFormat="1" applyFont="1" applyFill="1" applyBorder="1" applyAlignment="1">
      <alignment horizontal="right" wrapText="1"/>
      <protection/>
    </xf>
    <xf numFmtId="0" fontId="0" fillId="38" borderId="49" xfId="71" applyFont="1" applyFill="1" applyBorder="1">
      <alignment/>
      <protection/>
    </xf>
    <xf numFmtId="0" fontId="0" fillId="38" borderId="50" xfId="71" applyFill="1" applyBorder="1">
      <alignment/>
      <protection/>
    </xf>
    <xf numFmtId="0" fontId="0" fillId="38" borderId="51" xfId="71" applyFill="1" applyBorder="1">
      <alignment/>
      <protection/>
    </xf>
    <xf numFmtId="0" fontId="33" fillId="38" borderId="0" xfId="71" applyFont="1" applyFill="1" applyBorder="1" applyAlignment="1">
      <alignment wrapText="1"/>
      <protection/>
    </xf>
    <xf numFmtId="166" fontId="33" fillId="36" borderId="0" xfId="71" applyNumberFormat="1" applyFont="1" applyFill="1" applyBorder="1" applyAlignment="1">
      <alignment horizontal="center" wrapText="1"/>
      <protection/>
    </xf>
    <xf numFmtId="0" fontId="32" fillId="38" borderId="0" xfId="71" applyFont="1" applyFill="1" applyBorder="1">
      <alignment/>
      <protection/>
    </xf>
    <xf numFmtId="197" fontId="33" fillId="38" borderId="0" xfId="71" applyNumberFormat="1" applyFont="1" applyFill="1" applyBorder="1" applyAlignment="1">
      <alignment horizontal="center" wrapText="1"/>
      <protection/>
    </xf>
    <xf numFmtId="0" fontId="0" fillId="38" borderId="52" xfId="71" applyFill="1" applyBorder="1">
      <alignment/>
      <protection/>
    </xf>
    <xf numFmtId="167" fontId="33" fillId="36" borderId="0" xfId="82" applyNumberFormat="1" applyFont="1" applyFill="1" applyBorder="1" applyAlignment="1">
      <alignment horizontal="center" wrapText="1"/>
    </xf>
    <xf numFmtId="0" fontId="33" fillId="38" borderId="0" xfId="71" applyFont="1" applyFill="1" applyBorder="1" applyAlignment="1">
      <alignment/>
      <protection/>
    </xf>
    <xf numFmtId="166" fontId="33" fillId="36" borderId="0" xfId="71" applyNumberFormat="1" applyFont="1" applyFill="1" applyBorder="1" applyAlignment="1">
      <alignment horizontal="center"/>
      <protection/>
    </xf>
    <xf numFmtId="0" fontId="77" fillId="0" borderId="0" xfId="69">
      <alignment/>
      <protection/>
    </xf>
    <xf numFmtId="198" fontId="33" fillId="38" borderId="0" xfId="71" applyNumberFormat="1" applyFont="1" applyFill="1" applyBorder="1" applyAlignment="1">
      <alignment horizontal="center"/>
      <protection/>
    </xf>
    <xf numFmtId="0" fontId="33" fillId="38" borderId="53" xfId="71" applyFont="1" applyFill="1" applyBorder="1" applyAlignment="1">
      <alignment/>
      <protection/>
    </xf>
    <xf numFmtId="0" fontId="33" fillId="38" borderId="53" xfId="71" applyFont="1" applyFill="1" applyBorder="1" applyAlignment="1">
      <alignment horizontal="center"/>
      <protection/>
    </xf>
    <xf numFmtId="0" fontId="33" fillId="38" borderId="53" xfId="71" applyFont="1" applyFill="1" applyBorder="1" applyAlignment="1">
      <alignment horizontal="right"/>
      <protection/>
    </xf>
    <xf numFmtId="0" fontId="33" fillId="38" borderId="54" xfId="71" applyFont="1" applyFill="1" applyBorder="1" applyAlignment="1">
      <alignment/>
      <protection/>
    </xf>
    <xf numFmtId="0" fontId="33" fillId="38" borderId="54" xfId="71" applyFont="1" applyFill="1" applyBorder="1" applyAlignment="1">
      <alignment horizontal="center"/>
      <protection/>
    </xf>
    <xf numFmtId="0" fontId="33" fillId="38" borderId="54" xfId="71" applyFont="1" applyFill="1" applyBorder="1" applyAlignment="1">
      <alignment horizontal="right"/>
      <protection/>
    </xf>
    <xf numFmtId="3" fontId="32" fillId="36" borderId="0" xfId="71" applyNumberFormat="1" applyFont="1" applyFill="1" applyBorder="1" applyAlignment="1">
      <alignment horizontal="center" wrapText="1"/>
      <protection/>
    </xf>
    <xf numFmtId="0" fontId="32" fillId="38" borderId="0" xfId="71" applyFont="1" applyFill="1" applyBorder="1" applyAlignment="1">
      <alignment horizontal="right" indent="2"/>
      <protection/>
    </xf>
    <xf numFmtId="0" fontId="33" fillId="38" borderId="0" xfId="71" applyFont="1" applyFill="1" applyBorder="1" applyAlignment="1">
      <alignment horizontal="center" wrapText="1"/>
      <protection/>
    </xf>
    <xf numFmtId="0" fontId="32" fillId="38" borderId="0" xfId="71" applyFont="1" applyFill="1" applyBorder="1" applyAlignment="1">
      <alignment wrapText="1"/>
      <protection/>
    </xf>
    <xf numFmtId="181" fontId="32" fillId="38" borderId="0" xfId="53" applyNumberFormat="1" applyFont="1" applyFill="1" applyBorder="1" applyAlignment="1">
      <alignment horizontal="center" wrapText="1"/>
    </xf>
    <xf numFmtId="3" fontId="32" fillId="36" borderId="0" xfId="71" applyNumberFormat="1" applyFont="1" applyFill="1" applyBorder="1" applyAlignment="1">
      <alignment horizontal="center"/>
      <protection/>
    </xf>
    <xf numFmtId="0" fontId="32" fillId="38" borderId="0" xfId="71" applyFont="1" applyFill="1" applyBorder="1" applyAlignment="1">
      <alignment horizontal="center"/>
      <protection/>
    </xf>
    <xf numFmtId="0" fontId="0" fillId="38" borderId="0" xfId="0" applyFont="1" applyFill="1" applyAlignment="1">
      <alignment/>
    </xf>
    <xf numFmtId="3" fontId="32" fillId="38" borderId="0" xfId="71" applyNumberFormat="1" applyFont="1" applyFill="1" applyBorder="1" applyAlignment="1">
      <alignment horizontal="center"/>
      <protection/>
    </xf>
    <xf numFmtId="9" fontId="32" fillId="36" borderId="0" xfId="71" applyNumberFormat="1" applyFont="1" applyFill="1" applyBorder="1" applyAlignment="1">
      <alignment horizontal="center" wrapText="1"/>
      <protection/>
    </xf>
    <xf numFmtId="10" fontId="0" fillId="38" borderId="0" xfId="0" applyNumberFormat="1" applyFill="1" applyAlignment="1">
      <alignment/>
    </xf>
    <xf numFmtId="0" fontId="32" fillId="38" borderId="53" xfId="71" applyFont="1" applyFill="1" applyBorder="1" applyAlignment="1">
      <alignment wrapText="1"/>
      <protection/>
    </xf>
    <xf numFmtId="0" fontId="32" fillId="38" borderId="53" xfId="71" applyFont="1" applyFill="1" applyBorder="1" applyAlignment="1">
      <alignment horizontal="center"/>
      <protection/>
    </xf>
    <xf numFmtId="0" fontId="32" fillId="38" borderId="53" xfId="71" applyFont="1" applyFill="1" applyBorder="1" applyAlignment="1">
      <alignment horizontal="right" indent="2"/>
      <protection/>
    </xf>
    <xf numFmtId="0" fontId="37" fillId="38" borderId="51" xfId="71" applyFont="1" applyFill="1" applyBorder="1">
      <alignment/>
      <protection/>
    </xf>
    <xf numFmtId="0" fontId="32" fillId="38" borderId="54" xfId="71" applyFont="1" applyFill="1" applyBorder="1">
      <alignment/>
      <protection/>
    </xf>
    <xf numFmtId="0" fontId="38" fillId="38" borderId="54" xfId="71" applyFont="1" applyFill="1" applyBorder="1" applyAlignment="1">
      <alignment horizontal="center"/>
      <protection/>
    </xf>
    <xf numFmtId="0" fontId="38" fillId="38" borderId="54" xfId="71" applyFont="1" applyFill="1" applyBorder="1" applyAlignment="1">
      <alignment horizontal="right" indent="2"/>
      <protection/>
    </xf>
    <xf numFmtId="9" fontId="38" fillId="38" borderId="54" xfId="82" applyFont="1" applyFill="1" applyBorder="1" applyAlignment="1">
      <alignment horizontal="center"/>
    </xf>
    <xf numFmtId="164" fontId="32" fillId="17" borderId="0" xfId="71" applyNumberFormat="1" applyFont="1" applyFill="1" applyBorder="1" applyAlignment="1">
      <alignment horizontal="center" vertical="center"/>
      <protection/>
    </xf>
    <xf numFmtId="0" fontId="32" fillId="17" borderId="0" xfId="71" applyFont="1" applyFill="1" applyBorder="1" applyAlignment="1">
      <alignment horizontal="left" vertical="center" indent="2"/>
      <protection/>
    </xf>
    <xf numFmtId="164" fontId="32" fillId="36" borderId="0" xfId="71" applyNumberFormat="1" applyFont="1" applyFill="1" applyBorder="1" applyAlignment="1">
      <alignment horizontal="center" vertical="center"/>
      <protection/>
    </xf>
    <xf numFmtId="0" fontId="32" fillId="38" borderId="53" xfId="71" applyFont="1" applyFill="1" applyBorder="1">
      <alignment/>
      <protection/>
    </xf>
    <xf numFmtId="9" fontId="32" fillId="17" borderId="53" xfId="82" applyNumberFormat="1" applyFont="1" applyFill="1" applyBorder="1" applyAlignment="1">
      <alignment horizontal="center"/>
    </xf>
    <xf numFmtId="0" fontId="38" fillId="17" borderId="53" xfId="71" applyFont="1" applyFill="1" applyBorder="1" applyAlignment="1">
      <alignment horizontal="right" indent="2"/>
      <protection/>
    </xf>
    <xf numFmtId="9" fontId="32" fillId="36" borderId="53" xfId="71" applyNumberFormat="1" applyFont="1" applyFill="1" applyBorder="1" applyAlignment="1">
      <alignment horizontal="center" wrapText="1"/>
      <protection/>
    </xf>
    <xf numFmtId="0" fontId="32" fillId="38" borderId="54" xfId="71" applyFont="1" applyFill="1" applyBorder="1" applyAlignment="1">
      <alignment wrapText="1"/>
      <protection/>
    </xf>
    <xf numFmtId="9" fontId="38" fillId="38" borderId="54" xfId="71" applyNumberFormat="1" applyFont="1" applyFill="1" applyBorder="1" applyAlignment="1">
      <alignment horizontal="center"/>
      <protection/>
    </xf>
    <xf numFmtId="0" fontId="38" fillId="38" borderId="53" xfId="71" applyFont="1" applyFill="1" applyBorder="1" applyAlignment="1">
      <alignment horizontal="center"/>
      <protection/>
    </xf>
    <xf numFmtId="0" fontId="38" fillId="38" borderId="53" xfId="71" applyFont="1" applyFill="1" applyBorder="1" applyAlignment="1">
      <alignment horizontal="right" indent="2"/>
      <protection/>
    </xf>
    <xf numFmtId="0" fontId="38" fillId="38" borderId="0" xfId="71" applyFont="1" applyFill="1" applyBorder="1" applyAlignment="1">
      <alignment horizontal="center"/>
      <protection/>
    </xf>
    <xf numFmtId="0" fontId="38" fillId="38" borderId="0" xfId="71" applyFont="1" applyFill="1" applyBorder="1" applyAlignment="1">
      <alignment horizontal="right" indent="2"/>
      <protection/>
    </xf>
    <xf numFmtId="2" fontId="32" fillId="17" borderId="53" xfId="56" applyNumberFormat="1" applyFont="1" applyFill="1" applyBorder="1" applyAlignment="1">
      <alignment horizontal="center"/>
    </xf>
    <xf numFmtId="2" fontId="32" fillId="17" borderId="53" xfId="56" applyNumberFormat="1" applyFont="1" applyFill="1" applyBorder="1" applyAlignment="1">
      <alignment horizontal="right" indent="2"/>
    </xf>
    <xf numFmtId="2" fontId="32" fillId="17" borderId="53" xfId="56" applyNumberFormat="1" applyFont="1" applyFill="1" applyBorder="1" applyAlignment="1">
      <alignment horizontal="center" wrapText="1"/>
    </xf>
    <xf numFmtId="9" fontId="38" fillId="38" borderId="54" xfId="71" applyNumberFormat="1" applyFont="1" applyFill="1" applyBorder="1" applyAlignment="1">
      <alignment horizontal="right" indent="1"/>
      <protection/>
    </xf>
    <xf numFmtId="9" fontId="32" fillId="36" borderId="0" xfId="82" applyFont="1" applyFill="1" applyBorder="1" applyAlignment="1">
      <alignment horizontal="center"/>
    </xf>
    <xf numFmtId="44" fontId="32" fillId="38" borderId="0" xfId="56" applyFont="1" applyFill="1" applyBorder="1" applyAlignment="1">
      <alignment horizontal="right" indent="2"/>
    </xf>
    <xf numFmtId="7" fontId="32" fillId="38" borderId="0" xfId="56" applyNumberFormat="1" applyFont="1" applyFill="1" applyBorder="1" applyAlignment="1">
      <alignment horizontal="right" wrapText="1" indent="1"/>
    </xf>
    <xf numFmtId="7" fontId="32" fillId="38" borderId="0" xfId="56" applyNumberFormat="1" applyFont="1" applyFill="1" applyBorder="1" applyAlignment="1">
      <alignment horizontal="center"/>
    </xf>
    <xf numFmtId="164" fontId="32" fillId="36" borderId="0" xfId="71" applyNumberFormat="1" applyFont="1" applyFill="1" applyBorder="1" applyAlignment="1">
      <alignment horizontal="center" wrapText="1"/>
      <protection/>
    </xf>
    <xf numFmtId="0" fontId="32" fillId="38" borderId="55" xfId="71" applyFont="1" applyFill="1" applyBorder="1" applyAlignment="1">
      <alignment wrapText="1"/>
      <protection/>
    </xf>
    <xf numFmtId="0" fontId="32" fillId="38" borderId="55" xfId="71" applyFont="1" applyFill="1" applyBorder="1">
      <alignment/>
      <protection/>
    </xf>
    <xf numFmtId="164" fontId="32" fillId="38" borderId="56" xfId="71" applyNumberFormat="1" applyFont="1" applyFill="1" applyBorder="1" applyAlignment="1">
      <alignment horizontal="right" wrapText="1"/>
      <protection/>
    </xf>
    <xf numFmtId="0" fontId="1" fillId="36" borderId="0" xfId="71" applyFont="1" applyFill="1" applyBorder="1" applyAlignment="1">
      <alignment/>
      <protection/>
    </xf>
    <xf numFmtId="0" fontId="32" fillId="36" borderId="0" xfId="71" applyFont="1" applyFill="1" applyBorder="1" applyAlignment="1">
      <alignment/>
      <protection/>
    </xf>
    <xf numFmtId="0" fontId="32" fillId="36" borderId="0" xfId="71" applyFont="1" applyFill="1" applyBorder="1">
      <alignment/>
      <protection/>
    </xf>
    <xf numFmtId="9" fontId="32" fillId="36" borderId="0" xfId="71" applyNumberFormat="1" applyFont="1" applyFill="1" applyBorder="1" applyAlignment="1">
      <alignment wrapText="1"/>
      <protection/>
    </xf>
    <xf numFmtId="0" fontId="36" fillId="36" borderId="0" xfId="71" applyFont="1" applyFill="1" applyBorder="1" applyAlignment="1">
      <alignment horizontal="left"/>
      <protection/>
    </xf>
    <xf numFmtId="0" fontId="36" fillId="36" borderId="0" xfId="71" applyFont="1" applyFill="1" applyBorder="1">
      <alignment/>
      <protection/>
    </xf>
    <xf numFmtId="0" fontId="0" fillId="36" borderId="0" xfId="71" applyFill="1" applyBorder="1">
      <alignment/>
      <protection/>
    </xf>
    <xf numFmtId="0" fontId="0" fillId="38" borderId="57" xfId="71" applyFill="1" applyBorder="1">
      <alignment/>
      <protection/>
    </xf>
    <xf numFmtId="0" fontId="36" fillId="38" borderId="58" xfId="71" applyFont="1" applyFill="1" applyBorder="1">
      <alignment/>
      <protection/>
    </xf>
    <xf numFmtId="0" fontId="0" fillId="38" borderId="58" xfId="71" applyFill="1" applyBorder="1">
      <alignment/>
      <protection/>
    </xf>
    <xf numFmtId="0" fontId="0" fillId="38" borderId="59" xfId="71" applyFill="1" applyBorder="1">
      <alignment/>
      <protection/>
    </xf>
    <xf numFmtId="8" fontId="0" fillId="0" borderId="0" xfId="0" applyNumberFormat="1" applyFont="1" applyFill="1" applyBorder="1" applyAlignment="1">
      <alignment/>
    </xf>
    <xf numFmtId="181" fontId="8" fillId="0" borderId="0" xfId="42" applyNumberFormat="1" applyFont="1" applyFill="1" applyBorder="1" applyAlignment="1">
      <alignment wrapText="1"/>
    </xf>
    <xf numFmtId="181" fontId="8" fillId="0" borderId="0" xfId="42" applyNumberFormat="1" applyFont="1" applyFill="1" applyBorder="1" applyAlignment="1">
      <alignment horizontal="center" vertical="center"/>
    </xf>
    <xf numFmtId="8" fontId="0" fillId="0" borderId="14" xfId="0" applyNumberFormat="1" applyBorder="1" applyAlignment="1">
      <alignment/>
    </xf>
    <xf numFmtId="0" fontId="113" fillId="0" borderId="23" xfId="75" applyFont="1" applyBorder="1" applyAlignment="1">
      <alignment vertical="center" wrapText="1"/>
      <protection/>
    </xf>
    <xf numFmtId="0" fontId="0" fillId="0" borderId="31" xfId="0" applyFont="1" applyBorder="1" applyAlignment="1">
      <alignment vertical="center" wrapText="1"/>
    </xf>
    <xf numFmtId="0" fontId="0" fillId="46" borderId="18" xfId="77" applyFont="1" applyFill="1" applyBorder="1" applyAlignment="1">
      <alignment vertical="center" wrapText="1"/>
      <protection/>
    </xf>
    <xf numFmtId="0" fontId="0" fillId="46" borderId="0" xfId="77" applyFont="1" applyFill="1" applyBorder="1" applyAlignment="1">
      <alignment vertical="center" wrapText="1"/>
      <protection/>
    </xf>
    <xf numFmtId="0" fontId="0" fillId="46" borderId="14" xfId="77" applyFont="1" applyFill="1" applyBorder="1" applyAlignment="1">
      <alignment vertical="center" wrapText="1"/>
      <protection/>
    </xf>
    <xf numFmtId="166" fontId="0" fillId="46" borderId="18" xfId="82" applyNumberFormat="1" applyFont="1" applyFill="1" applyBorder="1" applyAlignment="1">
      <alignment horizontal="center" vertical="center"/>
    </xf>
    <xf numFmtId="166" fontId="0" fillId="46" borderId="0" xfId="82" applyNumberFormat="1" applyFont="1" applyFill="1" applyBorder="1" applyAlignment="1">
      <alignment horizontal="center" vertical="center"/>
    </xf>
    <xf numFmtId="166" fontId="0" fillId="46" borderId="14" xfId="82" applyNumberFormat="1" applyFont="1" applyFill="1" applyBorder="1" applyAlignment="1">
      <alignment horizontal="center" vertical="center"/>
    </xf>
    <xf numFmtId="0" fontId="0" fillId="0" borderId="30" xfId="0" applyBorder="1" applyAlignment="1">
      <alignment horizontal="right"/>
    </xf>
    <xf numFmtId="0" fontId="7" fillId="0" borderId="12" xfId="0" applyFont="1" applyFill="1" applyBorder="1" applyAlignment="1">
      <alignment vertical="center"/>
    </xf>
    <xf numFmtId="0" fontId="39" fillId="0" borderId="0" xfId="0" applyFont="1" applyAlignment="1">
      <alignment horizontal="justify" vertical="center"/>
    </xf>
    <xf numFmtId="0" fontId="8" fillId="0" borderId="0" xfId="0" applyFont="1" applyAlignment="1">
      <alignment vertical="center" wrapText="1"/>
    </xf>
    <xf numFmtId="0" fontId="0" fillId="0" borderId="0" xfId="0" applyFont="1" applyAlignment="1">
      <alignment horizontal="justify" vertical="center"/>
    </xf>
    <xf numFmtId="0" fontId="0" fillId="0" borderId="0" xfId="0" applyFill="1" applyAlignment="1">
      <alignment vertical="center"/>
    </xf>
    <xf numFmtId="2" fontId="0" fillId="0" borderId="38" xfId="75" applyNumberFormat="1" applyFont="1" applyBorder="1" applyAlignment="1">
      <alignment vertical="center" wrapText="1"/>
      <protection/>
    </xf>
    <xf numFmtId="2" fontId="0" fillId="0" borderId="33" xfId="75" applyNumberFormat="1" applyFont="1" applyBorder="1" applyAlignment="1">
      <alignment vertical="center" wrapText="1"/>
      <protection/>
    </xf>
    <xf numFmtId="0" fontId="0" fillId="0" borderId="18" xfId="0" applyBorder="1" applyAlignment="1">
      <alignment/>
    </xf>
    <xf numFmtId="14" fontId="6" fillId="0" borderId="18" xfId="0" applyNumberFormat="1" applyFont="1" applyFill="1" applyBorder="1" applyAlignment="1">
      <alignment horizontal="right"/>
    </xf>
    <xf numFmtId="0" fontId="0" fillId="0" borderId="60" xfId="0" applyBorder="1" applyAlignment="1">
      <alignment/>
    </xf>
    <xf numFmtId="0" fontId="0" fillId="0" borderId="0" xfId="0" applyBorder="1" applyAlignment="1">
      <alignment/>
    </xf>
    <xf numFmtId="0" fontId="0" fillId="0" borderId="43" xfId="0" applyBorder="1" applyAlignment="1">
      <alignment/>
    </xf>
    <xf numFmtId="0" fontId="0" fillId="0" borderId="0" xfId="0" applyBorder="1" applyAlignment="1">
      <alignment horizontal="center" wrapText="1"/>
    </xf>
    <xf numFmtId="0" fontId="0" fillId="0" borderId="0" xfId="0" applyFont="1" applyBorder="1" applyAlignment="1">
      <alignment horizontal="center" wrapText="1"/>
    </xf>
    <xf numFmtId="181" fontId="0" fillId="0" borderId="43" xfId="42" applyNumberFormat="1" applyFont="1" applyBorder="1" applyAlignment="1">
      <alignment/>
    </xf>
    <xf numFmtId="9" fontId="0" fillId="0" borderId="0" xfId="80" applyFont="1" applyBorder="1" applyAlignment="1">
      <alignment/>
    </xf>
    <xf numFmtId="0" fontId="0" fillId="0" borderId="0" xfId="0" applyFont="1" applyBorder="1" applyAlignment="1">
      <alignment horizontal="right"/>
    </xf>
    <xf numFmtId="43" fontId="0" fillId="0" borderId="0" xfId="42" applyFont="1" applyBorder="1" applyAlignment="1">
      <alignment/>
    </xf>
    <xf numFmtId="0" fontId="0" fillId="0" borderId="14" xfId="0" applyFont="1" applyBorder="1" applyAlignment="1">
      <alignment/>
    </xf>
    <xf numFmtId="43" fontId="0" fillId="0" borderId="14" xfId="42" applyFont="1" applyBorder="1" applyAlignment="1">
      <alignment/>
    </xf>
    <xf numFmtId="0" fontId="0" fillId="0" borderId="46" xfId="0" applyBorder="1" applyAlignment="1">
      <alignment/>
    </xf>
    <xf numFmtId="10" fontId="0" fillId="0" borderId="0" xfId="0" applyNumberFormat="1" applyAlignment="1">
      <alignment/>
    </xf>
    <xf numFmtId="169" fontId="0" fillId="0" borderId="0" xfId="0" applyNumberFormat="1" applyAlignment="1">
      <alignment/>
    </xf>
    <xf numFmtId="164" fontId="8" fillId="0" borderId="0" xfId="0" applyNumberFormat="1" applyFont="1" applyAlignment="1">
      <alignment/>
    </xf>
    <xf numFmtId="0" fontId="0" fillId="0" borderId="0" xfId="72" applyNumberFormat="1" applyFont="1" applyBorder="1" applyAlignment="1">
      <alignment horizontal="left" wrapText="1"/>
      <protection/>
    </xf>
    <xf numFmtId="0" fontId="7" fillId="0" borderId="0" xfId="72" applyFont="1" applyAlignment="1">
      <alignment horizontal="center" vertical="center"/>
      <protection/>
    </xf>
    <xf numFmtId="0" fontId="20" fillId="0" borderId="0" xfId="72" applyFont="1" applyBorder="1" applyAlignment="1">
      <alignment horizontal="center"/>
      <protection/>
    </xf>
    <xf numFmtId="0" fontId="8" fillId="0" borderId="32" xfId="72" applyFont="1" applyBorder="1" applyAlignment="1">
      <alignment horizontal="left" vertical="center" wrapText="1"/>
      <protection/>
    </xf>
    <xf numFmtId="0" fontId="8" fillId="0" borderId="61" xfId="72" applyFont="1" applyBorder="1" applyAlignment="1">
      <alignment horizontal="left" vertical="center" wrapText="1"/>
      <protection/>
    </xf>
    <xf numFmtId="0" fontId="0" fillId="0" borderId="0" xfId="74" applyFont="1" applyBorder="1" applyAlignment="1">
      <alignment horizontal="left" vertical="top" wrapText="1"/>
      <protection/>
    </xf>
    <xf numFmtId="0" fontId="0" fillId="0" borderId="0" xfId="74" applyFont="1" applyBorder="1" applyAlignment="1">
      <alignment horizontal="left" wrapText="1"/>
      <protection/>
    </xf>
    <xf numFmtId="0" fontId="0" fillId="0" borderId="0" xfId="74" applyNumberFormat="1" applyFont="1" applyBorder="1" applyAlignment="1">
      <alignment horizontal="left" wrapText="1"/>
      <protection/>
    </xf>
    <xf numFmtId="0" fontId="28" fillId="0" borderId="0" xfId="76" applyFont="1" applyBorder="1" applyAlignment="1">
      <alignment horizontal="center" vertical="center" wrapText="1"/>
      <protection/>
    </xf>
    <xf numFmtId="0" fontId="0" fillId="0" borderId="0" xfId="76" applyBorder="1" applyAlignment="1">
      <alignment horizontal="center"/>
      <protection/>
    </xf>
    <xf numFmtId="0" fontId="8" fillId="0" borderId="0" xfId="76" applyFont="1" applyFill="1" applyAlignment="1">
      <alignment horizontal="left" vertical="center" wrapText="1"/>
      <protection/>
    </xf>
    <xf numFmtId="0" fontId="1" fillId="0" borderId="0" xfId="76" applyFont="1" applyAlignment="1">
      <alignment horizontal="left" vertical="top" wrapText="1"/>
      <protection/>
    </xf>
    <xf numFmtId="0" fontId="20" fillId="0" borderId="0" xfId="72" applyFont="1" applyBorder="1" applyAlignment="1">
      <alignment horizontal="left"/>
      <protection/>
    </xf>
    <xf numFmtId="0" fontId="0" fillId="0" borderId="0" xfId="76" applyFont="1" applyAlignment="1">
      <alignment horizontal="left" wrapText="1"/>
      <protection/>
    </xf>
    <xf numFmtId="0" fontId="0" fillId="0" borderId="0" xfId="76" applyAlignment="1">
      <alignment horizontal="left" wrapText="1"/>
      <protection/>
    </xf>
    <xf numFmtId="0" fontId="8" fillId="0" borderId="42" xfId="76" applyFont="1" applyFill="1" applyBorder="1" applyAlignment="1">
      <alignment horizontal="left" vertical="center"/>
      <protection/>
    </xf>
    <xf numFmtId="0" fontId="8" fillId="0" borderId="17" xfId="76" applyFont="1" applyFill="1" applyBorder="1" applyAlignment="1">
      <alignment horizontal="left" vertical="center"/>
      <protection/>
    </xf>
    <xf numFmtId="0" fontId="23" fillId="0" borderId="60" xfId="76" applyFont="1" applyBorder="1" applyAlignment="1">
      <alignment vertical="center"/>
      <protection/>
    </xf>
    <xf numFmtId="0" fontId="23" fillId="0" borderId="10" xfId="76" applyFont="1" applyBorder="1" applyAlignment="1">
      <alignment vertical="center"/>
      <protection/>
    </xf>
    <xf numFmtId="0" fontId="23" fillId="0" borderId="23" xfId="76" applyFont="1" applyBorder="1" applyAlignment="1">
      <alignment horizontal="center"/>
      <protection/>
    </xf>
    <xf numFmtId="0" fontId="23" fillId="0" borderId="21" xfId="76" applyFont="1" applyBorder="1" applyAlignment="1">
      <alignment horizontal="center"/>
      <protection/>
    </xf>
    <xf numFmtId="0" fontId="23" fillId="0" borderId="22" xfId="76" applyFont="1" applyBorder="1" applyAlignment="1">
      <alignment horizontal="center"/>
      <protection/>
    </xf>
    <xf numFmtId="0" fontId="7" fillId="0" borderId="0" xfId="0" applyFont="1" applyBorder="1" applyAlignment="1">
      <alignment horizontal="left" vertical="center" wrapText="1"/>
    </xf>
    <xf numFmtId="0" fontId="117" fillId="0" borderId="0" xfId="0" applyFont="1" applyAlignment="1">
      <alignment horizontal="center" wrapText="1"/>
    </xf>
    <xf numFmtId="0" fontId="7" fillId="0" borderId="0" xfId="70" applyFont="1" applyBorder="1" applyAlignment="1">
      <alignment horizontal="left" vertical="center" wrapText="1"/>
      <protection/>
    </xf>
    <xf numFmtId="0" fontId="1" fillId="0" borderId="0" xfId="70" applyFont="1" applyFill="1" applyAlignment="1">
      <alignment horizontal="left" vertical="center" wrapText="1"/>
      <protection/>
    </xf>
    <xf numFmtId="0" fontId="7" fillId="38" borderId="0" xfId="71" applyFont="1" applyFill="1" applyBorder="1" applyAlignment="1">
      <alignment horizontal="right"/>
      <protection/>
    </xf>
    <xf numFmtId="0" fontId="23" fillId="38" borderId="0" xfId="71" applyFont="1" applyFill="1" applyBorder="1" applyAlignment="1">
      <alignment horizontal="center"/>
      <protection/>
    </xf>
    <xf numFmtId="0" fontId="23" fillId="38" borderId="0" xfId="71" applyFont="1" applyFill="1" applyBorder="1" applyAlignment="1">
      <alignment horizontal="center" vertical="center"/>
      <protection/>
    </xf>
    <xf numFmtId="0" fontId="17" fillId="38" borderId="0" xfId="71" applyFont="1" applyFill="1" applyBorder="1" applyAlignment="1">
      <alignment horizontal="center" vertical="center"/>
      <protection/>
    </xf>
    <xf numFmtId="0" fontId="33" fillId="38" borderId="0" xfId="71" applyFont="1" applyFill="1" applyBorder="1" applyAlignment="1">
      <alignment horizontal="left" shrinkToFit="1"/>
      <protection/>
    </xf>
    <xf numFmtId="0" fontId="33" fillId="38" borderId="53" xfId="71" applyFont="1" applyFill="1" applyBorder="1" applyAlignment="1">
      <alignment horizontal="center" wrapText="1"/>
      <protection/>
    </xf>
    <xf numFmtId="8" fontId="0" fillId="0" borderId="0" xfId="0" applyNumberFormat="1" applyAlignment="1">
      <alignment/>
    </xf>
  </cellXfs>
  <cellStyles count="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 Style1" xfId="43"/>
    <cellStyle name="Comma  - Style2" xfId="44"/>
    <cellStyle name="Comma  - Style3" xfId="45"/>
    <cellStyle name="Comma  - Style4" xfId="46"/>
    <cellStyle name="Comma  - Style5" xfId="47"/>
    <cellStyle name="Comma  - Style6" xfId="48"/>
    <cellStyle name="Comma  - Style7" xfId="49"/>
    <cellStyle name="Comma  - Style8" xfId="50"/>
    <cellStyle name="Comma [0]" xfId="51"/>
    <cellStyle name="Comma 2" xfId="52"/>
    <cellStyle name="Comma 2 2 2" xfId="53"/>
    <cellStyle name="Currency" xfId="54"/>
    <cellStyle name="Currency [0]" xfId="55"/>
    <cellStyle name="Currency 2"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Input" xfId="65"/>
    <cellStyle name="Linked Cell" xfId="66"/>
    <cellStyle name="Neutral" xfId="67"/>
    <cellStyle name="Normal - Style1" xfId="68"/>
    <cellStyle name="Normal 10" xfId="69"/>
    <cellStyle name="Normal 2" xfId="70"/>
    <cellStyle name="Normal 2 2" xfId="71"/>
    <cellStyle name="Normal_ConsolidatedAg_IM_Clean" xfId="72"/>
    <cellStyle name="Normal_ConsolidatedAg_IM_Clean - v3" xfId="73"/>
    <cellStyle name="Normal_FeederRoadAnalysis_IM_Clean - v4" xfId="74"/>
    <cellStyle name="Normal_Lesotho - Health - v2" xfId="75"/>
    <cellStyle name="Normal_Mongolia Health ERR.IM Cleaned - v15" xfId="76"/>
    <cellStyle name="Normal_Mongolia Rail ERR.IM Cleaned" xfId="77"/>
    <cellStyle name="Note" xfId="78"/>
    <cellStyle name="Output" xfId="79"/>
    <cellStyle name="Percent" xfId="80"/>
    <cellStyle name="Percent 2" xfId="81"/>
    <cellStyle name="Percent 2 2" xfId="82"/>
    <cellStyle name="Title" xfId="83"/>
    <cellStyle name="Total" xfId="84"/>
    <cellStyle name="Warning Text" xfId="85"/>
  </cellStyles>
  <dxfs count="2">
    <dxf>
      <font>
        <color indexed="10"/>
      </font>
    </dxf>
    <dxf>
      <font>
        <color indexed="9"/>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Undiscounted Annual Net Benefits of Land Tenure Services Project</a:t>
            </a:r>
          </a:p>
        </c:rich>
      </c:tx>
      <c:layout>
        <c:manualLayout>
          <c:xMode val="factor"/>
          <c:yMode val="factor"/>
          <c:x val="-0.06325"/>
          <c:y val="-0.00275"/>
        </c:manualLayout>
      </c:layout>
      <c:spPr>
        <a:noFill/>
        <a:ln w="3175">
          <a:noFill/>
        </a:ln>
      </c:spPr>
    </c:title>
    <c:plotArea>
      <c:layout>
        <c:manualLayout>
          <c:xMode val="edge"/>
          <c:yMode val="edge"/>
          <c:x val="0.03925"/>
          <c:y val="0.1425"/>
          <c:w val="0.9415"/>
          <c:h val="0.7625"/>
        </c:manualLayout>
      </c:layout>
      <c:areaChart>
        <c:grouping val="standard"/>
        <c:varyColors val="0"/>
        <c:ser>
          <c:idx val="0"/>
          <c:order val="0"/>
          <c:tx>
            <c:strRef>
              <c:f>'ERR &amp; Sensitivity Analysis'!$B$2</c:f>
              <c:strCache>
                <c:ptCount val="1"/>
                <c:pt idx="0">
                  <c:v>Mozambique: Land Tenure Services Project</c:v>
                </c:pt>
              </c:strCache>
            </c:strRef>
          </c:tx>
          <c:spPr>
            <a:solidFill>
              <a:srgbClr val="4F81BD"/>
            </a:solidFill>
            <a:ln w="3175">
              <a:noFill/>
            </a:ln>
          </c:spPr>
          <c:extLst>
            <c:ext xmlns:c14="http://schemas.microsoft.com/office/drawing/2007/8/2/chart" uri="{6F2FDCE9-48DA-4B69-8628-5D25D57E5C99}">
              <c14:invertSolidFillFmt>
                <c14:spPr>
                  <a:solidFill>
                    <a:srgbClr val="FFFFFF"/>
                  </a:solidFill>
                </c14:spPr>
              </c14:invertSolidFillFmt>
            </c:ext>
          </c:extLst>
          <c:cat>
            <c:numRef>
              <c:f>'Cost-Benefit Summary'!$B$6:$U$6</c:f>
              <c:numCach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'Cost-Benefit Summary'!$B$15:$U$15</c:f>
              <c:numCache>
                <c:ptCount val="20"/>
                <c:pt idx="0">
                  <c:v>-21883778.5802127</c:v>
                </c:pt>
                <c:pt idx="1">
                  <c:v>-135944120.8015187</c:v>
                </c:pt>
                <c:pt idx="2">
                  <c:v>-201141780.14447716</c:v>
                </c:pt>
                <c:pt idx="3">
                  <c:v>-248959433.19559616</c:v>
                </c:pt>
                <c:pt idx="4">
                  <c:v>-296904076.0977509</c:v>
                </c:pt>
                <c:pt idx="5">
                  <c:v>250611986.87341532</c:v>
                </c:pt>
                <c:pt idx="6">
                  <c:v>356738323.4012498</c:v>
                </c:pt>
                <c:pt idx="7">
                  <c:v>356738323.4012498</c:v>
                </c:pt>
                <c:pt idx="8">
                  <c:v>356738323.4012498</c:v>
                </c:pt>
                <c:pt idx="9">
                  <c:v>356738323.4012498</c:v>
                </c:pt>
                <c:pt idx="10">
                  <c:v>356738323.4012498</c:v>
                </c:pt>
                <c:pt idx="11">
                  <c:v>356738323.4012498</c:v>
                </c:pt>
                <c:pt idx="12">
                  <c:v>356738323.4012498</c:v>
                </c:pt>
                <c:pt idx="13">
                  <c:v>356738323.4012498</c:v>
                </c:pt>
                <c:pt idx="14">
                  <c:v>356738323.4012498</c:v>
                </c:pt>
                <c:pt idx="15">
                  <c:v>356738323.4012498</c:v>
                </c:pt>
                <c:pt idx="16">
                  <c:v>356738323.4012498</c:v>
                </c:pt>
                <c:pt idx="17">
                  <c:v>356738323.4012498</c:v>
                </c:pt>
                <c:pt idx="18">
                  <c:v>356738323.4012498</c:v>
                </c:pt>
                <c:pt idx="19">
                  <c:v>356738323.4012498</c:v>
                </c:pt>
              </c:numCache>
            </c:numRef>
          </c:val>
        </c:ser>
        <c:axId val="15374261"/>
        <c:axId val="4150622"/>
      </c:areaChart>
      <c:catAx>
        <c:axId val="15374261"/>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Year</a:t>
                </a:r>
              </a:p>
            </c:rich>
          </c:tx>
          <c:layout>
            <c:manualLayout>
              <c:xMode val="factor"/>
              <c:yMode val="factor"/>
              <c:x val="0.00725"/>
              <c:y val="-0.001"/>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4150622"/>
        <c:crosses val="autoZero"/>
        <c:auto val="1"/>
        <c:lblOffset val="100"/>
        <c:tickLblSkip val="1"/>
        <c:noMultiLvlLbl val="0"/>
      </c:catAx>
      <c:valAx>
        <c:axId val="415062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 2009 MT</a:t>
                </a:r>
              </a:p>
            </c:rich>
          </c:tx>
          <c:layout>
            <c:manualLayout>
              <c:xMode val="factor"/>
              <c:yMode val="factor"/>
              <c:x val="-0.02225"/>
              <c:y val="0.016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5374261"/>
        <c:crossesAt val="1"/>
        <c:crossBetween val="midCat"/>
        <c:dispUnits/>
      </c:valAx>
      <c:spPr>
        <a:noFill/>
        <a:ln w="12700">
          <a:solidFill>
            <a:srgbClr val="80808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9.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9.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9.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6.png" /><Relationship Id="rId2" Type="http://schemas.openxmlformats.org/officeDocument/2006/relationships/image" Target="../media/image17.png" /><Relationship Id="rId3" Type="http://schemas.openxmlformats.org/officeDocument/2006/relationships/image" Target="../media/image19.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0.png" /></Relationships>
</file>

<file path=xl/drawings/_rels/drawing2.xml.rels><?xml version="1.0" encoding="utf-8" standalone="yes"?><Relationships xmlns="http://schemas.openxmlformats.org/package/2006/relationships"><Relationship Id="rId1" Type="http://schemas.openxmlformats.org/officeDocument/2006/relationships/image" Target="../media/image18.png" /></Relationships>
</file>

<file path=xl/drawings/_rels/drawing3.xml.rels><?xml version="1.0" encoding="utf-8" standalone="yes"?><Relationships xmlns="http://schemas.openxmlformats.org/package/2006/relationships"><Relationship Id="rId1" Type="http://schemas.openxmlformats.org/officeDocument/2006/relationships/image" Target="../media/image19.png" /></Relationships>
</file>

<file path=xl/drawings/_rels/drawing4.xml.rels><?xml version="1.0" encoding="utf-8" standalone="yes"?><Relationships xmlns="http://schemas.openxmlformats.org/package/2006/relationships"><Relationship Id="rId1" Type="http://schemas.openxmlformats.org/officeDocument/2006/relationships/image" Target="../media/image19.png" /><Relationship Id="rId2"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9.png" /></Relationships>
</file>

<file path=xl/drawings/_rels/drawing6.xml.rels><?xml version="1.0" encoding="utf-8" standalone="yes"?><Relationships xmlns="http://schemas.openxmlformats.org/package/2006/relationships"><Relationship Id="rId1" Type="http://schemas.openxmlformats.org/officeDocument/2006/relationships/image" Target="../media/image19.png" /></Relationships>
</file>

<file path=xl/drawings/_rels/drawing7.xml.rels><?xml version="1.0" encoding="utf-8" standalone="yes"?><Relationships xmlns="http://schemas.openxmlformats.org/package/2006/relationships"><Relationship Id="rId1" Type="http://schemas.openxmlformats.org/officeDocument/2006/relationships/image" Target="../media/image19.png" /></Relationships>
</file>

<file path=xl/drawings/_rels/drawing8.xml.rels><?xml version="1.0" encoding="utf-8" standalone="yes"?><Relationships xmlns="http://schemas.openxmlformats.org/package/2006/relationships"><Relationship Id="rId1" Type="http://schemas.openxmlformats.org/officeDocument/2006/relationships/image" Target="../media/image19.png" /></Relationships>
</file>

<file path=xl/drawings/_rels/drawing9.xml.rels><?xml version="1.0" encoding="utf-8" standalone="yes"?><Relationships xmlns="http://schemas.openxmlformats.org/package/2006/relationships"><Relationship Id="rId1" Type="http://schemas.openxmlformats.org/officeDocument/2006/relationships/image" Target="../media/image1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 name="CB_0000000000000000000000000000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 name="CB_0000000000000000000000000000000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Block_7.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0</xdr:col>
      <xdr:colOff>2190750</xdr:colOff>
      <xdr:row>0</xdr:row>
      <xdr:rowOff>152400</xdr:rowOff>
    </xdr:to>
    <xdr:pic>
      <xdr:nvPicPr>
        <xdr:cNvPr id="1" name="Picture 19" descr="MCC horizontal"/>
        <xdr:cNvPicPr preferRelativeResize="1">
          <a:picLocks noChangeAspect="1"/>
        </xdr:cNvPicPr>
      </xdr:nvPicPr>
      <xdr:blipFill>
        <a:blip r:embed="rId1"/>
        <a:stretch>
          <a:fillRect/>
        </a:stretch>
      </xdr:blipFill>
      <xdr:spPr>
        <a:xfrm>
          <a:off x="28575" y="0"/>
          <a:ext cx="2162175" cy="1524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28575</xdr:rowOff>
    </xdr:from>
    <xdr:to>
      <xdr:col>2</xdr:col>
      <xdr:colOff>66675</xdr:colOff>
      <xdr:row>1</xdr:row>
      <xdr:rowOff>19050</xdr:rowOff>
    </xdr:to>
    <xdr:pic>
      <xdr:nvPicPr>
        <xdr:cNvPr id="1" name="Picture 19" descr="MCC horizontal"/>
        <xdr:cNvPicPr preferRelativeResize="1">
          <a:picLocks noChangeAspect="1"/>
        </xdr:cNvPicPr>
      </xdr:nvPicPr>
      <xdr:blipFill>
        <a:blip r:embed="rId1"/>
        <a:stretch>
          <a:fillRect/>
        </a:stretch>
      </xdr:blipFill>
      <xdr:spPr>
        <a:xfrm>
          <a:off x="66675" y="28575"/>
          <a:ext cx="2162175" cy="1524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9525</xdr:colOff>
      <xdr:row>1</xdr:row>
      <xdr:rowOff>9525</xdr:rowOff>
    </xdr:to>
    <xdr:pic>
      <xdr:nvPicPr>
        <xdr:cNvPr id="1" name="CB_00000000000000000000000000000001" hidden="1"/>
        <xdr:cNvPicPr preferRelativeResize="1">
          <a:picLocks noChangeAspect="1"/>
        </xdr:cNvPicPr>
      </xdr:nvPicPr>
      <xdr:blipFill>
        <a:blip r:embed="rId1"/>
        <a:stretch>
          <a:fillRect/>
        </a:stretch>
      </xdr:blipFill>
      <xdr:spPr>
        <a:xfrm>
          <a:off x="0" y="1619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2" name="CB_00000000000000000000000000000003" hidden="1"/>
        <xdr:cNvPicPr preferRelativeResize="1">
          <a:picLocks noChangeAspect="1"/>
        </xdr:cNvPicPr>
      </xdr:nvPicPr>
      <xdr:blipFill>
        <a:blip r:embed="rId1"/>
        <a:stretch>
          <a:fillRect/>
        </a:stretch>
      </xdr:blipFill>
      <xdr:spPr>
        <a:xfrm>
          <a:off x="0" y="1619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3" name="CB_00000000000000000000000000000000" hidden="1"/>
        <xdr:cNvPicPr preferRelativeResize="1">
          <a:picLocks noChangeAspect="1"/>
        </xdr:cNvPicPr>
      </xdr:nvPicPr>
      <xdr:blipFill>
        <a:blip r:embed="rId1"/>
        <a:stretch>
          <a:fillRect/>
        </a:stretch>
      </xdr:blipFill>
      <xdr:spPr>
        <a:xfrm>
          <a:off x="0" y="1619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4" name="CB_Block_0" hidden="1"/>
        <xdr:cNvPicPr preferRelativeResize="1">
          <a:picLocks noChangeAspect="1"/>
        </xdr:cNvPicPr>
      </xdr:nvPicPr>
      <xdr:blipFill>
        <a:blip r:embed="rId1"/>
        <a:stretch>
          <a:fillRect/>
        </a:stretch>
      </xdr:blipFill>
      <xdr:spPr>
        <a:xfrm>
          <a:off x="0" y="1619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5" name="CB_Block_11.1.1000.0:2" hidden="1"/>
        <xdr:cNvPicPr preferRelativeResize="1">
          <a:picLocks noChangeAspect="1"/>
        </xdr:cNvPicPr>
      </xdr:nvPicPr>
      <xdr:blipFill>
        <a:blip r:embed="rId1"/>
        <a:stretch>
          <a:fillRect/>
        </a:stretch>
      </xdr:blipFill>
      <xdr:spPr>
        <a:xfrm>
          <a:off x="0" y="161925"/>
          <a:ext cx="9525" cy="9525"/>
        </a:xfrm>
        <a:prstGeom prst="rect">
          <a:avLst/>
        </a:prstGeom>
        <a:noFill/>
        <a:ln w="9525" cmpd="sng">
          <a:noFill/>
        </a:ln>
      </xdr:spPr>
    </xdr:pic>
    <xdr:clientData/>
  </xdr:twoCellAnchor>
  <xdr:twoCellAnchor editAs="oneCell">
    <xdr:from>
      <xdr:col>0</xdr:col>
      <xdr:colOff>0</xdr:colOff>
      <xdr:row>1</xdr:row>
      <xdr:rowOff>0</xdr:rowOff>
    </xdr:from>
    <xdr:to>
      <xdr:col>0</xdr:col>
      <xdr:colOff>9525</xdr:colOff>
      <xdr:row>1</xdr:row>
      <xdr:rowOff>9525</xdr:rowOff>
    </xdr:to>
    <xdr:pic>
      <xdr:nvPicPr>
        <xdr:cNvPr id="6" name="CB_Block_7.0.0.0:1" hidden="1"/>
        <xdr:cNvPicPr preferRelativeResize="1">
          <a:picLocks noChangeAspect="1"/>
        </xdr:cNvPicPr>
      </xdr:nvPicPr>
      <xdr:blipFill>
        <a:blip r:embed="rId1"/>
        <a:stretch>
          <a:fillRect/>
        </a:stretch>
      </xdr:blipFill>
      <xdr:spPr>
        <a:xfrm>
          <a:off x="0" y="161925"/>
          <a:ext cx="9525" cy="9525"/>
        </a:xfrm>
        <a:prstGeom prst="rect">
          <a:avLst/>
        </a:prstGeom>
        <a:noFill/>
        <a:ln w="9525" cmpd="sng">
          <a:noFill/>
        </a:ln>
      </xdr:spPr>
    </xdr:pic>
    <xdr:clientData/>
  </xdr:twoCellAnchor>
  <xdr:twoCellAnchor editAs="oneCell">
    <xdr:from>
      <xdr:col>0</xdr:col>
      <xdr:colOff>66675</xdr:colOff>
      <xdr:row>0</xdr:row>
      <xdr:rowOff>28575</xdr:rowOff>
    </xdr:from>
    <xdr:to>
      <xdr:col>0</xdr:col>
      <xdr:colOff>2228850</xdr:colOff>
      <xdr:row>1</xdr:row>
      <xdr:rowOff>19050</xdr:rowOff>
    </xdr:to>
    <xdr:pic>
      <xdr:nvPicPr>
        <xdr:cNvPr id="7" name="Picture 19" descr="MCC horizontal"/>
        <xdr:cNvPicPr preferRelativeResize="1">
          <a:picLocks noChangeAspect="1"/>
        </xdr:cNvPicPr>
      </xdr:nvPicPr>
      <xdr:blipFill>
        <a:blip r:embed="rId2"/>
        <a:stretch>
          <a:fillRect/>
        </a:stretch>
      </xdr:blipFill>
      <xdr:spPr>
        <a:xfrm>
          <a:off x="66675" y="28575"/>
          <a:ext cx="2162175" cy="1524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0</xdr:rowOff>
    </xdr:from>
    <xdr:to>
      <xdr:col>15</xdr:col>
      <xdr:colOff>66675</xdr:colOff>
      <xdr:row>27</xdr:row>
      <xdr:rowOff>0</xdr:rowOff>
    </xdr:to>
    <xdr:pic>
      <xdr:nvPicPr>
        <xdr:cNvPr id="1" name="Picture 205"/>
        <xdr:cNvPicPr preferRelativeResize="1">
          <a:picLocks noChangeAspect="1"/>
        </xdr:cNvPicPr>
      </xdr:nvPicPr>
      <xdr:blipFill>
        <a:blip r:embed="rId1"/>
        <a:stretch>
          <a:fillRect/>
        </a:stretch>
      </xdr:blipFill>
      <xdr:spPr>
        <a:xfrm>
          <a:off x="609600" y="323850"/>
          <a:ext cx="8629650" cy="4048125"/>
        </a:xfrm>
        <a:prstGeom prst="rect">
          <a:avLst/>
        </a:prstGeom>
        <a:noFill/>
        <a:ln w="1" cmpd="sng">
          <a:noFill/>
        </a:ln>
      </xdr:spPr>
    </xdr:pic>
    <xdr:clientData/>
  </xdr:twoCellAnchor>
  <xdr:twoCellAnchor editAs="oneCell">
    <xdr:from>
      <xdr:col>15</xdr:col>
      <xdr:colOff>123825</xdr:colOff>
      <xdr:row>1</xdr:row>
      <xdr:rowOff>133350</xdr:rowOff>
    </xdr:from>
    <xdr:to>
      <xdr:col>22</xdr:col>
      <xdr:colOff>66675</xdr:colOff>
      <xdr:row>27</xdr:row>
      <xdr:rowOff>19050</xdr:rowOff>
    </xdr:to>
    <xdr:pic>
      <xdr:nvPicPr>
        <xdr:cNvPr id="2" name="Picture 206"/>
        <xdr:cNvPicPr preferRelativeResize="1">
          <a:picLocks noChangeAspect="1"/>
        </xdr:cNvPicPr>
      </xdr:nvPicPr>
      <xdr:blipFill>
        <a:blip r:embed="rId2"/>
        <a:stretch>
          <a:fillRect/>
        </a:stretch>
      </xdr:blipFill>
      <xdr:spPr>
        <a:xfrm>
          <a:off x="9296400" y="295275"/>
          <a:ext cx="4210050" cy="4095750"/>
        </a:xfrm>
        <a:prstGeom prst="rect">
          <a:avLst/>
        </a:prstGeom>
        <a:noFill/>
        <a:ln w="1" cmpd="sng">
          <a:noFill/>
        </a:ln>
      </xdr:spPr>
    </xdr:pic>
    <xdr:clientData/>
  </xdr:twoCellAnchor>
  <xdr:twoCellAnchor editAs="oneCell">
    <xdr:from>
      <xdr:col>0</xdr:col>
      <xdr:colOff>66675</xdr:colOff>
      <xdr:row>0</xdr:row>
      <xdr:rowOff>28575</xdr:rowOff>
    </xdr:from>
    <xdr:to>
      <xdr:col>3</xdr:col>
      <xdr:colOff>400050</xdr:colOff>
      <xdr:row>1</xdr:row>
      <xdr:rowOff>19050</xdr:rowOff>
    </xdr:to>
    <xdr:pic>
      <xdr:nvPicPr>
        <xdr:cNvPr id="3" name="Picture 19" descr="MCC horizontal"/>
        <xdr:cNvPicPr preferRelativeResize="1">
          <a:picLocks noChangeAspect="1"/>
        </xdr:cNvPicPr>
      </xdr:nvPicPr>
      <xdr:blipFill>
        <a:blip r:embed="rId3"/>
        <a:stretch>
          <a:fillRect/>
        </a:stretch>
      </xdr:blipFill>
      <xdr:spPr>
        <a:xfrm>
          <a:off x="66675" y="28575"/>
          <a:ext cx="2162175" cy="1524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1</xdr:row>
      <xdr:rowOff>0</xdr:rowOff>
    </xdr:from>
    <xdr:to>
      <xdr:col>2</xdr:col>
      <xdr:colOff>1905000</xdr:colOff>
      <xdr:row>5</xdr:row>
      <xdr:rowOff>133350</xdr:rowOff>
    </xdr:to>
    <xdr:pic>
      <xdr:nvPicPr>
        <xdr:cNvPr id="1" name="Picture 1" descr="content-branding-logo-horz"/>
        <xdr:cNvPicPr preferRelativeResize="1">
          <a:picLocks noChangeAspect="1"/>
        </xdr:cNvPicPr>
      </xdr:nvPicPr>
      <xdr:blipFill>
        <a:blip r:embed="rId1"/>
        <a:stretch>
          <a:fillRect/>
        </a:stretch>
      </xdr:blipFill>
      <xdr:spPr>
        <a:xfrm>
          <a:off x="400050" y="161925"/>
          <a:ext cx="217170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419100</xdr:colOff>
      <xdr:row>1</xdr:row>
      <xdr:rowOff>85725</xdr:rowOff>
    </xdr:from>
    <xdr:to>
      <xdr:col>1</xdr:col>
      <xdr:colOff>2314575</xdr:colOff>
      <xdr:row>6</xdr:row>
      <xdr:rowOff>95250</xdr:rowOff>
    </xdr:to>
    <xdr:pic>
      <xdr:nvPicPr>
        <xdr:cNvPr id="1" name="Picture 1"/>
        <xdr:cNvPicPr preferRelativeResize="1">
          <a:picLocks noChangeAspect="1"/>
        </xdr:cNvPicPr>
      </xdr:nvPicPr>
      <xdr:blipFill>
        <a:blip r:embed="rId1"/>
        <a:stretch>
          <a:fillRect/>
        </a:stretch>
      </xdr:blipFill>
      <xdr:spPr>
        <a:xfrm>
          <a:off x="419100" y="247650"/>
          <a:ext cx="2409825"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2190750</xdr:colOff>
      <xdr:row>1</xdr:row>
      <xdr:rowOff>9525</xdr:rowOff>
    </xdr:to>
    <xdr:pic>
      <xdr:nvPicPr>
        <xdr:cNvPr id="1" name="Picture 2" descr="MCC horizontal"/>
        <xdr:cNvPicPr preferRelativeResize="1">
          <a:picLocks noChangeAspect="1"/>
        </xdr:cNvPicPr>
      </xdr:nvPicPr>
      <xdr:blipFill>
        <a:blip r:embed="rId1"/>
        <a:stretch>
          <a:fillRect/>
        </a:stretch>
      </xdr:blipFill>
      <xdr:spPr>
        <a:xfrm>
          <a:off x="409575" y="19050"/>
          <a:ext cx="2162175" cy="152400"/>
        </a:xfrm>
        <a:prstGeom prst="rect">
          <a:avLst/>
        </a:prstGeom>
        <a:noFill/>
        <a:ln w="9525" cmpd="sng">
          <a:noFill/>
        </a:ln>
      </xdr:spPr>
    </xdr:pic>
    <xdr:clientData/>
  </xdr:twoCellAnchor>
  <xdr:twoCellAnchor editAs="oneCell">
    <xdr:from>
      <xdr:col>1</xdr:col>
      <xdr:colOff>38100</xdr:colOff>
      <xdr:row>30</xdr:row>
      <xdr:rowOff>114300</xdr:rowOff>
    </xdr:from>
    <xdr:to>
      <xdr:col>1</xdr:col>
      <xdr:colOff>2200275</xdr:colOff>
      <xdr:row>31</xdr:row>
      <xdr:rowOff>19050</xdr:rowOff>
    </xdr:to>
    <xdr:pic>
      <xdr:nvPicPr>
        <xdr:cNvPr id="2" name="Picture 3" descr="MCC horizontal"/>
        <xdr:cNvPicPr preferRelativeResize="1">
          <a:picLocks noChangeAspect="1"/>
        </xdr:cNvPicPr>
      </xdr:nvPicPr>
      <xdr:blipFill>
        <a:blip r:embed="rId1"/>
        <a:stretch>
          <a:fillRect/>
        </a:stretch>
      </xdr:blipFill>
      <xdr:spPr>
        <a:xfrm>
          <a:off x="419100" y="11258550"/>
          <a:ext cx="2171700" cy="152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28575</xdr:rowOff>
    </xdr:from>
    <xdr:to>
      <xdr:col>2</xdr:col>
      <xdr:colOff>1085850</xdr:colOff>
      <xdr:row>1</xdr:row>
      <xdr:rowOff>19050</xdr:rowOff>
    </xdr:to>
    <xdr:pic>
      <xdr:nvPicPr>
        <xdr:cNvPr id="1" name="Picture 2" descr="MCC horizontal"/>
        <xdr:cNvPicPr preferRelativeResize="1">
          <a:picLocks noChangeAspect="1"/>
        </xdr:cNvPicPr>
      </xdr:nvPicPr>
      <xdr:blipFill>
        <a:blip r:embed="rId1"/>
        <a:stretch>
          <a:fillRect/>
        </a:stretch>
      </xdr:blipFill>
      <xdr:spPr>
        <a:xfrm>
          <a:off x="390525" y="28575"/>
          <a:ext cx="2162175" cy="152400"/>
        </a:xfrm>
        <a:prstGeom prst="rect">
          <a:avLst/>
        </a:prstGeom>
        <a:noFill/>
        <a:ln w="9525" cmpd="sng">
          <a:noFill/>
        </a:ln>
      </xdr:spPr>
    </xdr:pic>
    <xdr:clientData/>
  </xdr:twoCellAnchor>
  <xdr:twoCellAnchor>
    <xdr:from>
      <xdr:col>2</xdr:col>
      <xdr:colOff>0</xdr:colOff>
      <xdr:row>35</xdr:row>
      <xdr:rowOff>0</xdr:rowOff>
    </xdr:from>
    <xdr:to>
      <xdr:col>7</xdr:col>
      <xdr:colOff>257175</xdr:colOff>
      <xdr:row>56</xdr:row>
      <xdr:rowOff>152400</xdr:rowOff>
    </xdr:to>
    <xdr:graphicFrame>
      <xdr:nvGraphicFramePr>
        <xdr:cNvPr id="2" name="Chart 2"/>
        <xdr:cNvGraphicFramePr/>
      </xdr:nvGraphicFramePr>
      <xdr:xfrm>
        <a:off x="1466850" y="9553575"/>
        <a:ext cx="8963025" cy="35528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0</xdr:col>
      <xdr:colOff>2190750</xdr:colOff>
      <xdr:row>0</xdr:row>
      <xdr:rowOff>152400</xdr:rowOff>
    </xdr:to>
    <xdr:pic>
      <xdr:nvPicPr>
        <xdr:cNvPr id="1" name="Picture 1" descr="MCC horizontal"/>
        <xdr:cNvPicPr preferRelativeResize="1">
          <a:picLocks noChangeAspect="1"/>
        </xdr:cNvPicPr>
      </xdr:nvPicPr>
      <xdr:blipFill>
        <a:blip r:embed="rId1"/>
        <a:stretch>
          <a:fillRect/>
        </a:stretch>
      </xdr:blipFill>
      <xdr:spPr>
        <a:xfrm>
          <a:off x="28575" y="0"/>
          <a:ext cx="2162175" cy="152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2162175</xdr:colOff>
      <xdr:row>0</xdr:row>
      <xdr:rowOff>152400</xdr:rowOff>
    </xdr:to>
    <xdr:pic>
      <xdr:nvPicPr>
        <xdr:cNvPr id="1" name="Picture 1" descr="MCC horizontal"/>
        <xdr:cNvPicPr preferRelativeResize="1">
          <a:picLocks noChangeAspect="1"/>
        </xdr:cNvPicPr>
      </xdr:nvPicPr>
      <xdr:blipFill>
        <a:blip r:embed="rId1"/>
        <a:stretch>
          <a:fillRect/>
        </a:stretch>
      </xdr:blipFill>
      <xdr:spPr>
        <a:xfrm>
          <a:off x="0" y="0"/>
          <a:ext cx="2162175" cy="152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0</xdr:col>
      <xdr:colOff>2190750</xdr:colOff>
      <xdr:row>0</xdr:row>
      <xdr:rowOff>152400</xdr:rowOff>
    </xdr:to>
    <xdr:pic>
      <xdr:nvPicPr>
        <xdr:cNvPr id="1" name="Picture 19" descr="MCC horizontal"/>
        <xdr:cNvPicPr preferRelativeResize="1">
          <a:picLocks noChangeAspect="1"/>
        </xdr:cNvPicPr>
      </xdr:nvPicPr>
      <xdr:blipFill>
        <a:blip r:embed="rId1"/>
        <a:stretch>
          <a:fillRect/>
        </a:stretch>
      </xdr:blipFill>
      <xdr:spPr>
        <a:xfrm>
          <a:off x="28575" y="0"/>
          <a:ext cx="2162175" cy="152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485775</xdr:colOff>
      <xdr:row>0</xdr:row>
      <xdr:rowOff>152400</xdr:rowOff>
    </xdr:to>
    <xdr:pic>
      <xdr:nvPicPr>
        <xdr:cNvPr id="1" name="Picture 19" descr="MCC horizontal"/>
        <xdr:cNvPicPr preferRelativeResize="1">
          <a:picLocks noChangeAspect="1"/>
        </xdr:cNvPicPr>
      </xdr:nvPicPr>
      <xdr:blipFill>
        <a:blip r:embed="rId1"/>
        <a:stretch>
          <a:fillRect/>
        </a:stretch>
      </xdr:blipFill>
      <xdr:spPr>
        <a:xfrm>
          <a:off x="0" y="0"/>
          <a:ext cx="2162175" cy="1524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0</xdr:col>
      <xdr:colOff>2190750</xdr:colOff>
      <xdr:row>0</xdr:row>
      <xdr:rowOff>152400</xdr:rowOff>
    </xdr:to>
    <xdr:pic>
      <xdr:nvPicPr>
        <xdr:cNvPr id="1" name="Picture 3" descr="MCC horizontal"/>
        <xdr:cNvPicPr preferRelativeResize="1">
          <a:picLocks noChangeAspect="1"/>
        </xdr:cNvPicPr>
      </xdr:nvPicPr>
      <xdr:blipFill>
        <a:blip r:embed="rId1"/>
        <a:stretch>
          <a:fillRect/>
        </a:stretch>
      </xdr:blipFill>
      <xdr:spPr>
        <a:xfrm>
          <a:off x="28575" y="0"/>
          <a:ext cx="2162175" cy="152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_divisions\Economic%20Analysis\ERR%20Spreadsheets\Web%20Dissemination\Ongoing%20Work\Lesotho\Health\Lesotho%20-%20Health%20-%20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_divisions\Economic%20Analysis\ERR%20Spreadsheets\Web%20Dissemination\Ongoing%20Work\Georgia\Georgia%20Pipeline%20-%20v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_divisions\Economic%20Analysis\ERR%20Spreadsheets\Web%20Dissemination\Ongoing%20Work\Georgia\Georgia%20Pipeline%20-%20v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carterae\AppData\Local\Microsoft\Windows\Temporary%20Internet%20Files\Content.Outlook\60SE8W1X\Q3-IATI_Export_2014080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ser's Guide"/>
      <sheetName val="Activity Description"/>
      <sheetName val="ERR &amp; Sensitivity Analysis"/>
      <sheetName val="Costs &amp; Benefits Summary"/>
      <sheetName val="Life Table"/>
      <sheetName val="ART coverage"/>
      <sheetName val=" PMTCT coverage"/>
      <sheetName val="MCH coverage"/>
      <sheetName val="All combined"/>
      <sheetName val="Recurrent Costs"/>
    </sheetNames>
    <sheetDataSet>
      <sheetData sheetId="3">
        <row r="16">
          <cell r="B16">
            <v>-0.002</v>
          </cell>
        </row>
        <row r="17">
          <cell r="B17">
            <v>0.014</v>
          </cell>
        </row>
        <row r="18">
          <cell r="B18">
            <v>300</v>
          </cell>
        </row>
        <row r="21">
          <cell r="B21">
            <v>0.01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User's Guide"/>
      <sheetName val="ERR &amp; Sensitivity Analysis"/>
      <sheetName val="ERR Pipeline"/>
      <sheetName val="Cost Assumptions"/>
      <sheetName val="Demand"/>
      <sheetName val="Transit"/>
      <sheetName val="IRR-high"/>
      <sheetName val="IRR-medium"/>
      <sheetName val="IRR-low"/>
      <sheetName val="IRR-low (2)"/>
      <sheetName val="IRR-sensitivities"/>
      <sheetName val="Financial Impact"/>
    </sheetNames>
    <sheetDataSet>
      <sheetData sheetId="3">
        <row r="22">
          <cell r="C22" t="str">
            <v>Low</v>
          </cell>
          <cell r="D22" t="str">
            <v>Medium</v>
          </cell>
          <cell r="E22" t="str">
            <v>High</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User's Guide"/>
      <sheetName val="Activity Description"/>
      <sheetName val="ERR &amp; Sensitivity Analysis"/>
      <sheetName val="ERR Pipeline"/>
      <sheetName val="Cost Assumptions"/>
      <sheetName val="Demand"/>
      <sheetName val="Transit"/>
      <sheetName val="IRR-high"/>
      <sheetName val="IRR-medium"/>
      <sheetName val="IRR-low"/>
      <sheetName val="IRR-low (2)"/>
      <sheetName val="IRR-sensitivities"/>
      <sheetName val="Financial Impact"/>
      <sheetName val="Georgia Pipeline - v3"/>
    </sheetNames>
    <sheetDataSet>
      <sheetData sheetId="4">
        <row r="22">
          <cell r="C22" t="str">
            <v>Low</v>
          </cell>
          <cell r="D22" t="str">
            <v>Medium</v>
          </cell>
          <cell r="E22" t="str">
            <v>High</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NG"/>
      <sheetName val="RAW_Data"/>
      <sheetName val="XTabFund"/>
      <sheetName val="DAC Mapping"/>
      <sheetName val="CrossTab99810 "/>
      <sheetName val="SectorBoard"/>
      <sheetName val="FYxCTY_Dis&amp;Obs"/>
      <sheetName val="M&amp;E-Sturdy"/>
      <sheetName val="Frances"/>
      <sheetName val="Sheet2"/>
      <sheetName val="Sheet3"/>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http://en.wikipedia.org/wiki/Agriculture_in_Mozambique" TargetMode="External" /><Relationship Id="rId2" Type="http://schemas.openxmlformats.org/officeDocument/2006/relationships/hyperlink" Target="http://www.fao.org/fileadmin/templates/tc/tce/pdf/Mozambique_factsheet.pdf" TargetMode="External" /><Relationship Id="rId3" Type="http://schemas.openxmlformats.org/officeDocument/2006/relationships/hyperlink" Target="http://www.ifdc.org/Nations/Mozambique/Articles/Commercialized-Cassava-Production-in-Mozambique-He/" TargetMode="External" /><Relationship Id="rId4" Type="http://schemas.openxmlformats.org/officeDocument/2006/relationships/drawing" Target="../drawings/drawing7.xml" /><Relationship Id="rId5"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sheetPr codeName="Sheet7"/>
  <dimension ref="A1:Y129"/>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B6" sqref="B6"/>
    </sheetView>
  </sheetViews>
  <sheetFormatPr defaultColWidth="9.140625" defaultRowHeight="12.75"/>
  <cols>
    <col min="1" max="1" width="52.57421875" style="76" customWidth="1"/>
    <col min="2" max="2" width="13.28125" style="77" bestFit="1" customWidth="1"/>
    <col min="3" max="3" width="16.28125" style="76" bestFit="1" customWidth="1"/>
    <col min="4" max="4" width="14.00390625" style="76" customWidth="1"/>
    <col min="5" max="5" width="12.57421875" style="76" customWidth="1"/>
    <col min="6" max="6" width="14.421875" style="76" customWidth="1"/>
    <col min="7" max="7" width="12.57421875" style="76" bestFit="1" customWidth="1"/>
    <col min="8" max="8" width="15.00390625" style="76" bestFit="1" customWidth="1"/>
    <col min="9" max="9" width="13.140625" style="76" customWidth="1"/>
    <col min="10" max="10" width="14.00390625" style="76" customWidth="1"/>
    <col min="11" max="11" width="13.421875" style="76" bestFit="1" customWidth="1"/>
    <col min="12" max="12" width="14.140625" style="76" customWidth="1"/>
    <col min="13" max="22" width="15.00390625" style="76" bestFit="1" customWidth="1"/>
    <col min="23" max="16384" width="9.140625" style="76" customWidth="1"/>
  </cols>
  <sheetData>
    <row r="1" spans="2:7" s="70" customFormat="1" ht="12.75">
      <c r="B1" s="71"/>
      <c r="C1" s="320" t="str">
        <f>'User''s Guide'!$D$1</f>
        <v>Last updated: 10/07/2014</v>
      </c>
      <c r="G1" s="72" t="s">
        <v>8</v>
      </c>
    </row>
    <row r="2" spans="1:4" s="70" customFormat="1" ht="39" customHeight="1" thickBot="1">
      <c r="A2" s="528" t="s">
        <v>340</v>
      </c>
      <c r="B2" s="528"/>
      <c r="C2" s="528"/>
      <c r="D2" s="528"/>
    </row>
    <row r="3" spans="1:6" ht="13.5" thickBot="1">
      <c r="A3" s="73" t="s">
        <v>4</v>
      </c>
      <c r="B3" s="131" t="s">
        <v>2</v>
      </c>
      <c r="C3" s="74"/>
      <c r="D3" s="74" t="s">
        <v>5</v>
      </c>
      <c r="E3" s="74" t="s">
        <v>6</v>
      </c>
      <c r="F3" s="75"/>
    </row>
    <row r="4" spans="1:5" s="165" customFormat="1" ht="13.5" thickBot="1">
      <c r="A4" s="162" t="s">
        <v>77</v>
      </c>
      <c r="B4" s="163"/>
      <c r="C4" s="164"/>
      <c r="D4" s="164"/>
      <c r="E4" s="164"/>
    </row>
    <row r="5" spans="1:5" s="166" customFormat="1" ht="12.75">
      <c r="A5" s="169" t="s">
        <v>143</v>
      </c>
      <c r="B5" s="161">
        <v>144522</v>
      </c>
      <c r="C5" s="239"/>
      <c r="D5" s="239"/>
      <c r="E5" s="239"/>
    </row>
    <row r="6" spans="1:4" ht="12.75">
      <c r="A6" s="76" t="s">
        <v>50</v>
      </c>
      <c r="B6" s="222">
        <v>0.9556373261030955</v>
      </c>
      <c r="D6" s="76" t="s">
        <v>171</v>
      </c>
    </row>
    <row r="7" spans="1:4" ht="12.75">
      <c r="A7" s="76" t="s">
        <v>51</v>
      </c>
      <c r="B7" s="222">
        <v>0.01731383751331461</v>
      </c>
      <c r="D7" s="76" t="s">
        <v>171</v>
      </c>
    </row>
    <row r="8" spans="1:2" ht="12.75">
      <c r="A8" s="76" t="s">
        <v>52</v>
      </c>
      <c r="B8" s="167">
        <f>1-B6-B7</f>
        <v>0.027048836383589903</v>
      </c>
    </row>
    <row r="9" spans="2:10" ht="12.75">
      <c r="B9" s="168"/>
      <c r="D9" s="75"/>
      <c r="E9" s="75"/>
      <c r="H9" s="76" t="s">
        <v>8</v>
      </c>
      <c r="J9" s="76" t="s">
        <v>8</v>
      </c>
    </row>
    <row r="10" spans="1:9" ht="12.75">
      <c r="A10" s="76" t="s">
        <v>53</v>
      </c>
      <c r="B10" s="223">
        <v>542.206379777605</v>
      </c>
      <c r="D10" s="129" t="s">
        <v>150</v>
      </c>
      <c r="E10" s="130"/>
      <c r="I10" s="76" t="s">
        <v>8</v>
      </c>
    </row>
    <row r="11" spans="1:5" ht="12.75">
      <c r="A11" s="76" t="s">
        <v>54</v>
      </c>
      <c r="B11" s="223">
        <v>3499.1045425472307</v>
      </c>
      <c r="D11" s="129" t="s">
        <v>150</v>
      </c>
      <c r="E11" s="130"/>
    </row>
    <row r="12" spans="1:10" ht="12.75">
      <c r="A12" s="76" t="s">
        <v>55</v>
      </c>
      <c r="B12" s="223">
        <v>3746.116276672895</v>
      </c>
      <c r="D12" s="129" t="s">
        <v>150</v>
      </c>
      <c r="E12" s="130"/>
      <c r="J12" s="76" t="s">
        <v>8</v>
      </c>
    </row>
    <row r="13" ht="12.75">
      <c r="B13" s="168"/>
    </row>
    <row r="14" spans="1:10" ht="15">
      <c r="A14" s="76" t="s">
        <v>56</v>
      </c>
      <c r="B14" s="78">
        <f>B10*B6*$B$5</f>
        <v>74884458.00109886</v>
      </c>
      <c r="D14" s="90"/>
      <c r="E14" s="91"/>
      <c r="H14" s="76" t="s">
        <v>8</v>
      </c>
      <c r="J14" s="92"/>
    </row>
    <row r="15" spans="1:8" ht="12.75">
      <c r="A15" s="76" t="s">
        <v>57</v>
      </c>
      <c r="B15" s="78">
        <f>B11*B7*$B$5</f>
        <v>8755565.846964689</v>
      </c>
      <c r="C15" s="90" t="s">
        <v>8</v>
      </c>
      <c r="H15" s="76" t="s">
        <v>8</v>
      </c>
    </row>
    <row r="16" spans="1:3" ht="12.75">
      <c r="A16" s="76" t="s">
        <v>58</v>
      </c>
      <c r="B16" s="78">
        <f>B12*B8*$B$5</f>
        <v>14644137.679812582</v>
      </c>
      <c r="C16" s="90" t="s">
        <v>8</v>
      </c>
    </row>
    <row r="17" spans="1:5" ht="12.75">
      <c r="A17" s="95"/>
      <c r="B17" s="96"/>
      <c r="C17" s="120"/>
      <c r="D17" s="120"/>
      <c r="E17" s="120" t="s">
        <v>182</v>
      </c>
    </row>
    <row r="18" spans="1:14" s="80" customFormat="1" ht="12.75">
      <c r="A18" s="80" t="s">
        <v>59</v>
      </c>
      <c r="B18" s="142">
        <f>'Crystal Ball Sensitivity'!B14</f>
        <v>90.48</v>
      </c>
      <c r="C18" s="80">
        <v>121.9</v>
      </c>
      <c r="D18" s="80">
        <v>59.06</v>
      </c>
      <c r="E18" s="80">
        <f>(D18+C18)/2</f>
        <v>90.48</v>
      </c>
      <c r="F18" s="80" t="s">
        <v>155</v>
      </c>
      <c r="J18" s="126"/>
      <c r="K18" s="85"/>
      <c r="L18" s="86"/>
      <c r="M18" s="87"/>
      <c r="N18" s="126"/>
    </row>
    <row r="19" spans="1:14" s="80" customFormat="1" ht="12.75">
      <c r="A19" s="80" t="s">
        <v>60</v>
      </c>
      <c r="B19" s="122">
        <f>B18</f>
        <v>90.48</v>
      </c>
      <c r="F19" s="80" t="s">
        <v>8</v>
      </c>
      <c r="J19" s="127"/>
      <c r="K19" s="127"/>
      <c r="L19" s="128"/>
      <c r="M19" s="126"/>
      <c r="N19" s="126"/>
    </row>
    <row r="21" spans="1:9" ht="33" customHeight="1">
      <c r="A21" s="81" t="s">
        <v>93</v>
      </c>
      <c r="B21" s="108">
        <f>'Crystal Ball Sensitivity'!B15</f>
        <v>1.8</v>
      </c>
      <c r="C21" s="104"/>
      <c r="D21" s="104"/>
      <c r="E21" s="104"/>
      <c r="F21" s="104"/>
      <c r="G21" s="104"/>
      <c r="H21" s="104"/>
      <c r="I21" s="104"/>
    </row>
    <row r="22" spans="1:6" ht="12.75">
      <c r="A22" s="76" t="s">
        <v>62</v>
      </c>
      <c r="B22" s="109">
        <f>'Crystal Ball Sensitivity'!B16</f>
        <v>20</v>
      </c>
      <c r="E22" s="82"/>
      <c r="F22" s="89" t="s">
        <v>72</v>
      </c>
    </row>
    <row r="23" spans="1:6" ht="12.75">
      <c r="A23" s="76" t="s">
        <v>74</v>
      </c>
      <c r="B23" s="107">
        <f>'Crystal Ball Sensitivity'!B17</f>
        <v>0.98</v>
      </c>
      <c r="C23" s="94"/>
      <c r="D23" s="94" t="s">
        <v>8</v>
      </c>
      <c r="E23" s="94"/>
      <c r="F23" s="89"/>
    </row>
    <row r="24" spans="1:9" ht="33" customHeight="1">
      <c r="A24" s="81" t="s">
        <v>92</v>
      </c>
      <c r="B24" s="123">
        <f>B21*B23</f>
        <v>1.764</v>
      </c>
      <c r="C24" s="529" t="s">
        <v>61</v>
      </c>
      <c r="D24" s="529"/>
      <c r="E24" s="529"/>
      <c r="F24" s="529"/>
      <c r="G24" s="529"/>
      <c r="H24" s="529"/>
      <c r="I24" s="529"/>
    </row>
    <row r="25" spans="1:9" ht="12.75">
      <c r="A25" s="81"/>
      <c r="C25" s="104"/>
      <c r="D25" s="104"/>
      <c r="E25" s="104"/>
      <c r="F25" s="104"/>
      <c r="G25" s="104"/>
      <c r="H25" s="104"/>
      <c r="I25" s="104"/>
    </row>
    <row r="26" spans="1:2" ht="12.75">
      <c r="A26" s="110" t="s">
        <v>96</v>
      </c>
      <c r="B26" s="124">
        <f>B15/(B11*2)</f>
        <v>1251.1152125496271</v>
      </c>
    </row>
    <row r="27" spans="1:2" ht="12.75">
      <c r="A27" s="110" t="s">
        <v>101</v>
      </c>
      <c r="B27" s="125">
        <f>B78</f>
        <v>4966.216074785348</v>
      </c>
    </row>
    <row r="28" spans="1:2" ht="12.75">
      <c r="A28" s="110" t="s">
        <v>75</v>
      </c>
      <c r="B28" s="151">
        <f>'Crystal Ball Sensitivity'!B17</f>
        <v>0.98</v>
      </c>
    </row>
    <row r="29" spans="1:2" ht="12.75">
      <c r="A29" s="110" t="s">
        <v>102</v>
      </c>
      <c r="B29" s="151">
        <f>1+'Crystal Ball Sensitivity'!B21</f>
        <v>1.09</v>
      </c>
    </row>
    <row r="30" spans="1:2" ht="12.75">
      <c r="A30" s="110" t="s">
        <v>81</v>
      </c>
      <c r="B30" s="98">
        <f>B27*B26</f>
        <v>6213308.479972445</v>
      </c>
    </row>
    <row r="31" spans="1:2" ht="12.75">
      <c r="A31" s="110" t="s">
        <v>82</v>
      </c>
      <c r="B31" s="98">
        <f>(B30*B29*B23)+B30*(1-B28)</f>
        <v>6761322.287906016</v>
      </c>
    </row>
    <row r="32" spans="1:2" ht="12.75">
      <c r="A32" s="110" t="s">
        <v>97</v>
      </c>
      <c r="B32" s="98">
        <f>B31-B30</f>
        <v>548013.8079335708</v>
      </c>
    </row>
    <row r="33" ht="12.75">
      <c r="A33" s="110"/>
    </row>
    <row r="34" ht="12.75">
      <c r="B34" s="76"/>
    </row>
    <row r="35" spans="1:9" ht="25.5">
      <c r="A35" s="81" t="s">
        <v>94</v>
      </c>
      <c r="B35" s="123">
        <f>B36*B38</f>
        <v>1.764</v>
      </c>
      <c r="E35" s="76" t="s">
        <v>8</v>
      </c>
      <c r="I35" s="76" t="s">
        <v>8</v>
      </c>
    </row>
    <row r="36" spans="1:2" ht="12.75">
      <c r="A36" s="81" t="s">
        <v>95</v>
      </c>
      <c r="B36" s="108">
        <f>'Crystal Ball Sensitivity'!B25</f>
        <v>1.8</v>
      </c>
    </row>
    <row r="37" spans="1:2" ht="12.75">
      <c r="A37" s="76" t="s">
        <v>63</v>
      </c>
      <c r="B37" s="108">
        <f>'Crystal Ball Sensitivity'!B26</f>
        <v>20</v>
      </c>
    </row>
    <row r="38" spans="1:5" ht="12.75">
      <c r="A38" s="88" t="s">
        <v>76</v>
      </c>
      <c r="B38" s="252">
        <f>'Crystal Ball Sensitivity'!B27</f>
        <v>0.98</v>
      </c>
      <c r="C38" s="118"/>
      <c r="D38" s="118"/>
      <c r="E38" s="118"/>
    </row>
    <row r="40" spans="1:2" s="110" customFormat="1" ht="12.75">
      <c r="A40" s="110" t="s">
        <v>64</v>
      </c>
      <c r="B40" s="123">
        <f>B18*B24</f>
        <v>159.60672</v>
      </c>
    </row>
    <row r="41" spans="1:5" s="110" customFormat="1" ht="12.75">
      <c r="A41" s="111" t="s">
        <v>138</v>
      </c>
      <c r="B41" s="132">
        <f>B19*B35</f>
        <v>159.60672</v>
      </c>
      <c r="C41" s="111"/>
      <c r="D41" s="111"/>
      <c r="E41" s="111"/>
    </row>
    <row r="42" s="110" customFormat="1" ht="12.75">
      <c r="B42" s="77"/>
    </row>
    <row r="43" spans="1:2" s="110" customFormat="1" ht="12.75">
      <c r="A43" s="110" t="s">
        <v>65</v>
      </c>
      <c r="B43" s="123">
        <f>B18/B22</f>
        <v>4.524</v>
      </c>
    </row>
    <row r="44" spans="1:2" s="110" customFormat="1" ht="12.75">
      <c r="A44" s="110" t="s">
        <v>139</v>
      </c>
      <c r="B44" s="123">
        <f>B19/B37</f>
        <v>4.524</v>
      </c>
    </row>
    <row r="45" s="110" customFormat="1" ht="12.75">
      <c r="B45" s="77"/>
    </row>
    <row r="46" spans="1:2" s="110" customFormat="1" ht="14.25" customHeight="1">
      <c r="A46" s="110" t="s">
        <v>66</v>
      </c>
      <c r="B46" s="123">
        <f>B40/B22</f>
        <v>7.980335999999999</v>
      </c>
    </row>
    <row r="47" spans="1:2" s="110" customFormat="1" ht="12.75">
      <c r="A47" s="110" t="s">
        <v>140</v>
      </c>
      <c r="B47" s="123">
        <f>B41/B37</f>
        <v>7.980335999999999</v>
      </c>
    </row>
    <row r="48" s="110" customFormat="1" ht="12.75">
      <c r="B48" s="77"/>
    </row>
    <row r="49" spans="1:7" s="110" customFormat="1" ht="12.75">
      <c r="A49" s="110" t="s">
        <v>67</v>
      </c>
      <c r="B49" s="133">
        <f>B43*B14</f>
        <v>338777287.99697125</v>
      </c>
      <c r="G49" s="110" t="s">
        <v>8</v>
      </c>
    </row>
    <row r="50" spans="1:2" s="110" customFormat="1" ht="12.75">
      <c r="A50" s="110" t="s">
        <v>81</v>
      </c>
      <c r="B50" s="133">
        <f>B30</f>
        <v>6213308.479972445</v>
      </c>
    </row>
    <row r="51" spans="1:2" s="110" customFormat="1" ht="12.75">
      <c r="A51" s="110" t="s">
        <v>68</v>
      </c>
      <c r="B51" s="79">
        <f>B44*B16</f>
        <v>66250078.86347212</v>
      </c>
    </row>
    <row r="52" s="110" customFormat="1" ht="12.75">
      <c r="B52" s="77"/>
    </row>
    <row r="53" spans="1:2" s="110" customFormat="1" ht="12.75">
      <c r="A53" s="110" t="s">
        <v>69</v>
      </c>
      <c r="B53" s="133">
        <f>B46*B14*B23+B49*(1-B23)</f>
        <v>592426619.0660635</v>
      </c>
    </row>
    <row r="54" spans="1:2" s="110" customFormat="1" ht="12.75">
      <c r="A54" s="110" t="s">
        <v>82</v>
      </c>
      <c r="B54" s="133">
        <f>B31</f>
        <v>6761322.287906016</v>
      </c>
    </row>
    <row r="55" spans="1:2" s="110" customFormat="1" ht="12.75">
      <c r="A55" s="110" t="s">
        <v>70</v>
      </c>
      <c r="B55" s="79">
        <f>B47*B16*$B$38+B51*(1-$B$38)</f>
        <v>115852837.91013096</v>
      </c>
    </row>
    <row r="56" s="110" customFormat="1" ht="12.75">
      <c r="B56" s="77"/>
    </row>
    <row r="57" spans="2:5" s="110" customFormat="1" ht="25.5">
      <c r="B57" s="77"/>
      <c r="D57" s="228" t="s">
        <v>151</v>
      </c>
      <c r="E57" s="227" t="s">
        <v>152</v>
      </c>
    </row>
    <row r="58" spans="1:6" s="171" customFormat="1" ht="12.75">
      <c r="A58" s="169" t="s">
        <v>144</v>
      </c>
      <c r="B58" s="161">
        <f>D58+E58</f>
        <v>27132</v>
      </c>
      <c r="C58" s="170"/>
      <c r="D58" s="224">
        <v>9456</v>
      </c>
      <c r="E58" s="224">
        <v>17676</v>
      </c>
      <c r="F58" s="129" t="s">
        <v>352</v>
      </c>
    </row>
    <row r="59" spans="1:6" s="110" customFormat="1" ht="12.75">
      <c r="A59" s="110" t="s">
        <v>50</v>
      </c>
      <c r="B59" s="172">
        <v>0.4603332011106704</v>
      </c>
      <c r="F59" s="76" t="s">
        <v>202</v>
      </c>
    </row>
    <row r="60" spans="1:6" s="110" customFormat="1" ht="12.75">
      <c r="A60" s="110" t="s">
        <v>51</v>
      </c>
      <c r="B60" s="172">
        <v>0.5270725902419675</v>
      </c>
      <c r="F60" s="76" t="s">
        <v>202</v>
      </c>
    </row>
    <row r="61" spans="1:6" s="110" customFormat="1" ht="12.75">
      <c r="A61" s="110" t="s">
        <v>52</v>
      </c>
      <c r="B61" s="172">
        <f>1-B60-B59</f>
        <v>0.012594208647362104</v>
      </c>
      <c r="F61" s="76" t="s">
        <v>36</v>
      </c>
    </row>
    <row r="62" spans="2:6" s="110" customFormat="1" ht="12.75">
      <c r="B62" s="172"/>
      <c r="F62" s="76"/>
    </row>
    <row r="63" spans="1:6" s="110" customFormat="1" ht="12.75">
      <c r="A63" s="110" t="s">
        <v>170</v>
      </c>
      <c r="B63" s="237">
        <f>D63+E63</f>
        <v>19683</v>
      </c>
      <c r="D63" s="90">
        <v>9456</v>
      </c>
      <c r="E63" s="90">
        <v>10227</v>
      </c>
      <c r="F63" s="76" t="s">
        <v>171</v>
      </c>
    </row>
    <row r="64" spans="1:6" s="110" customFormat="1" ht="12.75">
      <c r="A64" s="110" t="s">
        <v>176</v>
      </c>
      <c r="B64" s="238">
        <f>B63/B58</f>
        <v>0.725453339230429</v>
      </c>
      <c r="D64" s="238">
        <f>D63/D58</f>
        <v>1</v>
      </c>
      <c r="E64" s="238">
        <f>E63/E58</f>
        <v>0.5785811269517991</v>
      </c>
      <c r="F64" s="76"/>
    </row>
    <row r="65" spans="2:6" s="110" customFormat="1" ht="12.75">
      <c r="B65" s="172"/>
      <c r="D65" s="238"/>
      <c r="E65" s="238"/>
      <c r="F65" s="76"/>
    </row>
    <row r="66" spans="1:2" s="110" customFormat="1" ht="12.75">
      <c r="A66" s="110" t="s">
        <v>53</v>
      </c>
      <c r="B66" s="225">
        <v>961.790074784293</v>
      </c>
    </row>
    <row r="67" spans="1:6" s="110" customFormat="1" ht="12.75">
      <c r="A67" s="110" t="s">
        <v>54</v>
      </c>
      <c r="B67" s="226">
        <f>(D58*D67+E58*E67)/B58</f>
        <v>9163.348515653144</v>
      </c>
      <c r="D67" s="90">
        <v>11768.667504616</v>
      </c>
      <c r="E67" s="90">
        <v>7769.600135950001</v>
      </c>
      <c r="F67" s="129" t="s">
        <v>154</v>
      </c>
    </row>
    <row r="68" s="110" customFormat="1" ht="12.75">
      <c r="B68" s="168"/>
    </row>
    <row r="70" spans="1:4" s="110" customFormat="1" ht="12.75">
      <c r="A70" s="110" t="s">
        <v>166</v>
      </c>
      <c r="B70" s="79">
        <f>1.4*10000</f>
        <v>14000</v>
      </c>
      <c r="D70" s="110" t="s">
        <v>165</v>
      </c>
    </row>
    <row r="71" spans="1:2" s="233" customFormat="1" ht="12.75">
      <c r="A71" s="233" t="s">
        <v>167</v>
      </c>
      <c r="B71" s="234">
        <f>B70/B67</f>
        <v>1.5278257698138102</v>
      </c>
    </row>
    <row r="72" s="110" customFormat="1" ht="12.75">
      <c r="B72" s="98"/>
    </row>
    <row r="73" spans="1:10" s="110" customFormat="1" ht="15">
      <c r="A73" s="110" t="s">
        <v>56</v>
      </c>
      <c r="B73" s="78">
        <f>B66*B59*$B$58</f>
        <v>12012527.60120966</v>
      </c>
      <c r="D73" s="113" t="s">
        <v>8</v>
      </c>
      <c r="E73" s="114" t="s">
        <v>8</v>
      </c>
      <c r="F73" s="110" t="s">
        <v>8</v>
      </c>
      <c r="H73" s="110" t="s">
        <v>8</v>
      </c>
      <c r="J73" s="115" t="s">
        <v>8</v>
      </c>
    </row>
    <row r="74" spans="1:3" s="110" customFormat="1" ht="12.75">
      <c r="A74" s="110" t="s">
        <v>57</v>
      </c>
      <c r="B74" s="78">
        <f>B67*B60*$B$58</f>
        <v>131040772.5892916</v>
      </c>
      <c r="C74" s="110" t="s">
        <v>8</v>
      </c>
    </row>
    <row r="75" s="110" customFormat="1" ht="12.75">
      <c r="B75" s="78"/>
    </row>
    <row r="76" s="110" customFormat="1" ht="12.75">
      <c r="B76" s="78"/>
    </row>
    <row r="77" spans="1:2" s="110" customFormat="1" ht="12.75">
      <c r="A77" s="110" t="s">
        <v>78</v>
      </c>
      <c r="B77" s="229">
        <f>B74/B70</f>
        <v>9360.0551849494</v>
      </c>
    </row>
    <row r="78" spans="1:5" s="116" customFormat="1" ht="12.75">
      <c r="A78" s="116" t="s">
        <v>178</v>
      </c>
      <c r="B78" s="255">
        <f>'Assumptions and Benefits DUATs'!L121</f>
        <v>4966.216074785348</v>
      </c>
      <c r="D78" s="116" t="s">
        <v>164</v>
      </c>
      <c r="E78" s="117"/>
    </row>
    <row r="79" spans="1:5" s="116" customFormat="1" ht="12.75">
      <c r="A79" s="116" t="s">
        <v>353</v>
      </c>
      <c r="B79" s="251">
        <f>1+('Crystal Ball Sensitivity'!B21*B80)</f>
        <v>1.0576</v>
      </c>
      <c r="D79" s="116" t="s">
        <v>39</v>
      </c>
      <c r="E79" s="117"/>
    </row>
    <row r="80" spans="1:5" s="116" customFormat="1" ht="25.5">
      <c r="A80" s="250" t="s">
        <v>169</v>
      </c>
      <c r="B80" s="251">
        <f>'Crystal Ball Sensitivity'!B22</f>
        <v>0.64</v>
      </c>
      <c r="E80" s="117"/>
    </row>
    <row r="81" spans="1:5" s="116" customFormat="1" ht="12.75">
      <c r="A81" s="45"/>
      <c r="B81" s="134"/>
      <c r="E81" s="117"/>
    </row>
    <row r="82" spans="1:2" s="110" customFormat="1" ht="12.75">
      <c r="A82" s="110" t="s">
        <v>79</v>
      </c>
      <c r="B82" s="133">
        <f>B43*B58*B59*B66</f>
        <v>54344674.8678725</v>
      </c>
    </row>
    <row r="83" spans="1:2" s="110" customFormat="1" ht="12.75">
      <c r="A83" s="110" t="s">
        <v>80</v>
      </c>
      <c r="B83" s="133">
        <f>(B46*B58*B59*B66*B64)+B82*(1-B23)</f>
        <v>70631757.10079716</v>
      </c>
    </row>
    <row r="84" s="110" customFormat="1" ht="12.75">
      <c r="B84" s="77"/>
    </row>
    <row r="85" spans="1:5" s="110" customFormat="1" ht="12.75">
      <c r="A85" s="110" t="s">
        <v>81</v>
      </c>
      <c r="B85" s="98">
        <f>B78*B77</f>
        <v>46484056.52037365</v>
      </c>
      <c r="E85" s="110" t="s">
        <v>8</v>
      </c>
    </row>
    <row r="86" spans="1:2" s="110" customFormat="1" ht="12.75">
      <c r="A86" s="110" t="s">
        <v>82</v>
      </c>
      <c r="B86" s="133">
        <f>(B85*B79*$B$64)+B85*(1-$B$64)</f>
        <v>48426444.528137684</v>
      </c>
    </row>
    <row r="87" s="112" customFormat="1" ht="12.75">
      <c r="B87" s="135"/>
    </row>
    <row r="88" spans="1:6" s="110" customFormat="1" ht="13.5" thickBot="1">
      <c r="A88" s="136"/>
      <c r="B88" s="137"/>
      <c r="C88" s="136"/>
      <c r="D88" s="136"/>
      <c r="E88" s="136"/>
      <c r="F88" s="136"/>
    </row>
    <row r="89" spans="1:2" s="110" customFormat="1" ht="13.5" thickTop="1">
      <c r="A89" s="110" t="s">
        <v>84</v>
      </c>
      <c r="B89" s="77"/>
    </row>
    <row r="90" spans="1:2" s="110" customFormat="1" ht="12.75">
      <c r="A90" s="110" t="s">
        <v>85</v>
      </c>
      <c r="B90" s="219">
        <f>B5*B6*5.1</f>
        <v>704364.149979665</v>
      </c>
    </row>
    <row r="91" spans="1:2" s="110" customFormat="1" ht="12.75">
      <c r="A91" s="110" t="s">
        <v>86</v>
      </c>
      <c r="B91" s="220">
        <f>B77*4.3</f>
        <v>40248.23729528242</v>
      </c>
    </row>
    <row r="92" s="110" customFormat="1" ht="12.75">
      <c r="B92" s="219">
        <f>B91+B90</f>
        <v>744612.3872749474</v>
      </c>
    </row>
    <row r="93" spans="1:22" s="35" customFormat="1" ht="12.75">
      <c r="A93" s="34"/>
      <c r="B93" s="36"/>
      <c r="C93" s="36"/>
      <c r="D93" s="36"/>
      <c r="E93" s="36"/>
      <c r="F93" s="36"/>
      <c r="G93" s="36"/>
      <c r="H93" s="36"/>
      <c r="I93" s="36"/>
      <c r="J93" s="36"/>
      <c r="K93" s="36"/>
      <c r="L93" s="36"/>
      <c r="M93" s="36"/>
      <c r="N93" s="36"/>
      <c r="O93" s="36"/>
      <c r="P93" s="36"/>
      <c r="Q93" s="36"/>
      <c r="R93" s="36"/>
      <c r="S93" s="36"/>
      <c r="T93" s="36"/>
      <c r="U93" s="36"/>
      <c r="V93" s="36"/>
    </row>
    <row r="94" spans="1:22" s="32" customFormat="1" ht="24.75" customHeight="1" thickBot="1">
      <c r="A94" s="30" t="s">
        <v>111</v>
      </c>
      <c r="B94" s="31" t="s">
        <v>3</v>
      </c>
      <c r="C94" s="31">
        <v>1</v>
      </c>
      <c r="D94" s="31">
        <f aca="true" t="shared" si="0" ref="D94:V94">C94+1</f>
        <v>2</v>
      </c>
      <c r="E94" s="31">
        <f t="shared" si="0"/>
        <v>3</v>
      </c>
      <c r="F94" s="31">
        <f t="shared" si="0"/>
        <v>4</v>
      </c>
      <c r="G94" s="31">
        <f t="shared" si="0"/>
        <v>5</v>
      </c>
      <c r="H94" s="31">
        <f t="shared" si="0"/>
        <v>6</v>
      </c>
      <c r="I94" s="31">
        <f t="shared" si="0"/>
        <v>7</v>
      </c>
      <c r="J94" s="31">
        <f t="shared" si="0"/>
        <v>8</v>
      </c>
      <c r="K94" s="31">
        <f t="shared" si="0"/>
        <v>9</v>
      </c>
      <c r="L94" s="31">
        <f t="shared" si="0"/>
        <v>10</v>
      </c>
      <c r="M94" s="31">
        <f t="shared" si="0"/>
        <v>11</v>
      </c>
      <c r="N94" s="31">
        <f t="shared" si="0"/>
        <v>12</v>
      </c>
      <c r="O94" s="31">
        <f t="shared" si="0"/>
        <v>13</v>
      </c>
      <c r="P94" s="31">
        <f t="shared" si="0"/>
        <v>14</v>
      </c>
      <c r="Q94" s="31">
        <f t="shared" si="0"/>
        <v>15</v>
      </c>
      <c r="R94" s="31">
        <f t="shared" si="0"/>
        <v>16</v>
      </c>
      <c r="S94" s="31">
        <f t="shared" si="0"/>
        <v>17</v>
      </c>
      <c r="T94" s="31">
        <f t="shared" si="0"/>
        <v>18</v>
      </c>
      <c r="U94" s="31">
        <f t="shared" si="0"/>
        <v>19</v>
      </c>
      <c r="V94" s="31">
        <f t="shared" si="0"/>
        <v>20</v>
      </c>
    </row>
    <row r="95" spans="1:22" s="88" customFormat="1" ht="12.75">
      <c r="A95" s="111"/>
      <c r="B95" s="178"/>
      <c r="C95" s="88">
        <v>2009</v>
      </c>
      <c r="D95" s="88">
        <f aca="true" t="shared" si="1" ref="D95:V95">C95+1</f>
        <v>2010</v>
      </c>
      <c r="E95" s="88">
        <f t="shared" si="1"/>
        <v>2011</v>
      </c>
      <c r="F95" s="88">
        <f t="shared" si="1"/>
        <v>2012</v>
      </c>
      <c r="G95" s="88">
        <f t="shared" si="1"/>
        <v>2013</v>
      </c>
      <c r="H95" s="88">
        <f t="shared" si="1"/>
        <v>2014</v>
      </c>
      <c r="I95" s="88">
        <f t="shared" si="1"/>
        <v>2015</v>
      </c>
      <c r="J95" s="88">
        <f t="shared" si="1"/>
        <v>2016</v>
      </c>
      <c r="K95" s="88">
        <f t="shared" si="1"/>
        <v>2017</v>
      </c>
      <c r="L95" s="88">
        <f t="shared" si="1"/>
        <v>2018</v>
      </c>
      <c r="M95" s="88">
        <f t="shared" si="1"/>
        <v>2019</v>
      </c>
      <c r="N95" s="88">
        <f t="shared" si="1"/>
        <v>2020</v>
      </c>
      <c r="O95" s="88">
        <f t="shared" si="1"/>
        <v>2021</v>
      </c>
      <c r="P95" s="88">
        <f t="shared" si="1"/>
        <v>2022</v>
      </c>
      <c r="Q95" s="88">
        <f t="shared" si="1"/>
        <v>2023</v>
      </c>
      <c r="R95" s="88">
        <f t="shared" si="1"/>
        <v>2024</v>
      </c>
      <c r="S95" s="88">
        <f t="shared" si="1"/>
        <v>2025</v>
      </c>
      <c r="T95" s="88">
        <f t="shared" si="1"/>
        <v>2026</v>
      </c>
      <c r="U95" s="88">
        <f t="shared" si="1"/>
        <v>2027</v>
      </c>
      <c r="V95" s="88">
        <f t="shared" si="1"/>
        <v>2028</v>
      </c>
    </row>
    <row r="96" s="181" customFormat="1" ht="12.75">
      <c r="A96" s="180" t="s">
        <v>113</v>
      </c>
    </row>
    <row r="97" spans="1:22" s="194" customFormat="1" ht="12.75">
      <c r="A97" s="113" t="s">
        <v>121</v>
      </c>
      <c r="B97" s="193"/>
      <c r="C97" s="193">
        <v>0</v>
      </c>
      <c r="D97" s="193">
        <v>0</v>
      </c>
      <c r="E97" s="193">
        <v>0</v>
      </c>
      <c r="F97" s="193">
        <v>0</v>
      </c>
      <c r="G97" s="193">
        <v>0</v>
      </c>
      <c r="H97" s="193">
        <f>($B$53-$B$49)</f>
        <v>253649331.06909227</v>
      </c>
      <c r="I97" s="193">
        <f>($B$53-$B$49)</f>
        <v>253649331.06909227</v>
      </c>
      <c r="J97" s="193">
        <f aca="true" t="shared" si="2" ref="J97:V97">($B$53-$B$49)</f>
        <v>253649331.06909227</v>
      </c>
      <c r="K97" s="193">
        <f t="shared" si="2"/>
        <v>253649331.06909227</v>
      </c>
      <c r="L97" s="193">
        <f t="shared" si="2"/>
        <v>253649331.06909227</v>
      </c>
      <c r="M97" s="193">
        <f t="shared" si="2"/>
        <v>253649331.06909227</v>
      </c>
      <c r="N97" s="193">
        <f t="shared" si="2"/>
        <v>253649331.06909227</v>
      </c>
      <c r="O97" s="193">
        <f t="shared" si="2"/>
        <v>253649331.06909227</v>
      </c>
      <c r="P97" s="193">
        <f t="shared" si="2"/>
        <v>253649331.06909227</v>
      </c>
      <c r="Q97" s="193">
        <f t="shared" si="2"/>
        <v>253649331.06909227</v>
      </c>
      <c r="R97" s="193">
        <f t="shared" si="2"/>
        <v>253649331.06909227</v>
      </c>
      <c r="S97" s="193">
        <f t="shared" si="2"/>
        <v>253649331.06909227</v>
      </c>
      <c r="T97" s="193">
        <f t="shared" si="2"/>
        <v>253649331.06909227</v>
      </c>
      <c r="U97" s="193">
        <f t="shared" si="2"/>
        <v>253649331.06909227</v>
      </c>
      <c r="V97" s="193">
        <f t="shared" si="2"/>
        <v>253649331.06909227</v>
      </c>
    </row>
    <row r="98" spans="1:22" s="194" customFormat="1" ht="12.75">
      <c r="A98" s="113" t="s">
        <v>122</v>
      </c>
      <c r="B98" s="193"/>
      <c r="C98" s="193">
        <v>0</v>
      </c>
      <c r="D98" s="193">
        <v>0</v>
      </c>
      <c r="E98" s="193">
        <v>0</v>
      </c>
      <c r="F98" s="193">
        <v>0</v>
      </c>
      <c r="G98" s="193">
        <v>0</v>
      </c>
      <c r="H98" s="193">
        <f>($B$54-$B$50)</f>
        <v>548013.8079335708</v>
      </c>
      <c r="I98" s="193">
        <f>($B$54-$B$50)</f>
        <v>548013.8079335708</v>
      </c>
      <c r="J98" s="193">
        <f>($B$54-$B$50)</f>
        <v>548013.8079335708</v>
      </c>
      <c r="K98" s="193">
        <f aca="true" t="shared" si="3" ref="K98:V98">($B$54-$B$50)</f>
        <v>548013.8079335708</v>
      </c>
      <c r="L98" s="193">
        <f t="shared" si="3"/>
        <v>548013.8079335708</v>
      </c>
      <c r="M98" s="193">
        <f t="shared" si="3"/>
        <v>548013.8079335708</v>
      </c>
      <c r="N98" s="193">
        <f t="shared" si="3"/>
        <v>548013.8079335708</v>
      </c>
      <c r="O98" s="193">
        <f t="shared" si="3"/>
        <v>548013.8079335708</v>
      </c>
      <c r="P98" s="193">
        <f t="shared" si="3"/>
        <v>548013.8079335708</v>
      </c>
      <c r="Q98" s="193">
        <f t="shared" si="3"/>
        <v>548013.8079335708</v>
      </c>
      <c r="R98" s="193">
        <f t="shared" si="3"/>
        <v>548013.8079335708</v>
      </c>
      <c r="S98" s="193">
        <f t="shared" si="3"/>
        <v>548013.8079335708</v>
      </c>
      <c r="T98" s="193">
        <f t="shared" si="3"/>
        <v>548013.8079335708</v>
      </c>
      <c r="U98" s="193">
        <f t="shared" si="3"/>
        <v>548013.8079335708</v>
      </c>
      <c r="V98" s="193">
        <f t="shared" si="3"/>
        <v>548013.8079335708</v>
      </c>
    </row>
    <row r="99" spans="1:22" s="194" customFormat="1" ht="12.75">
      <c r="A99" s="113" t="s">
        <v>123</v>
      </c>
      <c r="B99" s="193"/>
      <c r="C99" s="193">
        <v>0</v>
      </c>
      <c r="D99" s="193">
        <v>0</v>
      </c>
      <c r="E99" s="193">
        <v>0</v>
      </c>
      <c r="F99" s="193">
        <v>0</v>
      </c>
      <c r="G99" s="193">
        <v>0</v>
      </c>
      <c r="H99" s="193">
        <f>($B$55-$B$51)</f>
        <v>49602759.046658844</v>
      </c>
      <c r="I99" s="193">
        <f>($B$55-$B$51)</f>
        <v>49602759.046658844</v>
      </c>
      <c r="J99" s="193">
        <f aca="true" t="shared" si="4" ref="J99:V99">($B$55-$B$51)</f>
        <v>49602759.046658844</v>
      </c>
      <c r="K99" s="193">
        <f t="shared" si="4"/>
        <v>49602759.046658844</v>
      </c>
      <c r="L99" s="193">
        <f t="shared" si="4"/>
        <v>49602759.046658844</v>
      </c>
      <c r="M99" s="193">
        <f t="shared" si="4"/>
        <v>49602759.046658844</v>
      </c>
      <c r="N99" s="193">
        <f t="shared" si="4"/>
        <v>49602759.046658844</v>
      </c>
      <c r="O99" s="193">
        <f t="shared" si="4"/>
        <v>49602759.046658844</v>
      </c>
      <c r="P99" s="193">
        <f t="shared" si="4"/>
        <v>49602759.046658844</v>
      </c>
      <c r="Q99" s="193">
        <f t="shared" si="4"/>
        <v>49602759.046658844</v>
      </c>
      <c r="R99" s="193">
        <f t="shared" si="4"/>
        <v>49602759.046658844</v>
      </c>
      <c r="S99" s="193">
        <f t="shared" si="4"/>
        <v>49602759.046658844</v>
      </c>
      <c r="T99" s="193">
        <f t="shared" si="4"/>
        <v>49602759.046658844</v>
      </c>
      <c r="U99" s="193">
        <f t="shared" si="4"/>
        <v>49602759.046658844</v>
      </c>
      <c r="V99" s="193">
        <f t="shared" si="4"/>
        <v>49602759.046658844</v>
      </c>
    </row>
    <row r="100" spans="1:22" s="194" customFormat="1" ht="12.75">
      <c r="A100" s="113" t="s">
        <v>124</v>
      </c>
      <c r="B100" s="193"/>
      <c r="C100" s="193">
        <f>SUM(C97:C99)</f>
        <v>0</v>
      </c>
      <c r="D100" s="193">
        <f aca="true" t="shared" si="5" ref="D100:V100">SUM(D97:D99)</f>
        <v>0</v>
      </c>
      <c r="E100" s="193">
        <v>0</v>
      </c>
      <c r="F100" s="193">
        <v>0</v>
      </c>
      <c r="G100" s="193">
        <v>0</v>
      </c>
      <c r="H100" s="193">
        <f t="shared" si="5"/>
        <v>303800103.9236847</v>
      </c>
      <c r="I100" s="193">
        <f t="shared" si="5"/>
        <v>303800103.9236847</v>
      </c>
      <c r="J100" s="193">
        <f t="shared" si="5"/>
        <v>303800103.9236847</v>
      </c>
      <c r="K100" s="193">
        <f t="shared" si="5"/>
        <v>303800103.9236847</v>
      </c>
      <c r="L100" s="193">
        <f t="shared" si="5"/>
        <v>303800103.9236847</v>
      </c>
      <c r="M100" s="193">
        <f t="shared" si="5"/>
        <v>303800103.9236847</v>
      </c>
      <c r="N100" s="193">
        <f t="shared" si="5"/>
        <v>303800103.9236847</v>
      </c>
      <c r="O100" s="193">
        <f t="shared" si="5"/>
        <v>303800103.9236847</v>
      </c>
      <c r="P100" s="193">
        <f t="shared" si="5"/>
        <v>303800103.9236847</v>
      </c>
      <c r="Q100" s="193">
        <f t="shared" si="5"/>
        <v>303800103.9236847</v>
      </c>
      <c r="R100" s="193">
        <f t="shared" si="5"/>
        <v>303800103.9236847</v>
      </c>
      <c r="S100" s="193">
        <f t="shared" si="5"/>
        <v>303800103.9236847</v>
      </c>
      <c r="T100" s="193">
        <f t="shared" si="5"/>
        <v>303800103.9236847</v>
      </c>
      <c r="U100" s="193">
        <f t="shared" si="5"/>
        <v>303800103.9236847</v>
      </c>
      <c r="V100" s="193">
        <f t="shared" si="5"/>
        <v>303800103.9236847</v>
      </c>
    </row>
    <row r="101" spans="1:22" s="32" customFormat="1" ht="12.75">
      <c r="A101" s="12"/>
      <c r="B101" s="11"/>
      <c r="C101" s="11"/>
      <c r="D101" s="11"/>
      <c r="E101" s="11"/>
      <c r="F101" s="11"/>
      <c r="G101" s="11"/>
      <c r="H101" s="11"/>
      <c r="I101" s="11"/>
      <c r="J101" s="11"/>
      <c r="K101" s="11"/>
      <c r="L101" s="11"/>
      <c r="M101" s="11"/>
      <c r="N101" s="11"/>
      <c r="O101" s="11"/>
      <c r="P101" s="11"/>
      <c r="Q101" s="11"/>
      <c r="R101" s="11"/>
      <c r="S101" s="11"/>
      <c r="T101" s="11"/>
      <c r="U101" s="11"/>
      <c r="V101" s="11"/>
    </row>
    <row r="102" spans="1:25" s="88" customFormat="1" ht="12.75">
      <c r="A102" s="111" t="s">
        <v>112</v>
      </c>
      <c r="B102" s="178"/>
      <c r="Y102" s="88" t="s">
        <v>8</v>
      </c>
    </row>
    <row r="103" spans="1:22" s="90" customFormat="1" ht="12.75">
      <c r="A103" s="113" t="s">
        <v>125</v>
      </c>
      <c r="B103" s="98"/>
      <c r="C103" s="90">
        <v>0</v>
      </c>
      <c r="D103" s="90">
        <v>0</v>
      </c>
      <c r="E103" s="90">
        <v>0</v>
      </c>
      <c r="F103" s="90">
        <v>0</v>
      </c>
      <c r="G103" s="90">
        <v>0</v>
      </c>
      <c r="H103" s="90">
        <f>($B$83-$B$82)</f>
        <v>16287082.232924663</v>
      </c>
      <c r="I103" s="90">
        <f aca="true" t="shared" si="6" ref="I103:V103">($B$83-$B$82)</f>
        <v>16287082.232924663</v>
      </c>
      <c r="J103" s="90">
        <f t="shared" si="6"/>
        <v>16287082.232924663</v>
      </c>
      <c r="K103" s="90">
        <f t="shared" si="6"/>
        <v>16287082.232924663</v>
      </c>
      <c r="L103" s="90">
        <f t="shared" si="6"/>
        <v>16287082.232924663</v>
      </c>
      <c r="M103" s="90">
        <f t="shared" si="6"/>
        <v>16287082.232924663</v>
      </c>
      <c r="N103" s="90">
        <f t="shared" si="6"/>
        <v>16287082.232924663</v>
      </c>
      <c r="O103" s="90">
        <f t="shared" si="6"/>
        <v>16287082.232924663</v>
      </c>
      <c r="P103" s="90">
        <f t="shared" si="6"/>
        <v>16287082.232924663</v>
      </c>
      <c r="Q103" s="90">
        <f t="shared" si="6"/>
        <v>16287082.232924663</v>
      </c>
      <c r="R103" s="90">
        <f t="shared" si="6"/>
        <v>16287082.232924663</v>
      </c>
      <c r="S103" s="90">
        <f t="shared" si="6"/>
        <v>16287082.232924663</v>
      </c>
      <c r="T103" s="90">
        <f t="shared" si="6"/>
        <v>16287082.232924663</v>
      </c>
      <c r="U103" s="90">
        <f t="shared" si="6"/>
        <v>16287082.232924663</v>
      </c>
      <c r="V103" s="90">
        <f t="shared" si="6"/>
        <v>16287082.232924663</v>
      </c>
    </row>
    <row r="104" spans="1:22" s="90" customFormat="1" ht="12.75">
      <c r="A104" s="113" t="s">
        <v>126</v>
      </c>
      <c r="B104" s="98"/>
      <c r="C104" s="90">
        <v>0</v>
      </c>
      <c r="D104" s="90">
        <v>0</v>
      </c>
      <c r="E104" s="90">
        <v>0</v>
      </c>
      <c r="F104" s="90">
        <v>0</v>
      </c>
      <c r="G104" s="90">
        <v>0</v>
      </c>
      <c r="H104" s="90">
        <f>($B$86-$B$85)</f>
        <v>1942388.007764034</v>
      </c>
      <c r="I104" s="90">
        <f aca="true" t="shared" si="7" ref="I104:V104">($B$86-$B$85)</f>
        <v>1942388.007764034</v>
      </c>
      <c r="J104" s="90">
        <f t="shared" si="7"/>
        <v>1942388.007764034</v>
      </c>
      <c r="K104" s="90">
        <f t="shared" si="7"/>
        <v>1942388.007764034</v>
      </c>
      <c r="L104" s="90">
        <f t="shared" si="7"/>
        <v>1942388.007764034</v>
      </c>
      <c r="M104" s="90">
        <f t="shared" si="7"/>
        <v>1942388.007764034</v>
      </c>
      <c r="N104" s="90">
        <f t="shared" si="7"/>
        <v>1942388.007764034</v>
      </c>
      <c r="O104" s="90">
        <f t="shared" si="7"/>
        <v>1942388.007764034</v>
      </c>
      <c r="P104" s="90">
        <f t="shared" si="7"/>
        <v>1942388.007764034</v>
      </c>
      <c r="Q104" s="90">
        <f t="shared" si="7"/>
        <v>1942388.007764034</v>
      </c>
      <c r="R104" s="90">
        <f t="shared" si="7"/>
        <v>1942388.007764034</v>
      </c>
      <c r="S104" s="90">
        <f t="shared" si="7"/>
        <v>1942388.007764034</v>
      </c>
      <c r="T104" s="90">
        <f t="shared" si="7"/>
        <v>1942388.007764034</v>
      </c>
      <c r="U104" s="90">
        <f t="shared" si="7"/>
        <v>1942388.007764034</v>
      </c>
      <c r="V104" s="90">
        <f t="shared" si="7"/>
        <v>1942388.007764034</v>
      </c>
    </row>
    <row r="105" spans="1:22" s="90" customFormat="1" ht="12.75">
      <c r="A105" s="113" t="s">
        <v>83</v>
      </c>
      <c r="B105" s="98"/>
      <c r="C105" s="90">
        <v>0</v>
      </c>
      <c r="D105" s="90">
        <v>0</v>
      </c>
      <c r="E105" s="90">
        <v>0</v>
      </c>
      <c r="F105" s="90">
        <v>0</v>
      </c>
      <c r="G105" s="90">
        <v>0</v>
      </c>
      <c r="H105" s="90">
        <f aca="true" t="shared" si="8" ref="H105:V105">H103+H104</f>
        <v>18229470.240688697</v>
      </c>
      <c r="I105" s="90">
        <f t="shared" si="8"/>
        <v>18229470.240688697</v>
      </c>
      <c r="J105" s="90">
        <f t="shared" si="8"/>
        <v>18229470.240688697</v>
      </c>
      <c r="K105" s="90">
        <f t="shared" si="8"/>
        <v>18229470.240688697</v>
      </c>
      <c r="L105" s="90">
        <f t="shared" si="8"/>
        <v>18229470.240688697</v>
      </c>
      <c r="M105" s="90">
        <f t="shared" si="8"/>
        <v>18229470.240688697</v>
      </c>
      <c r="N105" s="90">
        <f t="shared" si="8"/>
        <v>18229470.240688697</v>
      </c>
      <c r="O105" s="90">
        <f t="shared" si="8"/>
        <v>18229470.240688697</v>
      </c>
      <c r="P105" s="90">
        <f t="shared" si="8"/>
        <v>18229470.240688697</v>
      </c>
      <c r="Q105" s="90">
        <f t="shared" si="8"/>
        <v>18229470.240688697</v>
      </c>
      <c r="R105" s="90">
        <f t="shared" si="8"/>
        <v>18229470.240688697</v>
      </c>
      <c r="S105" s="90">
        <f t="shared" si="8"/>
        <v>18229470.240688697</v>
      </c>
      <c r="T105" s="90">
        <f t="shared" si="8"/>
        <v>18229470.240688697</v>
      </c>
      <c r="U105" s="90">
        <f t="shared" si="8"/>
        <v>18229470.240688697</v>
      </c>
      <c r="V105" s="90">
        <f t="shared" si="8"/>
        <v>18229470.240688697</v>
      </c>
    </row>
    <row r="106" spans="1:22" ht="13.5" customHeight="1">
      <c r="A106" s="110"/>
      <c r="C106" s="179"/>
      <c r="D106" s="179"/>
      <c r="E106" s="179"/>
      <c r="F106" s="179"/>
      <c r="G106" s="179"/>
      <c r="H106" s="179"/>
      <c r="I106" s="179"/>
      <c r="J106" s="179"/>
      <c r="K106" s="179"/>
      <c r="L106" s="179"/>
      <c r="M106" s="179"/>
      <c r="N106" s="179"/>
      <c r="O106" s="179"/>
      <c r="P106" s="179"/>
      <c r="Q106" s="179"/>
      <c r="R106" s="179"/>
      <c r="S106" s="179"/>
      <c r="T106" s="179"/>
      <c r="U106" s="179"/>
      <c r="V106" s="179"/>
    </row>
    <row r="107" spans="1:22" s="90" customFormat="1" ht="12.75">
      <c r="A107" s="113" t="s">
        <v>114</v>
      </c>
      <c r="B107" s="98"/>
      <c r="C107" s="90">
        <f>C105+C100</f>
        <v>0</v>
      </c>
      <c r="H107" s="90">
        <f>H100+H105</f>
        <v>322029574.1643734</v>
      </c>
      <c r="I107" s="90">
        <f aca="true" t="shared" si="9" ref="I107:V107">I100+I105</f>
        <v>322029574.1643734</v>
      </c>
      <c r="J107" s="90">
        <f t="shared" si="9"/>
        <v>322029574.1643734</v>
      </c>
      <c r="K107" s="90">
        <f t="shared" si="9"/>
        <v>322029574.1643734</v>
      </c>
      <c r="L107" s="90">
        <f t="shared" si="9"/>
        <v>322029574.1643734</v>
      </c>
      <c r="M107" s="90">
        <f t="shared" si="9"/>
        <v>322029574.1643734</v>
      </c>
      <c r="N107" s="90">
        <f t="shared" si="9"/>
        <v>322029574.1643734</v>
      </c>
      <c r="O107" s="90">
        <f t="shared" si="9"/>
        <v>322029574.1643734</v>
      </c>
      <c r="P107" s="90">
        <f t="shared" si="9"/>
        <v>322029574.1643734</v>
      </c>
      <c r="Q107" s="90">
        <f t="shared" si="9"/>
        <v>322029574.1643734</v>
      </c>
      <c r="R107" s="90">
        <f t="shared" si="9"/>
        <v>322029574.1643734</v>
      </c>
      <c r="S107" s="90">
        <f t="shared" si="9"/>
        <v>322029574.1643734</v>
      </c>
      <c r="T107" s="90">
        <f t="shared" si="9"/>
        <v>322029574.1643734</v>
      </c>
      <c r="U107" s="90">
        <f t="shared" si="9"/>
        <v>322029574.1643734</v>
      </c>
      <c r="V107" s="90">
        <f t="shared" si="9"/>
        <v>322029574.1643734</v>
      </c>
    </row>
    <row r="108" spans="1:22" ht="13.5" customHeight="1">
      <c r="A108" s="110"/>
      <c r="C108" s="179"/>
      <c r="D108" s="179"/>
      <c r="E108" s="179"/>
      <c r="F108" s="179"/>
      <c r="G108" s="179"/>
      <c r="H108" s="179"/>
      <c r="I108" s="179"/>
      <c r="J108" s="179"/>
      <c r="K108" s="179"/>
      <c r="L108" s="179"/>
      <c r="M108" s="179"/>
      <c r="N108" s="179"/>
      <c r="O108" s="179"/>
      <c r="P108" s="179"/>
      <c r="Q108" s="179"/>
      <c r="R108" s="179"/>
      <c r="S108" s="179"/>
      <c r="T108" s="179"/>
      <c r="U108" s="179"/>
      <c r="V108" s="179"/>
    </row>
    <row r="110" spans="1:22" s="177" customFormat="1" ht="12">
      <c r="A110" s="174"/>
      <c r="B110" s="174"/>
      <c r="C110" s="175"/>
      <c r="D110" s="176"/>
      <c r="E110" s="176"/>
      <c r="F110" s="176"/>
      <c r="G110" s="176"/>
      <c r="H110" s="176"/>
      <c r="I110" s="176"/>
      <c r="J110" s="176"/>
      <c r="K110" s="176"/>
      <c r="L110" s="176"/>
      <c r="M110" s="176"/>
      <c r="N110" s="176"/>
      <c r="O110" s="176"/>
      <c r="P110" s="176"/>
      <c r="Q110" s="176"/>
      <c r="R110" s="176"/>
      <c r="S110" s="176"/>
      <c r="T110" s="176"/>
      <c r="U110" s="176"/>
      <c r="V110" s="176"/>
    </row>
    <row r="111" ht="12.75">
      <c r="G111" s="76" t="s">
        <v>8</v>
      </c>
    </row>
    <row r="112" ht="12.75">
      <c r="D112" s="76" t="s">
        <v>8</v>
      </c>
    </row>
    <row r="118" spans="1:12" ht="12.75">
      <c r="A118" s="487"/>
      <c r="B118" s="487"/>
      <c r="C118" s="487"/>
      <c r="D118" s="487"/>
      <c r="E118" s="487"/>
      <c r="F118" s="488"/>
      <c r="G118" s="487"/>
      <c r="H118" s="487"/>
      <c r="I118" s="487"/>
      <c r="J118" s="487"/>
      <c r="K118" s="487"/>
      <c r="L118" s="489"/>
    </row>
    <row r="119" spans="1:12" ht="12.75">
      <c r="A119" s="3" t="s">
        <v>159</v>
      </c>
      <c r="B119" s="490"/>
      <c r="C119" s="490"/>
      <c r="D119" s="490"/>
      <c r="E119" s="490"/>
      <c r="F119" s="490"/>
      <c r="G119" s="490"/>
      <c r="H119" s="490"/>
      <c r="I119" s="490"/>
      <c r="J119" s="490"/>
      <c r="K119" s="490"/>
      <c r="L119" s="491"/>
    </row>
    <row r="120" spans="1:13" ht="25.5">
      <c r="A120" s="490"/>
      <c r="B120" s="492" t="s">
        <v>162</v>
      </c>
      <c r="C120" s="492" t="s">
        <v>163</v>
      </c>
      <c r="D120" s="490"/>
      <c r="E120" s="493" t="s">
        <v>177</v>
      </c>
      <c r="F120" s="493" t="s">
        <v>179</v>
      </c>
      <c r="G120" s="493" t="s">
        <v>180</v>
      </c>
      <c r="H120" s="490"/>
      <c r="I120" s="490"/>
      <c r="J120" s="490" t="s">
        <v>160</v>
      </c>
      <c r="K120" s="490"/>
      <c r="L120" s="494">
        <f>D121*B121+D123*B123+D124*B124</f>
        <v>5107.335877862595</v>
      </c>
      <c r="M120" s="76"/>
    </row>
    <row r="121" spans="1:13" ht="12.75">
      <c r="A121" s="490" t="s">
        <v>19</v>
      </c>
      <c r="B121" s="490">
        <v>7379</v>
      </c>
      <c r="C121" s="490">
        <f>'Input Community'!H7</f>
        <v>82</v>
      </c>
      <c r="D121" s="495">
        <f>C121/$C$125</f>
        <v>0.31297709923664124</v>
      </c>
      <c r="E121" s="496">
        <v>0</v>
      </c>
      <c r="F121" s="490">
        <f>3827+600</f>
        <v>4427</v>
      </c>
      <c r="G121" s="490">
        <f>F121+E121</f>
        <v>4427</v>
      </c>
      <c r="H121" s="495">
        <f>G121/$G$125</f>
        <v>0.22491490118376264</v>
      </c>
      <c r="I121" s="490"/>
      <c r="J121" s="490" t="s">
        <v>161</v>
      </c>
      <c r="K121" s="490"/>
      <c r="L121" s="494">
        <f>B121*H121+B122*H122+B123*H123+B124*H124</f>
        <v>4966.216074785348</v>
      </c>
      <c r="M121" s="76"/>
    </row>
    <row r="122" spans="1:12" ht="12.75">
      <c r="A122" s="490" t="s">
        <v>158</v>
      </c>
      <c r="B122" s="490">
        <v>3332</v>
      </c>
      <c r="C122" s="490"/>
      <c r="D122" s="495">
        <f>C122/$C$125</f>
        <v>0</v>
      </c>
      <c r="E122" s="490">
        <v>5413</v>
      </c>
      <c r="F122" s="496">
        <v>0</v>
      </c>
      <c r="G122" s="490">
        <f>F122+E122</f>
        <v>5413</v>
      </c>
      <c r="H122" s="495">
        <f>G122/$G$125</f>
        <v>0.2750088909210994</v>
      </c>
      <c r="I122" s="490"/>
      <c r="J122" s="490"/>
      <c r="K122" s="490"/>
      <c r="L122" s="491"/>
    </row>
    <row r="123" spans="1:12" ht="12.75">
      <c r="A123" s="490" t="s">
        <v>20</v>
      </c>
      <c r="B123" s="490">
        <v>3276</v>
      </c>
      <c r="C123" s="490">
        <f>'Input Community'!H6</f>
        <v>102</v>
      </c>
      <c r="D123" s="495">
        <f>C123/$C$125</f>
        <v>0.3893129770992366</v>
      </c>
      <c r="E123" s="490">
        <v>1790</v>
      </c>
      <c r="F123" s="496">
        <v>0</v>
      </c>
      <c r="G123" s="490">
        <f>F123+E123</f>
        <v>1790</v>
      </c>
      <c r="H123" s="495">
        <f>G123/$G$125</f>
        <v>0.09094142153127063</v>
      </c>
      <c r="I123" s="490"/>
      <c r="J123" s="490"/>
      <c r="K123" s="490"/>
      <c r="L123" s="491"/>
    </row>
    <row r="124" spans="1:12" ht="12.75">
      <c r="A124" s="490" t="s">
        <v>21</v>
      </c>
      <c r="B124" s="203">
        <v>5114</v>
      </c>
      <c r="C124" s="203">
        <f>'Input Community'!H8</f>
        <v>78</v>
      </c>
      <c r="D124" s="495">
        <f>C124/$C$125</f>
        <v>0.29770992366412213</v>
      </c>
      <c r="E124" s="203">
        <v>2253</v>
      </c>
      <c r="F124" s="203">
        <f>4866+934</f>
        <v>5800</v>
      </c>
      <c r="G124" s="203">
        <f>F124+E124</f>
        <v>8053</v>
      </c>
      <c r="H124" s="254">
        <f>G124/$G$125</f>
        <v>0.4091347863638673</v>
      </c>
      <c r="I124" s="490"/>
      <c r="J124" s="490"/>
      <c r="K124" s="490"/>
      <c r="L124" s="491"/>
    </row>
    <row r="125" spans="1:12" ht="12.75">
      <c r="A125" s="490"/>
      <c r="B125" s="490"/>
      <c r="C125" s="490">
        <f>SUM(C121:C124)</f>
        <v>262</v>
      </c>
      <c r="D125" s="495">
        <f>C125/$C$125</f>
        <v>1</v>
      </c>
      <c r="E125" s="490">
        <f>SUM(E122:E124)</f>
        <v>9456</v>
      </c>
      <c r="F125" s="490">
        <f>SUM(F120:F124)</f>
        <v>10227</v>
      </c>
      <c r="G125" s="490">
        <f>F125+E125</f>
        <v>19683</v>
      </c>
      <c r="H125" s="495">
        <f>G125/$G$125</f>
        <v>1</v>
      </c>
      <c r="I125" s="490"/>
      <c r="J125" s="490"/>
      <c r="K125" s="5" t="s">
        <v>8</v>
      </c>
      <c r="L125" s="491"/>
    </row>
    <row r="126" spans="1:12" ht="12.75">
      <c r="A126" s="490"/>
      <c r="B126" s="490"/>
      <c r="C126" s="490"/>
      <c r="D126" s="490"/>
      <c r="E126" s="490"/>
      <c r="F126" s="490"/>
      <c r="G126" s="490"/>
      <c r="H126" s="490"/>
      <c r="I126" s="490"/>
      <c r="J126" s="490"/>
      <c r="K126" s="490"/>
      <c r="L126" s="491"/>
    </row>
    <row r="127" spans="1:12" ht="12.75">
      <c r="A127" s="490"/>
      <c r="B127" s="490"/>
      <c r="C127" s="490"/>
      <c r="D127" s="490"/>
      <c r="E127" s="490"/>
      <c r="F127" s="490"/>
      <c r="G127" s="490"/>
      <c r="H127" s="490"/>
      <c r="I127" s="490"/>
      <c r="J127" s="490"/>
      <c r="K127" s="490"/>
      <c r="L127" s="491"/>
    </row>
    <row r="128" spans="1:12" ht="12.75">
      <c r="A128" s="490"/>
      <c r="B128" s="490"/>
      <c r="C128" s="490"/>
      <c r="D128" s="497"/>
      <c r="E128" s="490"/>
      <c r="F128" s="490"/>
      <c r="G128" s="490"/>
      <c r="H128" s="490"/>
      <c r="I128" s="490"/>
      <c r="J128" s="490"/>
      <c r="K128" s="490"/>
      <c r="L128" s="491"/>
    </row>
    <row r="129" spans="1:12" ht="12.75">
      <c r="A129" s="498" t="s">
        <v>22</v>
      </c>
      <c r="B129" s="203">
        <v>2476</v>
      </c>
      <c r="C129" s="203">
        <v>2433</v>
      </c>
      <c r="D129" s="499">
        <f>(B129+C129)/2</f>
        <v>2454.5</v>
      </c>
      <c r="E129" s="203"/>
      <c r="F129" s="498" t="s">
        <v>41</v>
      </c>
      <c r="G129" s="203"/>
      <c r="H129" s="203"/>
      <c r="I129" s="203"/>
      <c r="J129" s="203"/>
      <c r="K129" s="203"/>
      <c r="L129" s="500"/>
    </row>
  </sheetData>
  <sheetProtection/>
  <mergeCells count="2">
    <mergeCell ref="A2:D2"/>
    <mergeCell ref="C24:I24"/>
  </mergeCells>
  <printOptions/>
  <pageMargins left="0.75" right="0.75" top="1" bottom="1" header="0.5" footer="0.5"/>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rgb="FFFFC000"/>
  </sheetPr>
  <dimension ref="A2:G31"/>
  <sheetViews>
    <sheetView zoomScalePageLayoutView="0" workbookViewId="0" topLeftCell="A1">
      <selection activeCell="E22" sqref="E22"/>
    </sheetView>
  </sheetViews>
  <sheetFormatPr defaultColWidth="9.140625" defaultRowHeight="12.75"/>
  <cols>
    <col min="2" max="2" width="23.28125" style="0" customWidth="1"/>
    <col min="3" max="3" width="13.28125" style="0" bestFit="1" customWidth="1"/>
    <col min="4" max="4" width="14.421875" style="0" customWidth="1"/>
    <col min="5" max="6" width="11.57421875" style="0" bestFit="1" customWidth="1"/>
    <col min="7" max="7" width="15.28125" style="0" bestFit="1" customWidth="1"/>
  </cols>
  <sheetData>
    <row r="2" spans="1:6" ht="20.25">
      <c r="A2" s="322" t="s">
        <v>226</v>
      </c>
      <c r="F2" s="320" t="str">
        <f>'User''s Guide'!$D$1</f>
        <v>Last updated: 10/07/2014</v>
      </c>
    </row>
    <row r="3" spans="4:5" ht="12.75">
      <c r="D3" t="s">
        <v>183</v>
      </c>
      <c r="E3" t="s">
        <v>184</v>
      </c>
    </row>
    <row r="4" spans="2:5" ht="12.75">
      <c r="B4" t="s">
        <v>206</v>
      </c>
      <c r="C4" s="272">
        <v>2881266.75</v>
      </c>
      <c r="D4" s="157">
        <f>C4</f>
        <v>2881266.75</v>
      </c>
      <c r="E4" s="157">
        <f>C4</f>
        <v>2881266.75</v>
      </c>
    </row>
    <row r="5" spans="2:5" ht="12.75">
      <c r="B5" t="s">
        <v>207</v>
      </c>
      <c r="C5" s="273">
        <f>D5-C4</f>
        <v>4198026.1899999995</v>
      </c>
      <c r="D5" s="268">
        <v>7079292.9399999995</v>
      </c>
      <c r="E5" s="157">
        <f>C5</f>
        <v>4198026.1899999995</v>
      </c>
    </row>
    <row r="6" spans="2:7" ht="15">
      <c r="B6" t="s">
        <v>185</v>
      </c>
      <c r="C6" s="257">
        <v>6890800.29</v>
      </c>
      <c r="D6" s="258">
        <f>D5+C6</f>
        <v>13970093.23</v>
      </c>
      <c r="E6" s="157">
        <f>C6</f>
        <v>6890800.29</v>
      </c>
      <c r="F6" s="157"/>
      <c r="G6" s="157"/>
    </row>
    <row r="7" spans="3:4" ht="12.75">
      <c r="C7" s="51"/>
      <c r="D7" s="157"/>
    </row>
    <row r="8" ht="12.75">
      <c r="B8" t="s">
        <v>186</v>
      </c>
    </row>
    <row r="9" spans="2:5" ht="15">
      <c r="B9" t="s">
        <v>187</v>
      </c>
      <c r="C9" s="257">
        <v>2179292.62</v>
      </c>
      <c r="D9" s="258">
        <f>C9+D6</f>
        <v>16149385.850000001</v>
      </c>
      <c r="E9" s="157" t="s">
        <v>8</v>
      </c>
    </row>
    <row r="10" spans="2:4" ht="15">
      <c r="B10" t="s">
        <v>188</v>
      </c>
      <c r="C10" s="257">
        <v>2821539.2099999995</v>
      </c>
      <c r="D10" s="259">
        <v>18970925.06</v>
      </c>
    </row>
    <row r="11" spans="2:4" ht="15">
      <c r="B11" t="s">
        <v>189</v>
      </c>
      <c r="C11" s="259">
        <v>2738974.98</v>
      </c>
      <c r="D11" s="260">
        <v>21709900.04</v>
      </c>
    </row>
    <row r="12" spans="2:7" ht="15">
      <c r="B12" t="s">
        <v>190</v>
      </c>
      <c r="C12" s="260">
        <v>2396886.3400000003</v>
      </c>
      <c r="D12" s="258">
        <f>D11+C12</f>
        <v>24106786.38</v>
      </c>
      <c r="E12" s="157">
        <f>SUM(C9:C12)</f>
        <v>10136693.15</v>
      </c>
      <c r="F12" s="157"/>
      <c r="G12" s="157"/>
    </row>
    <row r="14" spans="2:4" ht="15">
      <c r="B14" s="261" t="s">
        <v>191</v>
      </c>
      <c r="D14" s="157" t="s">
        <v>8</v>
      </c>
    </row>
    <row r="15" spans="2:7" ht="15">
      <c r="B15" t="s">
        <v>192</v>
      </c>
      <c r="C15" s="258">
        <f>D15-D12</f>
        <v>3684727.530000001</v>
      </c>
      <c r="D15" s="269">
        <v>27791513.91</v>
      </c>
      <c r="E15" s="157" t="s">
        <v>8</v>
      </c>
      <c r="G15" s="157"/>
    </row>
    <row r="16" spans="2:4" ht="15">
      <c r="B16" t="s">
        <v>193</v>
      </c>
      <c r="C16" s="262">
        <f>D16-D15</f>
        <v>3446414.66</v>
      </c>
      <c r="D16" s="263">
        <v>31237928.57</v>
      </c>
    </row>
    <row r="17" spans="2:4" ht="15">
      <c r="B17" t="s">
        <v>194</v>
      </c>
      <c r="C17" s="263">
        <v>4584894.987968892</v>
      </c>
      <c r="D17" s="258">
        <f>D16+C17</f>
        <v>35822823.55796889</v>
      </c>
    </row>
    <row r="18" spans="2:7" ht="15">
      <c r="B18" t="s">
        <v>195</v>
      </c>
      <c r="C18" s="263">
        <v>6684053.60919323</v>
      </c>
      <c r="D18" s="258">
        <f>D17+C18</f>
        <v>42506877.16716212</v>
      </c>
      <c r="E18" s="157">
        <f>SUM(C15:C18)</f>
        <v>18400090.787162125</v>
      </c>
      <c r="F18" s="157"/>
      <c r="G18" s="157"/>
    </row>
    <row r="19" spans="3:4" ht="12.75">
      <c r="C19" s="264"/>
      <c r="D19" s="157" t="s">
        <v>8</v>
      </c>
    </row>
    <row r="20" spans="2:5" ht="15">
      <c r="B20" t="s">
        <v>196</v>
      </c>
      <c r="C20" s="263">
        <v>206259.75</v>
      </c>
      <c r="D20" s="157">
        <f>D18+C20</f>
        <v>42713136.91716212</v>
      </c>
      <c r="E20" s="157">
        <f>C20</f>
        <v>206259.75</v>
      </c>
    </row>
    <row r="21" spans="2:5" ht="12.75">
      <c r="B21" t="s">
        <v>28</v>
      </c>
      <c r="E21" s="157" t="s">
        <v>8</v>
      </c>
    </row>
    <row r="22" spans="4:5" ht="12.75">
      <c r="D22" s="157"/>
      <c r="E22" s="157">
        <f>SUM(E5:E20)</f>
        <v>39831870.16716213</v>
      </c>
    </row>
    <row r="23" ht="12.75">
      <c r="D23" s="157" t="s">
        <v>8</v>
      </c>
    </row>
    <row r="24" ht="12.75">
      <c r="D24" s="35" t="s">
        <v>8</v>
      </c>
    </row>
    <row r="25" ht="12.75">
      <c r="B25" s="265" t="s">
        <v>197</v>
      </c>
    </row>
    <row r="26" spans="2:6" ht="12.75">
      <c r="B26" s="173" t="s">
        <v>198</v>
      </c>
      <c r="F26" s="35" t="s">
        <v>8</v>
      </c>
    </row>
    <row r="27" ht="12.75">
      <c r="B27" s="266" t="s">
        <v>199</v>
      </c>
    </row>
    <row r="28" ht="12.75">
      <c r="B28" s="267" t="s">
        <v>200</v>
      </c>
    </row>
    <row r="29" ht="12.75">
      <c r="B29" s="270" t="s">
        <v>201</v>
      </c>
    </row>
    <row r="30" ht="12.75">
      <c r="B30" s="271" t="s">
        <v>208</v>
      </c>
    </row>
    <row r="31" ht="12.75">
      <c r="B31" t="s">
        <v>356</v>
      </c>
    </row>
  </sheetData>
  <sheetProtection/>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sheetPr>
    <tabColor rgb="FFFFC000"/>
  </sheetPr>
  <dimension ref="A1:H30"/>
  <sheetViews>
    <sheetView zoomScale="110" zoomScaleNormal="110" zoomScalePageLayoutView="0" workbookViewId="0" topLeftCell="A1">
      <pane xSplit="1" ySplit="3" topLeftCell="B4" activePane="bottomRight" state="frozen"/>
      <selection pane="topLeft" activeCell="A1" sqref="A1"/>
      <selection pane="topRight" activeCell="B1" sqref="B1"/>
      <selection pane="bottomLeft" activeCell="A3" sqref="A3"/>
      <selection pane="bottomRight" activeCell="A33" sqref="A33"/>
    </sheetView>
  </sheetViews>
  <sheetFormatPr defaultColWidth="9.140625" defaultRowHeight="12.75"/>
  <cols>
    <col min="1" max="1" width="52.8515625" style="0" customWidth="1"/>
    <col min="2" max="2" width="13.421875" style="0" bestFit="1" customWidth="1"/>
    <col min="3" max="3" width="7.421875" style="0" customWidth="1"/>
    <col min="4" max="4" width="37.00390625" style="0" customWidth="1"/>
    <col min="5" max="5" width="36.8515625" style="146" customWidth="1"/>
  </cols>
  <sheetData>
    <row r="1" ht="12.75">
      <c r="E1"/>
    </row>
    <row r="2" spans="1:2" ht="21" thickBot="1">
      <c r="A2" s="322" t="s">
        <v>228</v>
      </c>
      <c r="B2" s="320" t="str">
        <f>'User''s Guide'!$D$1</f>
        <v>Last updated: 10/07/2014</v>
      </c>
    </row>
    <row r="3" spans="1:6" s="17" customFormat="1" ht="13.5" thickBot="1">
      <c r="A3" s="24" t="s">
        <v>4</v>
      </c>
      <c r="B3" s="26" t="s">
        <v>2</v>
      </c>
      <c r="C3" s="26"/>
      <c r="D3" s="42" t="s">
        <v>5</v>
      </c>
      <c r="E3" s="42" t="s">
        <v>6</v>
      </c>
      <c r="F3" s="22"/>
    </row>
    <row r="4" spans="1:5" s="17" customFormat="1" ht="13.5" thickBot="1">
      <c r="A4" s="18" t="s">
        <v>8</v>
      </c>
      <c r="B4" s="18"/>
      <c r="C4" s="18"/>
      <c r="D4" s="40"/>
      <c r="E4" s="147"/>
    </row>
    <row r="5" spans="1:5" s="17" customFormat="1" ht="13.5" thickBot="1">
      <c r="A5" s="18" t="s">
        <v>44</v>
      </c>
      <c r="B5" s="18"/>
      <c r="C5" s="18"/>
      <c r="D5" s="40"/>
      <c r="E5" s="147"/>
    </row>
    <row r="6" spans="1:5" s="45" customFormat="1" ht="12.75">
      <c r="A6" s="45" t="s">
        <v>16</v>
      </c>
      <c r="B6" s="187">
        <v>0.09</v>
      </c>
      <c r="D6" s="33" t="s">
        <v>99</v>
      </c>
      <c r="E6" s="148" t="s">
        <v>8</v>
      </c>
    </row>
    <row r="7" spans="1:8" s="45" customFormat="1" ht="12.75">
      <c r="A7" s="45" t="s">
        <v>18</v>
      </c>
      <c r="B7" s="187">
        <v>0.09</v>
      </c>
      <c r="D7" s="33" t="s">
        <v>40</v>
      </c>
      <c r="E7" s="15"/>
      <c r="F7" s="106"/>
      <c r="G7" s="105"/>
      <c r="H7" s="105"/>
    </row>
    <row r="8" spans="1:8" s="45" customFormat="1" ht="15" customHeight="1">
      <c r="A8" s="45" t="s">
        <v>203</v>
      </c>
      <c r="B8" s="188">
        <v>0.64</v>
      </c>
      <c r="D8" s="33" t="s">
        <v>168</v>
      </c>
      <c r="E8" s="15"/>
      <c r="F8" s="106"/>
      <c r="G8" s="105"/>
      <c r="H8" s="105"/>
    </row>
    <row r="9" spans="1:8" s="45" customFormat="1" ht="12.75">
      <c r="A9" s="45" t="s">
        <v>204</v>
      </c>
      <c r="B9" s="188">
        <v>0.99</v>
      </c>
      <c r="C9" s="241">
        <f>260/262</f>
        <v>0.9923664122137404</v>
      </c>
      <c r="D9" s="33" t="s">
        <v>174</v>
      </c>
      <c r="E9" s="15"/>
      <c r="F9" s="106"/>
      <c r="G9" s="105"/>
      <c r="H9" s="105"/>
    </row>
    <row r="11" spans="1:5" s="17" customFormat="1" ht="13.5" thickBot="1">
      <c r="A11" s="18" t="s">
        <v>88</v>
      </c>
      <c r="B11" s="18"/>
      <c r="C11" s="18"/>
      <c r="D11" s="40"/>
      <c r="E11" s="147"/>
    </row>
    <row r="12" spans="1:5" s="76" customFormat="1" ht="12.75">
      <c r="A12" s="82" t="s">
        <v>8</v>
      </c>
      <c r="E12" s="81"/>
    </row>
    <row r="13" spans="1:5" s="76" customFormat="1" ht="12.75">
      <c r="A13" s="118" t="s">
        <v>89</v>
      </c>
      <c r="E13" s="81"/>
    </row>
    <row r="14" spans="1:5" s="76" customFormat="1" ht="14.25">
      <c r="A14" s="121" t="s">
        <v>100</v>
      </c>
      <c r="B14" s="152">
        <f>'ERR &amp; Sensitivity Analysis'!G14</f>
        <v>90.48</v>
      </c>
      <c r="C14" s="76" t="s">
        <v>106</v>
      </c>
      <c r="D14" s="33" t="s">
        <v>40</v>
      </c>
      <c r="E14" s="81"/>
    </row>
    <row r="15" spans="1:5" s="76" customFormat="1" ht="12.75">
      <c r="A15" s="81" t="s">
        <v>107</v>
      </c>
      <c r="B15" s="152">
        <f>'ERR &amp; Sensitivity Analysis'!G13</f>
        <v>1.8</v>
      </c>
      <c r="D15" s="33" t="s">
        <v>40</v>
      </c>
      <c r="E15" s="81"/>
    </row>
    <row r="16" spans="1:4" ht="12.75">
      <c r="A16" s="76" t="s">
        <v>62</v>
      </c>
      <c r="B16" s="153">
        <f>'ERR &amp; Sensitivity Analysis'!G15</f>
        <v>20</v>
      </c>
      <c r="D16" s="33" t="s">
        <v>40</v>
      </c>
    </row>
    <row r="17" spans="1:5" ht="24" customHeight="1">
      <c r="A17" s="76" t="s">
        <v>205</v>
      </c>
      <c r="B17" s="154">
        <v>0.98</v>
      </c>
      <c r="C17" s="240">
        <f>144522/147470</f>
        <v>0.9800094934562962</v>
      </c>
      <c r="D17" s="484" t="s">
        <v>145</v>
      </c>
      <c r="E17" s="149" t="s">
        <v>103</v>
      </c>
    </row>
    <row r="18" ht="12.75">
      <c r="A18" s="76"/>
    </row>
    <row r="19" spans="1:4" ht="12.75">
      <c r="A19" s="88" t="s">
        <v>98</v>
      </c>
      <c r="D19" t="s">
        <v>8</v>
      </c>
    </row>
    <row r="20" spans="1:5" ht="22.5">
      <c r="A20" s="76" t="s">
        <v>104</v>
      </c>
      <c r="B20" s="155">
        <v>0.7327617134246969</v>
      </c>
      <c r="C20" s="242">
        <f>'Assumptions and Benefits DUATs'!B63/'Assumptions and Benefits DUATs'!B58</f>
        <v>0.725453339230429</v>
      </c>
      <c r="D20" s="150" t="s">
        <v>145</v>
      </c>
      <c r="E20" s="149" t="s">
        <v>103</v>
      </c>
    </row>
    <row r="21" spans="1:6" ht="12.75">
      <c r="A21" s="76" t="s">
        <v>105</v>
      </c>
      <c r="B21" s="236">
        <v>0.09</v>
      </c>
      <c r="D21" s="33" t="s">
        <v>40</v>
      </c>
      <c r="F21" t="s">
        <v>8</v>
      </c>
    </row>
    <row r="22" spans="1:5" ht="13.5" customHeight="1">
      <c r="A22" s="45" t="s">
        <v>203</v>
      </c>
      <c r="B22" s="188">
        <v>0.64</v>
      </c>
      <c r="D22" s="33" t="s">
        <v>168</v>
      </c>
      <c r="E22" s="34" t="s">
        <v>8</v>
      </c>
    </row>
    <row r="23" ht="12.75">
      <c r="A23" s="76"/>
    </row>
    <row r="24" spans="1:4" ht="12.75">
      <c r="A24" s="88" t="s">
        <v>90</v>
      </c>
      <c r="D24" s="35" t="s">
        <v>8</v>
      </c>
    </row>
    <row r="25" spans="1:4" ht="12.75">
      <c r="A25" s="81" t="s">
        <v>108</v>
      </c>
      <c r="B25" s="153">
        <f>'ERR &amp; Sensitivity Analysis'!G16</f>
        <v>1.8</v>
      </c>
      <c r="D25" s="33" t="s">
        <v>40</v>
      </c>
    </row>
    <row r="26" spans="1:4" ht="12.75">
      <c r="A26" s="76" t="s">
        <v>63</v>
      </c>
      <c r="B26" s="153">
        <v>20</v>
      </c>
      <c r="D26" s="33" t="s">
        <v>40</v>
      </c>
    </row>
    <row r="27" spans="1:5" ht="12.75">
      <c r="A27" s="76" t="s">
        <v>109</v>
      </c>
      <c r="B27" s="155">
        <v>0.98</v>
      </c>
      <c r="C27" s="173"/>
      <c r="D27" s="150" t="s">
        <v>145</v>
      </c>
      <c r="E27" s="149" t="s">
        <v>172</v>
      </c>
    </row>
    <row r="28" ht="13.5" thickBot="1"/>
    <row r="29" spans="1:2" ht="16.5" thickBot="1">
      <c r="A29" s="119" t="s">
        <v>91</v>
      </c>
      <c r="B29" s="156">
        <f>'Cost-Benefit Summary'!B17</f>
        <v>0.2580431537736725</v>
      </c>
    </row>
    <row r="30" spans="2:5" ht="12.75">
      <c r="B30" t="s">
        <v>8</v>
      </c>
      <c r="C30" s="146"/>
      <c r="E30"/>
    </row>
  </sheetData>
  <sheetProtection/>
  <printOptions/>
  <pageMargins left="0.7" right="0.7" top="0.75" bottom="0.75" header="0.3" footer="0.3"/>
  <pageSetup horizontalDpi="300" verticalDpi="300" orientation="portrait" r:id="rId2"/>
  <drawing r:id="rId1"/>
</worksheet>
</file>

<file path=xl/worksheets/sheet13.xml><?xml version="1.0" encoding="utf-8"?>
<worksheet xmlns="http://schemas.openxmlformats.org/spreadsheetml/2006/main" xmlns:r="http://schemas.openxmlformats.org/officeDocument/2006/relationships">
  <dimension ref="M2:M2"/>
  <sheetViews>
    <sheetView zoomScalePageLayoutView="0" workbookViewId="0" topLeftCell="A1">
      <selection activeCell="A1" sqref="A1:IV1"/>
    </sheetView>
  </sheetViews>
  <sheetFormatPr defaultColWidth="9.140625" defaultRowHeight="12.75"/>
  <cols>
    <col min="4" max="4" width="9.57421875" style="0" bestFit="1" customWidth="1"/>
  </cols>
  <sheetData>
    <row r="2" ht="12.75">
      <c r="M2" s="320" t="str">
        <f>'User''s Guide'!$D$1</f>
        <v>Last updated: 10/07/2014</v>
      </c>
    </row>
  </sheetData>
  <sheetProtection/>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sheetPr>
    <tabColor rgb="FFFFC000"/>
  </sheetPr>
  <dimension ref="A1:AH41"/>
  <sheetViews>
    <sheetView zoomScalePageLayoutView="0" workbookViewId="0" topLeftCell="A1">
      <selection activeCell="D17" sqref="D17"/>
    </sheetView>
  </sheetViews>
  <sheetFormatPr defaultColWidth="9.140625" defaultRowHeight="12.75"/>
  <cols>
    <col min="1" max="1" width="9.140625" style="384" customWidth="1"/>
    <col min="2" max="2" width="0.85546875" style="384" customWidth="1"/>
    <col min="3" max="3" width="47.28125" style="384" customWidth="1"/>
    <col min="4" max="4" width="12.28125" style="384" customWidth="1"/>
    <col min="5" max="5" width="0.71875" style="384" customWidth="1"/>
    <col min="6" max="6" width="8.8515625" style="384" customWidth="1"/>
    <col min="7" max="8" width="7.8515625" style="384" customWidth="1"/>
    <col min="9" max="9" width="8.140625" style="384" customWidth="1"/>
    <col min="10" max="10" width="1.1484375" style="384" customWidth="1"/>
    <col min="11" max="14" width="9.140625" style="384" customWidth="1"/>
    <col min="15" max="15" width="15.57421875" style="384" customWidth="1"/>
    <col min="16" max="16384" width="9.140625" style="384" customWidth="1"/>
  </cols>
  <sheetData>
    <row r="1" spans="1:12" ht="12.75">
      <c r="A1" s="382"/>
      <c r="B1" s="382"/>
      <c r="C1" s="383"/>
      <c r="D1" s="382"/>
      <c r="E1" s="383"/>
      <c r="F1" s="383"/>
      <c r="G1" s="383"/>
      <c r="H1" s="383"/>
      <c r="I1" s="383"/>
      <c r="J1" s="382"/>
      <c r="L1" s="385" t="s">
        <v>293</v>
      </c>
    </row>
    <row r="2" spans="1:10" ht="20.25">
      <c r="A2" s="382"/>
      <c r="B2" s="383"/>
      <c r="C2" s="383"/>
      <c r="D2" s="530" t="s">
        <v>294</v>
      </c>
      <c r="E2" s="530"/>
      <c r="F2" s="530"/>
      <c r="G2" s="530"/>
      <c r="H2" s="530"/>
      <c r="I2" s="530"/>
      <c r="J2" s="530"/>
    </row>
    <row r="3" spans="1:10" ht="15.75">
      <c r="A3" s="382"/>
      <c r="B3" s="382"/>
      <c r="C3" s="383"/>
      <c r="D3" s="531"/>
      <c r="E3" s="531"/>
      <c r="F3" s="531"/>
      <c r="G3" s="531"/>
      <c r="H3" s="531"/>
      <c r="I3" s="531"/>
      <c r="J3" s="382"/>
    </row>
    <row r="4" spans="1:10" ht="15.75">
      <c r="A4" s="382"/>
      <c r="B4" s="382"/>
      <c r="C4" s="383"/>
      <c r="D4" s="386"/>
      <c r="E4" s="387"/>
      <c r="F4" s="388"/>
      <c r="G4" s="389"/>
      <c r="H4" s="389"/>
      <c r="I4" s="389"/>
      <c r="J4" s="382"/>
    </row>
    <row r="5" spans="1:10" ht="15.75">
      <c r="A5" s="382"/>
      <c r="B5" s="382"/>
      <c r="C5" s="532" t="s">
        <v>136</v>
      </c>
      <c r="D5" s="532"/>
      <c r="E5" s="532"/>
      <c r="F5" s="532"/>
      <c r="G5" s="532"/>
      <c r="H5" s="532"/>
      <c r="I5" s="532"/>
      <c r="J5" s="382"/>
    </row>
    <row r="6" spans="1:10" ht="15.75" thickBot="1">
      <c r="A6" s="382"/>
      <c r="B6" s="382"/>
      <c r="C6" s="533" t="s">
        <v>240</v>
      </c>
      <c r="D6" s="533"/>
      <c r="E6" s="533"/>
      <c r="F6" s="533"/>
      <c r="G6" s="533"/>
      <c r="H6" s="533"/>
      <c r="I6" s="533"/>
      <c r="J6" s="382"/>
    </row>
    <row r="7" spans="1:10" ht="12.75">
      <c r="A7" s="382"/>
      <c r="B7" s="390"/>
      <c r="C7" s="391"/>
      <c r="D7" s="392"/>
      <c r="E7" s="393"/>
      <c r="F7" s="393"/>
      <c r="G7" s="393"/>
      <c r="H7" s="393"/>
      <c r="I7" s="393"/>
      <c r="J7" s="394"/>
    </row>
    <row r="8" spans="1:10" ht="12.75">
      <c r="A8" s="382"/>
      <c r="B8" s="395"/>
      <c r="C8" s="396" t="s">
        <v>295</v>
      </c>
      <c r="D8" s="397">
        <v>42.7</v>
      </c>
      <c r="E8" s="398"/>
      <c r="F8" s="534"/>
      <c r="G8" s="534"/>
      <c r="H8" s="534"/>
      <c r="I8" s="399"/>
      <c r="J8" s="400"/>
    </row>
    <row r="9" spans="1:10" ht="12.75">
      <c r="A9" s="382"/>
      <c r="B9" s="395"/>
      <c r="C9" s="396" t="s">
        <v>296</v>
      </c>
      <c r="D9" s="401">
        <f>'ERR &amp; Sensitivity Analysis'!D20</f>
        <v>0.2580431537736725</v>
      </c>
      <c r="E9" s="398"/>
      <c r="F9" s="398"/>
      <c r="G9" s="398"/>
      <c r="H9" s="398"/>
      <c r="I9" s="398"/>
      <c r="J9" s="400"/>
    </row>
    <row r="10" spans="1:10" ht="15" customHeight="1">
      <c r="A10" s="382"/>
      <c r="B10" s="395"/>
      <c r="C10" s="396" t="s">
        <v>297</v>
      </c>
      <c r="D10" s="397">
        <f>'Cost-Benefit Summary'!B13/'Dollar Conversion'!C5/1000000*'Poverty Scorecard'!Y12/'Poverty Scorecard'!AC12</f>
        <v>57.252150524384355</v>
      </c>
      <c r="E10" s="398"/>
      <c r="F10" s="398"/>
      <c r="G10" s="398"/>
      <c r="H10" s="398"/>
      <c r="I10" s="398"/>
      <c r="J10" s="400"/>
    </row>
    <row r="11" spans="1:34" ht="15">
      <c r="A11" s="382"/>
      <c r="B11" s="395"/>
      <c r="C11" s="402" t="s">
        <v>298</v>
      </c>
      <c r="D11" s="403">
        <f>'Cost-Benefit Summary'!B8/'Dollar Conversion'!C5/1000000*'Poverty Scorecard'!Y12/'Poverty Scorecard'!AC12</f>
        <v>23.61815421797242</v>
      </c>
      <c r="E11" s="398"/>
      <c r="F11" s="382"/>
      <c r="G11" s="382"/>
      <c r="H11" s="382"/>
      <c r="I11" s="382"/>
      <c r="J11" s="400"/>
      <c r="O11" s="404" t="s">
        <v>299</v>
      </c>
      <c r="P11" s="404" t="s">
        <v>300</v>
      </c>
      <c r="Q11" s="404" t="s">
        <v>301</v>
      </c>
      <c r="R11" s="404" t="s">
        <v>302</v>
      </c>
      <c r="S11" s="404" t="s">
        <v>303</v>
      </c>
      <c r="T11" s="404">
        <v>2000</v>
      </c>
      <c r="U11" s="404">
        <v>2001</v>
      </c>
      <c r="V11" s="404">
        <v>2002</v>
      </c>
      <c r="W11" s="404">
        <v>2003</v>
      </c>
      <c r="X11" s="404">
        <v>2004</v>
      </c>
      <c r="Y11" s="404">
        <v>2005</v>
      </c>
      <c r="Z11" s="404">
        <v>2006</v>
      </c>
      <c r="AA11" s="404">
        <v>2007</v>
      </c>
      <c r="AB11" s="404">
        <v>2008</v>
      </c>
      <c r="AC11" s="404">
        <v>2009</v>
      </c>
      <c r="AD11" s="404">
        <v>2010</v>
      </c>
      <c r="AE11" s="404">
        <v>2011</v>
      </c>
      <c r="AF11" s="404">
        <v>2012</v>
      </c>
      <c r="AG11" s="404">
        <v>2013</v>
      </c>
      <c r="AH11" s="404">
        <v>2014</v>
      </c>
    </row>
    <row r="12" spans="1:34" ht="15">
      <c r="A12" s="382"/>
      <c r="B12" s="395"/>
      <c r="C12" s="402"/>
      <c r="D12" s="405"/>
      <c r="E12" s="398"/>
      <c r="F12" s="535" t="s">
        <v>304</v>
      </c>
      <c r="G12" s="535"/>
      <c r="H12" s="535"/>
      <c r="I12" s="535"/>
      <c r="J12" s="400"/>
      <c r="O12" s="404" t="s">
        <v>305</v>
      </c>
      <c r="P12" s="404" t="s">
        <v>306</v>
      </c>
      <c r="Q12" s="404" t="s">
        <v>307</v>
      </c>
      <c r="R12" s="404"/>
      <c r="S12" s="404" t="s">
        <v>308</v>
      </c>
      <c r="T12" s="404">
        <v>172.192</v>
      </c>
      <c r="U12" s="404">
        <v>177.042</v>
      </c>
      <c r="V12" s="404">
        <v>179.867</v>
      </c>
      <c r="W12" s="404">
        <v>184</v>
      </c>
      <c r="X12" s="404">
        <v>188.908</v>
      </c>
      <c r="Y12" s="404">
        <v>195.267</v>
      </c>
      <c r="Z12" s="404">
        <v>201.558</v>
      </c>
      <c r="AA12" s="404">
        <v>207.344</v>
      </c>
      <c r="AB12" s="404">
        <v>215.254</v>
      </c>
      <c r="AC12" s="404">
        <v>214.565</v>
      </c>
      <c r="AD12" s="404">
        <v>218.08</v>
      </c>
      <c r="AE12" s="404">
        <v>224.932</v>
      </c>
      <c r="AF12" s="404">
        <v>229.599</v>
      </c>
      <c r="AG12" s="404">
        <v>232.96</v>
      </c>
      <c r="AH12" s="404">
        <v>236.226</v>
      </c>
    </row>
    <row r="13" spans="1:34" ht="15">
      <c r="A13" s="382"/>
      <c r="B13" s="395"/>
      <c r="C13" s="406" t="s">
        <v>84</v>
      </c>
      <c r="D13" s="407" t="s">
        <v>28</v>
      </c>
      <c r="E13" s="408"/>
      <c r="F13" s="407" t="s">
        <v>309</v>
      </c>
      <c r="G13" s="407" t="s">
        <v>310</v>
      </c>
      <c r="H13" s="407" t="s">
        <v>311</v>
      </c>
      <c r="I13" s="407" t="s">
        <v>312</v>
      </c>
      <c r="J13" s="400"/>
      <c r="O13" s="404" t="s">
        <v>305</v>
      </c>
      <c r="P13" s="404" t="s">
        <v>306</v>
      </c>
      <c r="Q13" s="404" t="s">
        <v>313</v>
      </c>
      <c r="R13" s="404"/>
      <c r="S13" s="404" t="s">
        <v>314</v>
      </c>
      <c r="T13" s="404">
        <v>3.367</v>
      </c>
      <c r="U13" s="404">
        <v>2.817</v>
      </c>
      <c r="V13" s="404">
        <v>1.596</v>
      </c>
      <c r="W13" s="404">
        <v>2.298</v>
      </c>
      <c r="X13" s="404">
        <v>2.668</v>
      </c>
      <c r="Y13" s="404">
        <v>3.366</v>
      </c>
      <c r="Z13" s="404">
        <v>3.222</v>
      </c>
      <c r="AA13" s="404">
        <v>2.871</v>
      </c>
      <c r="AB13" s="404">
        <v>3.815</v>
      </c>
      <c r="AC13" s="404">
        <v>-0.32</v>
      </c>
      <c r="AD13" s="404">
        <v>1.638</v>
      </c>
      <c r="AE13" s="404">
        <v>3.142</v>
      </c>
      <c r="AF13" s="404">
        <v>2.075</v>
      </c>
      <c r="AG13" s="404">
        <v>1.464</v>
      </c>
      <c r="AH13" s="404">
        <v>1.402</v>
      </c>
    </row>
    <row r="14" spans="1:10" ht="12.75">
      <c r="A14" s="382"/>
      <c r="B14" s="395"/>
      <c r="C14" s="409"/>
      <c r="D14" s="410"/>
      <c r="E14" s="411"/>
      <c r="F14" s="410"/>
      <c r="G14" s="410"/>
      <c r="H14" s="410"/>
      <c r="I14" s="410"/>
      <c r="J14" s="400"/>
    </row>
    <row r="15" spans="1:10" ht="12.75">
      <c r="A15" s="382"/>
      <c r="B15" s="395"/>
      <c r="C15" s="398" t="s">
        <v>315</v>
      </c>
      <c r="D15" s="412">
        <f>D16/Q17</f>
        <v>230699.82698961938</v>
      </c>
      <c r="E15" s="413"/>
      <c r="F15" s="414"/>
      <c r="G15" s="414"/>
      <c r="H15" s="414"/>
      <c r="I15" s="414"/>
      <c r="J15" s="400"/>
    </row>
    <row r="16" spans="1:10" ht="12.75">
      <c r="A16" s="382"/>
      <c r="B16" s="395"/>
      <c r="C16" s="415" t="s">
        <v>316</v>
      </c>
      <c r="D16" s="412">
        <v>1333445</v>
      </c>
      <c r="E16" s="413"/>
      <c r="F16" s="416"/>
      <c r="G16" s="416"/>
      <c r="H16" s="416"/>
      <c r="I16" s="416"/>
      <c r="J16" s="400"/>
    </row>
    <row r="17" spans="1:18" ht="13.5">
      <c r="A17" s="382"/>
      <c r="B17" s="395"/>
      <c r="C17" s="415" t="s">
        <v>317</v>
      </c>
      <c r="D17" s="417">
        <f>P20*(1+P19)^20</f>
        <v>36404814.39968094</v>
      </c>
      <c r="E17" s="413"/>
      <c r="F17" s="418"/>
      <c r="G17" s="418"/>
      <c r="H17" s="418"/>
      <c r="I17" s="418"/>
      <c r="J17" s="400"/>
      <c r="P17" s="419" t="s">
        <v>318</v>
      </c>
      <c r="Q17" s="384">
        <v>5.78</v>
      </c>
      <c r="R17" s="419" t="s">
        <v>319</v>
      </c>
    </row>
    <row r="18" spans="1:10" ht="12.75">
      <c r="A18" s="382"/>
      <c r="B18" s="395"/>
      <c r="C18" s="415"/>
      <c r="D18" s="420"/>
      <c r="E18" s="413"/>
      <c r="F18" s="418"/>
      <c r="G18" s="418"/>
      <c r="H18" s="418"/>
      <c r="I18" s="418"/>
      <c r="J18" s="400"/>
    </row>
    <row r="19" spans="1:17" ht="12.75">
      <c r="A19" s="382"/>
      <c r="B19" s="395"/>
      <c r="C19" s="415" t="s">
        <v>320</v>
      </c>
      <c r="D19" s="418"/>
      <c r="E19" s="413"/>
      <c r="F19" s="421">
        <v>0.5958</v>
      </c>
      <c r="G19" s="421">
        <v>0.8177</v>
      </c>
      <c r="H19" s="421">
        <v>0.13</v>
      </c>
      <c r="I19" s="421">
        <v>0.05</v>
      </c>
      <c r="J19" s="400"/>
      <c r="O19" s="419" t="s">
        <v>321</v>
      </c>
      <c r="P19" s="422">
        <v>0.0212</v>
      </c>
      <c r="Q19" s="419" t="s">
        <v>322</v>
      </c>
    </row>
    <row r="20" spans="1:16" ht="13.5">
      <c r="A20" s="382"/>
      <c r="B20" s="395"/>
      <c r="C20" s="423" t="s">
        <v>323</v>
      </c>
      <c r="D20" s="424"/>
      <c r="E20" s="425"/>
      <c r="F20" s="421">
        <v>0.5958</v>
      </c>
      <c r="G20" s="421">
        <v>0.8177</v>
      </c>
      <c r="H20" s="421">
        <v>0.13</v>
      </c>
      <c r="I20" s="421">
        <v>0.05</v>
      </c>
      <c r="J20" s="400"/>
      <c r="O20" s="419" t="s">
        <v>324</v>
      </c>
      <c r="P20" s="384">
        <v>23930000</v>
      </c>
    </row>
    <row r="21" spans="1:10" ht="12.75">
      <c r="A21" s="382"/>
      <c r="B21" s="426"/>
      <c r="C21" s="427"/>
      <c r="D21" s="428"/>
      <c r="E21" s="429"/>
      <c r="F21" s="428"/>
      <c r="G21" s="430"/>
      <c r="H21" s="430"/>
      <c r="I21" s="430"/>
      <c r="J21" s="400"/>
    </row>
    <row r="22" spans="1:10" ht="12.75">
      <c r="A22" s="382"/>
      <c r="B22" s="395"/>
      <c r="C22" s="406" t="s">
        <v>325</v>
      </c>
      <c r="D22" s="407"/>
      <c r="E22" s="408"/>
      <c r="F22" s="407"/>
      <c r="G22" s="407"/>
      <c r="H22" s="407"/>
      <c r="I22" s="407"/>
      <c r="J22" s="400"/>
    </row>
    <row r="23" spans="1:10" ht="12.75">
      <c r="A23" s="382"/>
      <c r="B23" s="395"/>
      <c r="C23" s="409"/>
      <c r="D23" s="410"/>
      <c r="E23" s="411"/>
      <c r="F23" s="410"/>
      <c r="G23" s="410"/>
      <c r="H23" s="410"/>
      <c r="I23" s="410"/>
      <c r="J23" s="400"/>
    </row>
    <row r="24" spans="1:10" ht="12.75">
      <c r="A24" s="382"/>
      <c r="B24" s="395"/>
      <c r="C24" s="415" t="s">
        <v>326</v>
      </c>
      <c r="D24" s="431">
        <f>SUMPRODUCT(G24:I24,G19:I19)</f>
        <v>42.83676535453526</v>
      </c>
      <c r="E24" s="432"/>
      <c r="F24" s="433">
        <f>$D$10*F19*1000000/($D$16*F19)</f>
        <v>42.93551704373586</v>
      </c>
      <c r="G24" s="433">
        <f>$D$10*G19*1000000/($D$16*G19)</f>
        <v>42.93551704373586</v>
      </c>
      <c r="H24" s="433">
        <f>$D$10*H19*1000000/($D$16*H19)</f>
        <v>42.93551704373585</v>
      </c>
      <c r="I24" s="433">
        <f>$D$10*I19*1000000/($D$16*I19)</f>
        <v>42.93551704373586</v>
      </c>
      <c r="J24" s="400"/>
    </row>
    <row r="25" spans="1:10" ht="12.75">
      <c r="A25" s="382"/>
      <c r="B25" s="395"/>
      <c r="C25" s="434" t="s">
        <v>327</v>
      </c>
      <c r="D25" s="435">
        <f>SUMPRODUCT(G25:I25,G19:I19)</f>
        <v>0.06546588059928894</v>
      </c>
      <c r="E25" s="436"/>
      <c r="F25" s="437">
        <f>F24/(1.25/2*365)</f>
        <v>0.18821048567117088</v>
      </c>
      <c r="G25" s="437">
        <f>G24/((1.25+0.75/2)*365)</f>
        <v>0.07238864833506573</v>
      </c>
      <c r="H25" s="437">
        <f>H24/(3*365)</f>
        <v>0.03921051784816059</v>
      </c>
      <c r="I25" s="437">
        <f>I24/(5*365)</f>
        <v>0.02352631070889636</v>
      </c>
      <c r="J25" s="400"/>
    </row>
    <row r="26" spans="1:10" ht="12.75">
      <c r="A26" s="382"/>
      <c r="B26" s="395"/>
      <c r="C26" s="438"/>
      <c r="D26" s="428"/>
      <c r="E26" s="429"/>
      <c r="F26" s="439"/>
      <c r="G26" s="439"/>
      <c r="H26" s="439"/>
      <c r="I26" s="439"/>
      <c r="J26" s="400"/>
    </row>
    <row r="27" spans="1:10" ht="12.75">
      <c r="A27" s="382"/>
      <c r="B27" s="395"/>
      <c r="C27" s="406" t="s">
        <v>328</v>
      </c>
      <c r="D27" s="440"/>
      <c r="E27" s="441"/>
      <c r="F27" s="440"/>
      <c r="G27" s="440"/>
      <c r="H27" s="440"/>
      <c r="I27" s="440"/>
      <c r="J27" s="400"/>
    </row>
    <row r="28" spans="1:10" ht="12.75">
      <c r="A28" s="382"/>
      <c r="B28" s="395"/>
      <c r="C28" s="402"/>
      <c r="D28" s="442"/>
      <c r="E28" s="443"/>
      <c r="F28" s="442"/>
      <c r="G28" s="442"/>
      <c r="H28" s="442"/>
      <c r="I28" s="442"/>
      <c r="J28" s="400"/>
    </row>
    <row r="29" spans="1:10" ht="12.75">
      <c r="A29" s="382"/>
      <c r="B29" s="395"/>
      <c r="C29" s="423" t="s">
        <v>329</v>
      </c>
      <c r="D29" s="444">
        <f>D10/D11</f>
        <v>2.4240738711417964</v>
      </c>
      <c r="E29" s="445"/>
      <c r="F29" s="446">
        <f>F19*$D$16*F24/($D$11*1000000)</f>
        <v>1.4442632124262824</v>
      </c>
      <c r="G29" s="446">
        <f>G19*$D$16*G24/($D$11*1000000)</f>
        <v>1.982165204432647</v>
      </c>
      <c r="H29" s="446">
        <f>H19*$D$16*H24/($D$11*1000000)</f>
        <v>0.31512960324843353</v>
      </c>
      <c r="I29" s="446">
        <f>I19*$D$16*I24/($D$11*1000000)</f>
        <v>0.12120369355708983</v>
      </c>
      <c r="J29" s="400"/>
    </row>
    <row r="30" spans="1:10" ht="12.75">
      <c r="A30" s="382"/>
      <c r="B30" s="395"/>
      <c r="C30" s="438"/>
      <c r="D30" s="428"/>
      <c r="E30" s="429"/>
      <c r="F30" s="447"/>
      <c r="G30" s="447"/>
      <c r="H30" s="447"/>
      <c r="I30" s="447"/>
      <c r="J30" s="400"/>
    </row>
    <row r="31" spans="1:10" ht="13.5">
      <c r="A31" s="382"/>
      <c r="B31" s="395"/>
      <c r="C31" s="396" t="s">
        <v>330</v>
      </c>
      <c r="D31" s="448">
        <v>0.51</v>
      </c>
      <c r="E31" s="449"/>
      <c r="F31" s="450"/>
      <c r="G31" s="450"/>
      <c r="H31" s="450"/>
      <c r="I31" s="450"/>
      <c r="J31" s="400"/>
    </row>
    <row r="32" spans="1:10" ht="12.75">
      <c r="A32" s="382"/>
      <c r="B32" s="395"/>
      <c r="C32" s="415"/>
      <c r="D32" s="451"/>
      <c r="E32" s="449"/>
      <c r="F32" s="450"/>
      <c r="G32" s="450"/>
      <c r="H32" s="450"/>
      <c r="I32" s="450"/>
      <c r="J32" s="400"/>
    </row>
    <row r="33" spans="1:10" ht="13.5">
      <c r="A33" s="382"/>
      <c r="B33" s="395"/>
      <c r="C33" s="415" t="s">
        <v>331</v>
      </c>
      <c r="D33" s="452">
        <v>510</v>
      </c>
      <c r="E33" s="398"/>
      <c r="F33" s="398"/>
      <c r="G33" s="398"/>
      <c r="H33" s="398"/>
      <c r="I33" s="398"/>
      <c r="J33" s="400"/>
    </row>
    <row r="34" spans="1:10" ht="12.75">
      <c r="A34" s="382"/>
      <c r="B34" s="395"/>
      <c r="C34" s="453" t="s">
        <v>332</v>
      </c>
      <c r="D34" s="417" t="s">
        <v>333</v>
      </c>
      <c r="E34" s="454"/>
      <c r="F34" s="454"/>
      <c r="G34" s="454"/>
      <c r="H34" s="454"/>
      <c r="I34" s="454"/>
      <c r="J34" s="400"/>
    </row>
    <row r="35" spans="1:10" ht="12.75">
      <c r="A35" s="382"/>
      <c r="B35" s="395"/>
      <c r="C35" s="415"/>
      <c r="D35" s="455"/>
      <c r="E35" s="398"/>
      <c r="F35" s="398"/>
      <c r="G35" s="398"/>
      <c r="H35" s="398"/>
      <c r="I35" s="398"/>
      <c r="J35" s="400"/>
    </row>
    <row r="36" spans="1:10" ht="12.75">
      <c r="A36" s="382"/>
      <c r="B36" s="395"/>
      <c r="C36" s="456" t="s">
        <v>334</v>
      </c>
      <c r="D36" s="457"/>
      <c r="E36" s="458"/>
      <c r="F36" s="459"/>
      <c r="G36" s="459"/>
      <c r="H36" s="459"/>
      <c r="I36" s="459"/>
      <c r="J36" s="400"/>
    </row>
    <row r="37" spans="1:10" ht="12.75">
      <c r="A37" s="382"/>
      <c r="B37" s="395"/>
      <c r="C37" s="460" t="s">
        <v>335</v>
      </c>
      <c r="D37" s="457"/>
      <c r="E37" s="458"/>
      <c r="F37" s="459"/>
      <c r="G37" s="459"/>
      <c r="H37" s="459"/>
      <c r="I37" s="459"/>
      <c r="J37" s="400"/>
    </row>
    <row r="38" spans="1:10" ht="12.75">
      <c r="A38" s="382"/>
      <c r="B38" s="395"/>
      <c r="C38" s="460" t="s">
        <v>336</v>
      </c>
      <c r="D38" s="457"/>
      <c r="E38" s="458"/>
      <c r="F38" s="459"/>
      <c r="G38" s="459"/>
      <c r="H38" s="459"/>
      <c r="I38" s="459"/>
      <c r="J38" s="400"/>
    </row>
    <row r="39" spans="1:10" ht="12.75">
      <c r="A39" s="382"/>
      <c r="B39" s="395"/>
      <c r="C39" s="461" t="s">
        <v>337</v>
      </c>
      <c r="D39" s="462"/>
      <c r="E39" s="462"/>
      <c r="F39" s="462"/>
      <c r="G39" s="462"/>
      <c r="H39" s="462"/>
      <c r="I39" s="462"/>
      <c r="J39" s="400"/>
    </row>
    <row r="40" spans="1:10" ht="12.75">
      <c r="A40" s="383"/>
      <c r="B40" s="395"/>
      <c r="C40" s="461" t="s">
        <v>338</v>
      </c>
      <c r="D40" s="462"/>
      <c r="E40" s="462"/>
      <c r="F40" s="462"/>
      <c r="G40" s="462"/>
      <c r="H40" s="462"/>
      <c r="I40" s="462"/>
      <c r="J40" s="400"/>
    </row>
    <row r="41" spans="1:10" ht="13.5" thickBot="1">
      <c r="A41" s="383"/>
      <c r="B41" s="463"/>
      <c r="C41" s="464"/>
      <c r="D41" s="465"/>
      <c r="E41" s="465"/>
      <c r="F41" s="465"/>
      <c r="G41" s="465"/>
      <c r="H41" s="465"/>
      <c r="I41" s="465"/>
      <c r="J41" s="466"/>
    </row>
  </sheetData>
  <sheetProtection/>
  <mergeCells count="6">
    <mergeCell ref="D2:J2"/>
    <mergeCell ref="D3:I3"/>
    <mergeCell ref="C5:I5"/>
    <mergeCell ref="C6:I6"/>
    <mergeCell ref="F8:H8"/>
    <mergeCell ref="F12:I12"/>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IV54"/>
  <sheetViews>
    <sheetView showGridLines="0" tabSelected="1" zoomScalePageLayoutView="0" workbookViewId="0" topLeftCell="A1">
      <selection activeCell="A1" sqref="A1"/>
    </sheetView>
  </sheetViews>
  <sheetFormatPr defaultColWidth="9.140625" defaultRowHeight="12.75"/>
  <cols>
    <col min="1" max="1" width="7.7109375" style="274" customWidth="1"/>
    <col min="2" max="2" width="36.7109375" style="274" customWidth="1"/>
    <col min="3" max="3" width="51.00390625" style="274" customWidth="1"/>
    <col min="4" max="4" width="57.421875" style="274" customWidth="1"/>
    <col min="5" max="16384" width="9.140625" style="274" customWidth="1"/>
  </cols>
  <sheetData>
    <row r="1" ht="12.75">
      <c r="D1" s="385" t="s">
        <v>358</v>
      </c>
    </row>
    <row r="2" spans="3:4" ht="12.75" customHeight="1">
      <c r="C2" s="505" t="s">
        <v>339</v>
      </c>
      <c r="D2" s="505"/>
    </row>
    <row r="3" spans="3:4" ht="12.75" customHeight="1">
      <c r="C3" s="505"/>
      <c r="D3" s="505"/>
    </row>
    <row r="4" spans="3:4" ht="12.75" customHeight="1">
      <c r="C4" s="505"/>
      <c r="D4" s="505"/>
    </row>
    <row r="5" spans="3:4" ht="12.75" customHeight="1">
      <c r="C5" s="505"/>
      <c r="D5" s="505"/>
    </row>
    <row r="6" spans="3:4" ht="12.75" customHeight="1">
      <c r="C6" s="505"/>
      <c r="D6" s="505"/>
    </row>
    <row r="7" spans="3:4" ht="18">
      <c r="C7" s="506"/>
      <c r="D7" s="506"/>
    </row>
    <row r="8" ht="13.5" thickBot="1"/>
    <row r="9" spans="1:256" ht="13.5" thickTop="1">
      <c r="A9" s="275"/>
      <c r="B9" s="276" t="s">
        <v>209</v>
      </c>
      <c r="C9" s="277" t="s">
        <v>210</v>
      </c>
      <c r="D9" s="278" t="s">
        <v>211</v>
      </c>
      <c r="E9" s="279"/>
      <c r="F9" s="275"/>
      <c r="G9" s="275"/>
      <c r="H9" s="275"/>
      <c r="I9" s="275"/>
      <c r="J9" s="275"/>
      <c r="K9" s="275"/>
      <c r="L9" s="275"/>
      <c r="M9" s="275"/>
      <c r="N9" s="275"/>
      <c r="O9" s="275"/>
      <c r="P9" s="275"/>
      <c r="Q9" s="275"/>
      <c r="R9" s="275"/>
      <c r="S9" s="275"/>
      <c r="T9" s="275"/>
      <c r="U9" s="275"/>
      <c r="V9" s="275"/>
      <c r="W9" s="275"/>
      <c r="X9" s="275"/>
      <c r="Y9" s="275"/>
      <c r="Z9" s="275"/>
      <c r="AA9" s="275"/>
      <c r="AB9" s="275"/>
      <c r="AC9" s="275"/>
      <c r="AD9" s="275"/>
      <c r="AE9" s="275"/>
      <c r="AF9" s="275"/>
      <c r="AG9" s="275"/>
      <c r="AH9" s="275"/>
      <c r="AI9" s="275"/>
      <c r="AJ9" s="275"/>
      <c r="AK9" s="275"/>
      <c r="AL9" s="275"/>
      <c r="AM9" s="275"/>
      <c r="AN9" s="275"/>
      <c r="AO9" s="275"/>
      <c r="AP9" s="275"/>
      <c r="AQ9" s="275"/>
      <c r="AR9" s="275"/>
      <c r="AS9" s="275"/>
      <c r="AT9" s="275"/>
      <c r="AU9" s="275"/>
      <c r="AV9" s="275"/>
      <c r="AW9" s="275"/>
      <c r="AX9" s="275"/>
      <c r="AY9" s="275"/>
      <c r="AZ9" s="275"/>
      <c r="BA9" s="275"/>
      <c r="BB9" s="275"/>
      <c r="BC9" s="275"/>
      <c r="BD9" s="275"/>
      <c r="BE9" s="275"/>
      <c r="BF9" s="275"/>
      <c r="BG9" s="275"/>
      <c r="BH9" s="275"/>
      <c r="BI9" s="275"/>
      <c r="BJ9" s="275"/>
      <c r="BK9" s="275"/>
      <c r="BL9" s="275"/>
      <c r="BM9" s="275"/>
      <c r="BN9" s="275"/>
      <c r="BO9" s="275"/>
      <c r="BP9" s="275"/>
      <c r="BQ9" s="275"/>
      <c r="BR9" s="275"/>
      <c r="BS9" s="275"/>
      <c r="BT9" s="275"/>
      <c r="BU9" s="275"/>
      <c r="BV9" s="275"/>
      <c r="BW9" s="275"/>
      <c r="BX9" s="275"/>
      <c r="BY9" s="275"/>
      <c r="BZ9" s="275"/>
      <c r="CA9" s="275"/>
      <c r="CB9" s="275"/>
      <c r="CC9" s="275"/>
      <c r="CD9" s="275"/>
      <c r="CE9" s="275"/>
      <c r="CF9" s="275"/>
      <c r="CG9" s="275"/>
      <c r="CH9" s="275"/>
      <c r="CI9" s="275"/>
      <c r="CJ9" s="275"/>
      <c r="CK9" s="275"/>
      <c r="CL9" s="275"/>
      <c r="CM9" s="275"/>
      <c r="CN9" s="275"/>
      <c r="CO9" s="275"/>
      <c r="CP9" s="275"/>
      <c r="CQ9" s="275"/>
      <c r="CR9" s="275"/>
      <c r="CS9" s="275"/>
      <c r="CT9" s="275"/>
      <c r="CU9" s="275"/>
      <c r="CV9" s="275"/>
      <c r="CW9" s="275"/>
      <c r="CX9" s="275"/>
      <c r="CY9" s="275"/>
      <c r="CZ9" s="275"/>
      <c r="DA9" s="275"/>
      <c r="DB9" s="275"/>
      <c r="DC9" s="275"/>
      <c r="DD9" s="275"/>
      <c r="DE9" s="275"/>
      <c r="DF9" s="275"/>
      <c r="DG9" s="275"/>
      <c r="DH9" s="275"/>
      <c r="DI9" s="275"/>
      <c r="DJ9" s="275"/>
      <c r="DK9" s="275"/>
      <c r="DL9" s="275"/>
      <c r="DM9" s="275"/>
      <c r="DN9" s="275"/>
      <c r="DO9" s="275"/>
      <c r="DP9" s="275"/>
      <c r="DQ9" s="275"/>
      <c r="DR9" s="275"/>
      <c r="DS9" s="275"/>
      <c r="DT9" s="275"/>
      <c r="DU9" s="275"/>
      <c r="DV9" s="275"/>
      <c r="DW9" s="275"/>
      <c r="DX9" s="275"/>
      <c r="DY9" s="275"/>
      <c r="DZ9" s="275"/>
      <c r="EA9" s="275"/>
      <c r="EB9" s="275"/>
      <c r="EC9" s="275"/>
      <c r="ED9" s="275"/>
      <c r="EE9" s="275"/>
      <c r="EF9" s="275"/>
      <c r="EG9" s="275"/>
      <c r="EH9" s="275"/>
      <c r="EI9" s="275"/>
      <c r="EJ9" s="275"/>
      <c r="EK9" s="275"/>
      <c r="EL9" s="275"/>
      <c r="EM9" s="275"/>
      <c r="EN9" s="275"/>
      <c r="EO9" s="275"/>
      <c r="EP9" s="275"/>
      <c r="EQ9" s="275"/>
      <c r="ER9" s="275"/>
      <c r="ES9" s="275"/>
      <c r="ET9" s="275"/>
      <c r="EU9" s="275"/>
      <c r="EV9" s="275"/>
      <c r="EW9" s="275"/>
      <c r="EX9" s="275"/>
      <c r="EY9" s="275"/>
      <c r="EZ9" s="275"/>
      <c r="FA9" s="275"/>
      <c r="FB9" s="275"/>
      <c r="FC9" s="275"/>
      <c r="FD9" s="275"/>
      <c r="FE9" s="275"/>
      <c r="FF9" s="275"/>
      <c r="FG9" s="275"/>
      <c r="FH9" s="275"/>
      <c r="FI9" s="275"/>
      <c r="FJ9" s="275"/>
      <c r="FK9" s="275"/>
      <c r="FL9" s="275"/>
      <c r="FM9" s="275"/>
      <c r="FN9" s="275"/>
      <c r="FO9" s="275"/>
      <c r="FP9" s="275"/>
      <c r="FQ9" s="275"/>
      <c r="FR9" s="275"/>
      <c r="FS9" s="275"/>
      <c r="FT9" s="275"/>
      <c r="FU9" s="275"/>
      <c r="FV9" s="275"/>
      <c r="FW9" s="275"/>
      <c r="FX9" s="275"/>
      <c r="FY9" s="275"/>
      <c r="FZ9" s="275"/>
      <c r="GA9" s="275"/>
      <c r="GB9" s="275"/>
      <c r="GC9" s="275"/>
      <c r="GD9" s="275"/>
      <c r="GE9" s="275"/>
      <c r="GF9" s="275"/>
      <c r="GG9" s="275"/>
      <c r="GH9" s="275"/>
      <c r="GI9" s="275"/>
      <c r="GJ9" s="275"/>
      <c r="GK9" s="275"/>
      <c r="GL9" s="275"/>
      <c r="GM9" s="275"/>
      <c r="GN9" s="275"/>
      <c r="GO9" s="275"/>
      <c r="GP9" s="275"/>
      <c r="GQ9" s="275"/>
      <c r="GR9" s="275"/>
      <c r="GS9" s="275"/>
      <c r="GT9" s="275"/>
      <c r="GU9" s="275"/>
      <c r="GV9" s="275"/>
      <c r="GW9" s="275"/>
      <c r="GX9" s="275"/>
      <c r="GY9" s="275"/>
      <c r="GZ9" s="275"/>
      <c r="HA9" s="275"/>
      <c r="HB9" s="275"/>
      <c r="HC9" s="275"/>
      <c r="HD9" s="275"/>
      <c r="HE9" s="275"/>
      <c r="HF9" s="275"/>
      <c r="HG9" s="275"/>
      <c r="HH9" s="275"/>
      <c r="HI9" s="275"/>
      <c r="HJ9" s="275"/>
      <c r="HK9" s="275"/>
      <c r="HL9" s="275"/>
      <c r="HM9" s="275"/>
      <c r="HN9" s="275"/>
      <c r="HO9" s="275"/>
      <c r="HP9" s="275"/>
      <c r="HQ9" s="275"/>
      <c r="HR9" s="275"/>
      <c r="HS9" s="275"/>
      <c r="HT9" s="275"/>
      <c r="HU9" s="275"/>
      <c r="HV9" s="275"/>
      <c r="HW9" s="275"/>
      <c r="HX9" s="275"/>
      <c r="HY9" s="275"/>
      <c r="HZ9" s="275"/>
      <c r="IA9" s="275"/>
      <c r="IB9" s="275"/>
      <c r="IC9" s="275"/>
      <c r="ID9" s="275"/>
      <c r="IE9" s="275"/>
      <c r="IF9" s="275"/>
      <c r="IG9" s="275"/>
      <c r="IH9" s="275"/>
      <c r="II9" s="275"/>
      <c r="IJ9" s="275"/>
      <c r="IK9" s="275"/>
      <c r="IL9" s="275"/>
      <c r="IM9" s="275"/>
      <c r="IN9" s="275"/>
      <c r="IO9" s="275"/>
      <c r="IP9" s="275"/>
      <c r="IQ9" s="275"/>
      <c r="IR9" s="275"/>
      <c r="IS9" s="275"/>
      <c r="IT9" s="275"/>
      <c r="IU9" s="275"/>
      <c r="IV9" s="275"/>
    </row>
    <row r="10" spans="1:256" ht="12.75">
      <c r="A10" s="275"/>
      <c r="B10" s="280" t="s">
        <v>212</v>
      </c>
      <c r="C10" s="281">
        <v>39239</v>
      </c>
      <c r="D10" s="282">
        <v>41919</v>
      </c>
      <c r="E10" s="275"/>
      <c r="F10" s="275"/>
      <c r="G10" s="275"/>
      <c r="H10" s="275"/>
      <c r="I10" s="275"/>
      <c r="J10" s="275"/>
      <c r="K10" s="275"/>
      <c r="L10" s="275"/>
      <c r="M10" s="275"/>
      <c r="N10" s="275"/>
      <c r="O10" s="275"/>
      <c r="P10" s="275"/>
      <c r="Q10" s="275"/>
      <c r="R10" s="275"/>
      <c r="S10" s="275"/>
      <c r="T10" s="275"/>
      <c r="U10" s="275"/>
      <c r="V10" s="275"/>
      <c r="W10" s="275"/>
      <c r="X10" s="275"/>
      <c r="Y10" s="275"/>
      <c r="Z10" s="275"/>
      <c r="AA10" s="275"/>
      <c r="AB10" s="275"/>
      <c r="AC10" s="275"/>
      <c r="AD10" s="275"/>
      <c r="AE10" s="275"/>
      <c r="AF10" s="275"/>
      <c r="AG10" s="275"/>
      <c r="AH10" s="275"/>
      <c r="AI10" s="275"/>
      <c r="AJ10" s="275"/>
      <c r="AK10" s="275"/>
      <c r="AL10" s="275"/>
      <c r="AM10" s="275"/>
      <c r="AN10" s="275"/>
      <c r="AO10" s="275"/>
      <c r="AP10" s="275"/>
      <c r="AQ10" s="275"/>
      <c r="AR10" s="275"/>
      <c r="AS10" s="275"/>
      <c r="AT10" s="275"/>
      <c r="AU10" s="275"/>
      <c r="AV10" s="275"/>
      <c r="AW10" s="275"/>
      <c r="AX10" s="275"/>
      <c r="AY10" s="275"/>
      <c r="AZ10" s="275"/>
      <c r="BA10" s="275"/>
      <c r="BB10" s="275"/>
      <c r="BC10" s="275"/>
      <c r="BD10" s="275"/>
      <c r="BE10" s="275"/>
      <c r="BF10" s="275"/>
      <c r="BG10" s="275"/>
      <c r="BH10" s="275"/>
      <c r="BI10" s="275"/>
      <c r="BJ10" s="275"/>
      <c r="BK10" s="275"/>
      <c r="BL10" s="275"/>
      <c r="BM10" s="275"/>
      <c r="BN10" s="275"/>
      <c r="BO10" s="275"/>
      <c r="BP10" s="275"/>
      <c r="BQ10" s="275"/>
      <c r="BR10" s="275"/>
      <c r="BS10" s="275"/>
      <c r="BT10" s="275"/>
      <c r="BU10" s="275"/>
      <c r="BV10" s="275"/>
      <c r="BW10" s="275"/>
      <c r="BX10" s="275"/>
      <c r="BY10" s="275"/>
      <c r="BZ10" s="275"/>
      <c r="CA10" s="275"/>
      <c r="CB10" s="275"/>
      <c r="CC10" s="275"/>
      <c r="CD10" s="275"/>
      <c r="CE10" s="275"/>
      <c r="CF10" s="275"/>
      <c r="CG10" s="275"/>
      <c r="CH10" s="275"/>
      <c r="CI10" s="275"/>
      <c r="CJ10" s="275"/>
      <c r="CK10" s="275"/>
      <c r="CL10" s="275"/>
      <c r="CM10" s="275"/>
      <c r="CN10" s="275"/>
      <c r="CO10" s="275"/>
      <c r="CP10" s="275"/>
      <c r="CQ10" s="275"/>
      <c r="CR10" s="275"/>
      <c r="CS10" s="275"/>
      <c r="CT10" s="275"/>
      <c r="CU10" s="275"/>
      <c r="CV10" s="275"/>
      <c r="CW10" s="275"/>
      <c r="CX10" s="275"/>
      <c r="CY10" s="275"/>
      <c r="CZ10" s="275"/>
      <c r="DA10" s="275"/>
      <c r="DB10" s="275"/>
      <c r="DC10" s="275"/>
      <c r="DD10" s="275"/>
      <c r="DE10" s="275"/>
      <c r="DF10" s="275"/>
      <c r="DG10" s="275"/>
      <c r="DH10" s="275"/>
      <c r="DI10" s="275"/>
      <c r="DJ10" s="275"/>
      <c r="DK10" s="275"/>
      <c r="DL10" s="275"/>
      <c r="DM10" s="275"/>
      <c r="DN10" s="275"/>
      <c r="DO10" s="275"/>
      <c r="DP10" s="275"/>
      <c r="DQ10" s="275"/>
      <c r="DR10" s="275"/>
      <c r="DS10" s="275"/>
      <c r="DT10" s="275"/>
      <c r="DU10" s="275"/>
      <c r="DV10" s="275"/>
      <c r="DW10" s="275"/>
      <c r="DX10" s="275"/>
      <c r="DY10" s="275"/>
      <c r="DZ10" s="275"/>
      <c r="EA10" s="275"/>
      <c r="EB10" s="275"/>
      <c r="EC10" s="275"/>
      <c r="ED10" s="275"/>
      <c r="EE10" s="275"/>
      <c r="EF10" s="275"/>
      <c r="EG10" s="275"/>
      <c r="EH10" s="275"/>
      <c r="EI10" s="275"/>
      <c r="EJ10" s="275"/>
      <c r="EK10" s="275"/>
      <c r="EL10" s="275"/>
      <c r="EM10" s="275"/>
      <c r="EN10" s="275"/>
      <c r="EO10" s="275"/>
      <c r="EP10" s="275"/>
      <c r="EQ10" s="275"/>
      <c r="ER10" s="275"/>
      <c r="ES10" s="275"/>
      <c r="ET10" s="275"/>
      <c r="EU10" s="275"/>
      <c r="EV10" s="275"/>
      <c r="EW10" s="275"/>
      <c r="EX10" s="275"/>
      <c r="EY10" s="275"/>
      <c r="EZ10" s="275"/>
      <c r="FA10" s="275"/>
      <c r="FB10" s="275"/>
      <c r="FC10" s="275"/>
      <c r="FD10" s="275"/>
      <c r="FE10" s="275"/>
      <c r="FF10" s="275"/>
      <c r="FG10" s="275"/>
      <c r="FH10" s="275"/>
      <c r="FI10" s="275"/>
      <c r="FJ10" s="275"/>
      <c r="FK10" s="275"/>
      <c r="FL10" s="275"/>
      <c r="FM10" s="275"/>
      <c r="FN10" s="275"/>
      <c r="FO10" s="275"/>
      <c r="FP10" s="275"/>
      <c r="FQ10" s="275"/>
      <c r="FR10" s="275"/>
      <c r="FS10" s="275"/>
      <c r="FT10" s="275"/>
      <c r="FU10" s="275"/>
      <c r="FV10" s="275"/>
      <c r="FW10" s="275"/>
      <c r="FX10" s="275"/>
      <c r="FY10" s="275"/>
      <c r="FZ10" s="275"/>
      <c r="GA10" s="275"/>
      <c r="GB10" s="275"/>
      <c r="GC10" s="275"/>
      <c r="GD10" s="275"/>
      <c r="GE10" s="275"/>
      <c r="GF10" s="275"/>
      <c r="GG10" s="275"/>
      <c r="GH10" s="275"/>
      <c r="GI10" s="275"/>
      <c r="GJ10" s="275"/>
      <c r="GK10" s="275"/>
      <c r="GL10" s="275"/>
      <c r="GM10" s="275"/>
      <c r="GN10" s="275"/>
      <c r="GO10" s="275"/>
      <c r="GP10" s="275"/>
      <c r="GQ10" s="275"/>
      <c r="GR10" s="275"/>
      <c r="GS10" s="275"/>
      <c r="GT10" s="275"/>
      <c r="GU10" s="275"/>
      <c r="GV10" s="275"/>
      <c r="GW10" s="275"/>
      <c r="GX10" s="275"/>
      <c r="GY10" s="275"/>
      <c r="GZ10" s="275"/>
      <c r="HA10" s="275"/>
      <c r="HB10" s="275"/>
      <c r="HC10" s="275"/>
      <c r="HD10" s="275"/>
      <c r="HE10" s="275"/>
      <c r="HF10" s="275"/>
      <c r="HG10" s="275"/>
      <c r="HH10" s="275"/>
      <c r="HI10" s="275"/>
      <c r="HJ10" s="275"/>
      <c r="HK10" s="275"/>
      <c r="HL10" s="275"/>
      <c r="HM10" s="275"/>
      <c r="HN10" s="275"/>
      <c r="HO10" s="275"/>
      <c r="HP10" s="275"/>
      <c r="HQ10" s="275"/>
      <c r="HR10" s="275"/>
      <c r="HS10" s="275"/>
      <c r="HT10" s="275"/>
      <c r="HU10" s="275"/>
      <c r="HV10" s="275"/>
      <c r="HW10" s="275"/>
      <c r="HX10" s="275"/>
      <c r="HY10" s="275"/>
      <c r="HZ10" s="275"/>
      <c r="IA10" s="275"/>
      <c r="IB10" s="275"/>
      <c r="IC10" s="275"/>
      <c r="ID10" s="275"/>
      <c r="IE10" s="275"/>
      <c r="IF10" s="275"/>
      <c r="IG10" s="275"/>
      <c r="IH10" s="275"/>
      <c r="II10" s="275"/>
      <c r="IJ10" s="275"/>
      <c r="IK10" s="275"/>
      <c r="IL10" s="275"/>
      <c r="IM10" s="275"/>
      <c r="IN10" s="275"/>
      <c r="IO10" s="275"/>
      <c r="IP10" s="275"/>
      <c r="IQ10" s="275"/>
      <c r="IR10" s="275"/>
      <c r="IS10" s="275"/>
      <c r="IT10" s="275"/>
      <c r="IU10" s="275"/>
      <c r="IV10" s="275"/>
    </row>
    <row r="11" spans="1:256" ht="12.75">
      <c r="A11" s="275"/>
      <c r="B11" s="280" t="s">
        <v>213</v>
      </c>
      <c r="C11" s="283" t="s">
        <v>232</v>
      </c>
      <c r="D11" s="307" t="s">
        <v>355</v>
      </c>
      <c r="E11" s="275"/>
      <c r="F11" s="275"/>
      <c r="G11" s="275"/>
      <c r="H11" s="275"/>
      <c r="I11" s="275"/>
      <c r="J11" s="275"/>
      <c r="K11" s="275"/>
      <c r="L11" s="275"/>
      <c r="M11" s="275"/>
      <c r="N11" s="275"/>
      <c r="O11" s="275"/>
      <c r="P11" s="275"/>
      <c r="Q11" s="275"/>
      <c r="R11" s="275"/>
      <c r="S11" s="275"/>
      <c r="T11" s="275"/>
      <c r="U11" s="275"/>
      <c r="V11" s="275"/>
      <c r="W11" s="275"/>
      <c r="X11" s="275"/>
      <c r="Y11" s="275"/>
      <c r="Z11" s="275"/>
      <c r="AA11" s="275"/>
      <c r="AB11" s="275"/>
      <c r="AC11" s="275"/>
      <c r="AD11" s="275"/>
      <c r="AE11" s="275"/>
      <c r="AF11" s="275"/>
      <c r="AG11" s="275"/>
      <c r="AH11" s="275"/>
      <c r="AI11" s="275"/>
      <c r="AJ11" s="275"/>
      <c r="AK11" s="275"/>
      <c r="AL11" s="275"/>
      <c r="AM11" s="275"/>
      <c r="AN11" s="275"/>
      <c r="AO11" s="275"/>
      <c r="AP11" s="275"/>
      <c r="AQ11" s="275"/>
      <c r="AR11" s="275"/>
      <c r="AS11" s="275"/>
      <c r="AT11" s="275"/>
      <c r="AU11" s="275"/>
      <c r="AV11" s="275"/>
      <c r="AW11" s="275"/>
      <c r="AX11" s="275"/>
      <c r="AY11" s="275"/>
      <c r="AZ11" s="275"/>
      <c r="BA11" s="275"/>
      <c r="BB11" s="275"/>
      <c r="BC11" s="275"/>
      <c r="BD11" s="275"/>
      <c r="BE11" s="275"/>
      <c r="BF11" s="275"/>
      <c r="BG11" s="275"/>
      <c r="BH11" s="275"/>
      <c r="BI11" s="275"/>
      <c r="BJ11" s="275"/>
      <c r="BK11" s="275"/>
      <c r="BL11" s="275"/>
      <c r="BM11" s="275"/>
      <c r="BN11" s="275"/>
      <c r="BO11" s="275"/>
      <c r="BP11" s="275"/>
      <c r="BQ11" s="275"/>
      <c r="BR11" s="275"/>
      <c r="BS11" s="275"/>
      <c r="BT11" s="275"/>
      <c r="BU11" s="275"/>
      <c r="BV11" s="275"/>
      <c r="BW11" s="275"/>
      <c r="BX11" s="275"/>
      <c r="BY11" s="275"/>
      <c r="BZ11" s="275"/>
      <c r="CA11" s="275"/>
      <c r="CB11" s="275"/>
      <c r="CC11" s="275"/>
      <c r="CD11" s="275"/>
      <c r="CE11" s="275"/>
      <c r="CF11" s="275"/>
      <c r="CG11" s="275"/>
      <c r="CH11" s="275"/>
      <c r="CI11" s="275"/>
      <c r="CJ11" s="275"/>
      <c r="CK11" s="275"/>
      <c r="CL11" s="275"/>
      <c r="CM11" s="275"/>
      <c r="CN11" s="275"/>
      <c r="CO11" s="275"/>
      <c r="CP11" s="275"/>
      <c r="CQ11" s="275"/>
      <c r="CR11" s="275"/>
      <c r="CS11" s="275"/>
      <c r="CT11" s="275"/>
      <c r="CU11" s="275"/>
      <c r="CV11" s="275"/>
      <c r="CW11" s="275"/>
      <c r="CX11" s="275"/>
      <c r="CY11" s="275"/>
      <c r="CZ11" s="275"/>
      <c r="DA11" s="275"/>
      <c r="DB11" s="275"/>
      <c r="DC11" s="275"/>
      <c r="DD11" s="275"/>
      <c r="DE11" s="275"/>
      <c r="DF11" s="275"/>
      <c r="DG11" s="275"/>
      <c r="DH11" s="275"/>
      <c r="DI11" s="275"/>
      <c r="DJ11" s="275"/>
      <c r="DK11" s="275"/>
      <c r="DL11" s="275"/>
      <c r="DM11" s="275"/>
      <c r="DN11" s="275"/>
      <c r="DO11" s="275"/>
      <c r="DP11" s="275"/>
      <c r="DQ11" s="275"/>
      <c r="DR11" s="275"/>
      <c r="DS11" s="275"/>
      <c r="DT11" s="275"/>
      <c r="DU11" s="275"/>
      <c r="DV11" s="275"/>
      <c r="DW11" s="275"/>
      <c r="DX11" s="275"/>
      <c r="DY11" s="275"/>
      <c r="DZ11" s="275"/>
      <c r="EA11" s="275"/>
      <c r="EB11" s="275"/>
      <c r="EC11" s="275"/>
      <c r="ED11" s="275"/>
      <c r="EE11" s="275"/>
      <c r="EF11" s="275"/>
      <c r="EG11" s="275"/>
      <c r="EH11" s="275"/>
      <c r="EI11" s="275"/>
      <c r="EJ11" s="275"/>
      <c r="EK11" s="275"/>
      <c r="EL11" s="275"/>
      <c r="EM11" s="275"/>
      <c r="EN11" s="275"/>
      <c r="EO11" s="275"/>
      <c r="EP11" s="275"/>
      <c r="EQ11" s="275"/>
      <c r="ER11" s="275"/>
      <c r="ES11" s="275"/>
      <c r="ET11" s="275"/>
      <c r="EU11" s="275"/>
      <c r="EV11" s="275"/>
      <c r="EW11" s="275"/>
      <c r="EX11" s="275"/>
      <c r="EY11" s="275"/>
      <c r="EZ11" s="275"/>
      <c r="FA11" s="275"/>
      <c r="FB11" s="275"/>
      <c r="FC11" s="275"/>
      <c r="FD11" s="275"/>
      <c r="FE11" s="275"/>
      <c r="FF11" s="275"/>
      <c r="FG11" s="275"/>
      <c r="FH11" s="275"/>
      <c r="FI11" s="275"/>
      <c r="FJ11" s="275"/>
      <c r="FK11" s="275"/>
      <c r="FL11" s="275"/>
      <c r="FM11" s="275"/>
      <c r="FN11" s="275"/>
      <c r="FO11" s="275"/>
      <c r="FP11" s="275"/>
      <c r="FQ11" s="275"/>
      <c r="FR11" s="275"/>
      <c r="FS11" s="275"/>
      <c r="FT11" s="275"/>
      <c r="FU11" s="275"/>
      <c r="FV11" s="275"/>
      <c r="FW11" s="275"/>
      <c r="FX11" s="275"/>
      <c r="FY11" s="275"/>
      <c r="FZ11" s="275"/>
      <c r="GA11" s="275"/>
      <c r="GB11" s="275"/>
      <c r="GC11" s="275"/>
      <c r="GD11" s="275"/>
      <c r="GE11" s="275"/>
      <c r="GF11" s="275"/>
      <c r="GG11" s="275"/>
      <c r="GH11" s="275"/>
      <c r="GI11" s="275"/>
      <c r="GJ11" s="275"/>
      <c r="GK11" s="275"/>
      <c r="GL11" s="275"/>
      <c r="GM11" s="275"/>
      <c r="GN11" s="275"/>
      <c r="GO11" s="275"/>
      <c r="GP11" s="275"/>
      <c r="GQ11" s="275"/>
      <c r="GR11" s="275"/>
      <c r="GS11" s="275"/>
      <c r="GT11" s="275"/>
      <c r="GU11" s="275"/>
      <c r="GV11" s="275"/>
      <c r="GW11" s="275"/>
      <c r="GX11" s="275"/>
      <c r="GY11" s="275"/>
      <c r="GZ11" s="275"/>
      <c r="HA11" s="275"/>
      <c r="HB11" s="275"/>
      <c r="HC11" s="275"/>
      <c r="HD11" s="275"/>
      <c r="HE11" s="275"/>
      <c r="HF11" s="275"/>
      <c r="HG11" s="275"/>
      <c r="HH11" s="275"/>
      <c r="HI11" s="275"/>
      <c r="HJ11" s="275"/>
      <c r="HK11" s="275"/>
      <c r="HL11" s="275"/>
      <c r="HM11" s="275"/>
      <c r="HN11" s="275"/>
      <c r="HO11" s="275"/>
      <c r="HP11" s="275"/>
      <c r="HQ11" s="275"/>
      <c r="HR11" s="275"/>
      <c r="HS11" s="275"/>
      <c r="HT11" s="275"/>
      <c r="HU11" s="275"/>
      <c r="HV11" s="275"/>
      <c r="HW11" s="275"/>
      <c r="HX11" s="275"/>
      <c r="HY11" s="275"/>
      <c r="HZ11" s="275"/>
      <c r="IA11" s="275"/>
      <c r="IB11" s="275"/>
      <c r="IC11" s="275"/>
      <c r="ID11" s="275"/>
      <c r="IE11" s="275"/>
      <c r="IF11" s="275"/>
      <c r="IG11" s="275"/>
      <c r="IH11" s="275"/>
      <c r="II11" s="275"/>
      <c r="IJ11" s="275"/>
      <c r="IK11" s="275"/>
      <c r="IL11" s="275"/>
      <c r="IM11" s="275"/>
      <c r="IN11" s="275"/>
      <c r="IO11" s="275"/>
      <c r="IP11" s="275"/>
      <c r="IQ11" s="275"/>
      <c r="IR11" s="275"/>
      <c r="IS11" s="275"/>
      <c r="IT11" s="275"/>
      <c r="IU11" s="275"/>
      <c r="IV11" s="275"/>
    </row>
    <row r="12" spans="2:4" ht="93" customHeight="1">
      <c r="B12" s="284" t="s">
        <v>214</v>
      </c>
      <c r="C12" s="471" t="s">
        <v>233</v>
      </c>
      <c r="D12" s="472" t="s">
        <v>239</v>
      </c>
    </row>
    <row r="13" spans="2:4" ht="54.75" customHeight="1">
      <c r="B13" s="507" t="s">
        <v>215</v>
      </c>
      <c r="C13" s="309" t="s">
        <v>234</v>
      </c>
      <c r="D13" s="485" t="s">
        <v>234</v>
      </c>
    </row>
    <row r="14" spans="2:4" ht="40.5" customHeight="1">
      <c r="B14" s="508"/>
      <c r="C14" s="309" t="s">
        <v>235</v>
      </c>
      <c r="D14" s="486" t="s">
        <v>235</v>
      </c>
    </row>
    <row r="15" spans="2:4" ht="38.25">
      <c r="B15" s="508"/>
      <c r="C15" s="309" t="s">
        <v>236</v>
      </c>
      <c r="D15" s="285"/>
    </row>
    <row r="16" spans="2:4" ht="38.25">
      <c r="B16" s="508"/>
      <c r="C16" s="309" t="s">
        <v>237</v>
      </c>
      <c r="D16" s="308"/>
    </row>
    <row r="17" spans="2:4" ht="25.5">
      <c r="B17" s="280" t="s">
        <v>216</v>
      </c>
      <c r="C17" s="286" t="s">
        <v>217</v>
      </c>
      <c r="D17" s="287" t="s">
        <v>217</v>
      </c>
    </row>
    <row r="18" spans="2:4" ht="13.5" thickBot="1">
      <c r="B18" s="288" t="s">
        <v>218</v>
      </c>
      <c r="C18" s="289" t="s">
        <v>238</v>
      </c>
      <c r="D18" s="290" t="s">
        <v>363</v>
      </c>
    </row>
    <row r="19" spans="2:3" ht="13.5" thickTop="1">
      <c r="B19" s="291"/>
      <c r="C19" s="292"/>
    </row>
    <row r="20" spans="2:3" ht="12.75">
      <c r="B20" s="293" t="s">
        <v>219</v>
      </c>
      <c r="C20" s="294"/>
    </row>
    <row r="21" spans="2:4" ht="12.75">
      <c r="B21" s="295" t="s">
        <v>220</v>
      </c>
      <c r="C21" s="296"/>
      <c r="D21" s="297"/>
    </row>
    <row r="22" spans="2:4" ht="12.75" customHeight="1">
      <c r="B22" s="509" t="s">
        <v>221</v>
      </c>
      <c r="C22" s="509"/>
      <c r="D22" s="509"/>
    </row>
    <row r="23" spans="2:4" ht="12.75">
      <c r="B23" s="294"/>
      <c r="C23" s="294"/>
      <c r="D23" s="297"/>
    </row>
    <row r="24" spans="1:256" ht="12.75">
      <c r="A24" s="298"/>
      <c r="B24" s="299" t="s">
        <v>222</v>
      </c>
      <c r="C24" s="299"/>
      <c r="D24" s="300"/>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298"/>
      <c r="AQ24" s="298"/>
      <c r="AR24" s="298"/>
      <c r="AS24" s="298"/>
      <c r="AT24" s="298"/>
      <c r="AU24" s="298"/>
      <c r="AV24" s="298"/>
      <c r="AW24" s="298"/>
      <c r="AX24" s="298"/>
      <c r="AY24" s="298"/>
      <c r="AZ24" s="298"/>
      <c r="BA24" s="298"/>
      <c r="BB24" s="298"/>
      <c r="BC24" s="298"/>
      <c r="BD24" s="298"/>
      <c r="BE24" s="298"/>
      <c r="BF24" s="298"/>
      <c r="BG24" s="298"/>
      <c r="BH24" s="298"/>
      <c r="BI24" s="298"/>
      <c r="BJ24" s="298"/>
      <c r="BK24" s="298"/>
      <c r="BL24" s="298"/>
      <c r="BM24" s="298"/>
      <c r="BN24" s="298"/>
      <c r="BO24" s="298"/>
      <c r="BP24" s="298"/>
      <c r="BQ24" s="298"/>
      <c r="BR24" s="298"/>
      <c r="BS24" s="298"/>
      <c r="BT24" s="298"/>
      <c r="BU24" s="298"/>
      <c r="BV24" s="298"/>
      <c r="BW24" s="298"/>
      <c r="BX24" s="298"/>
      <c r="BY24" s="298"/>
      <c r="BZ24" s="298"/>
      <c r="CA24" s="298"/>
      <c r="CB24" s="298"/>
      <c r="CC24" s="298"/>
      <c r="CD24" s="298"/>
      <c r="CE24" s="298"/>
      <c r="CF24" s="298"/>
      <c r="CG24" s="298"/>
      <c r="CH24" s="298"/>
      <c r="CI24" s="298"/>
      <c r="CJ24" s="298"/>
      <c r="CK24" s="298"/>
      <c r="CL24" s="298"/>
      <c r="CM24" s="298"/>
      <c r="CN24" s="298"/>
      <c r="CO24" s="298"/>
      <c r="CP24" s="298"/>
      <c r="CQ24" s="298"/>
      <c r="CR24" s="298"/>
      <c r="CS24" s="298"/>
      <c r="CT24" s="298"/>
      <c r="CU24" s="298"/>
      <c r="CV24" s="298"/>
      <c r="CW24" s="298"/>
      <c r="CX24" s="298"/>
      <c r="CY24" s="298"/>
      <c r="CZ24" s="298"/>
      <c r="DA24" s="298"/>
      <c r="DB24" s="298"/>
      <c r="DC24" s="298"/>
      <c r="DD24" s="298"/>
      <c r="DE24" s="298"/>
      <c r="DF24" s="298"/>
      <c r="DG24" s="298"/>
      <c r="DH24" s="298"/>
      <c r="DI24" s="298"/>
      <c r="DJ24" s="298"/>
      <c r="DK24" s="298"/>
      <c r="DL24" s="298"/>
      <c r="DM24" s="298"/>
      <c r="DN24" s="298"/>
      <c r="DO24" s="298"/>
      <c r="DP24" s="298"/>
      <c r="DQ24" s="298"/>
      <c r="DR24" s="298"/>
      <c r="DS24" s="298"/>
      <c r="DT24" s="298"/>
      <c r="DU24" s="298"/>
      <c r="DV24" s="298"/>
      <c r="DW24" s="298"/>
      <c r="DX24" s="298"/>
      <c r="DY24" s="298"/>
      <c r="DZ24" s="298"/>
      <c r="EA24" s="298"/>
      <c r="EB24" s="298"/>
      <c r="EC24" s="298"/>
      <c r="ED24" s="298"/>
      <c r="EE24" s="298"/>
      <c r="EF24" s="298"/>
      <c r="EG24" s="298"/>
      <c r="EH24" s="298"/>
      <c r="EI24" s="298"/>
      <c r="EJ24" s="298"/>
      <c r="EK24" s="298"/>
      <c r="EL24" s="298"/>
      <c r="EM24" s="298"/>
      <c r="EN24" s="298"/>
      <c r="EO24" s="298"/>
      <c r="EP24" s="298"/>
      <c r="EQ24" s="298"/>
      <c r="ER24" s="298"/>
      <c r="ES24" s="298"/>
      <c r="ET24" s="298"/>
      <c r="EU24" s="298"/>
      <c r="EV24" s="298"/>
      <c r="EW24" s="298"/>
      <c r="EX24" s="298"/>
      <c r="EY24" s="298"/>
      <c r="EZ24" s="298"/>
      <c r="FA24" s="298"/>
      <c r="FB24" s="298"/>
      <c r="FC24" s="298"/>
      <c r="FD24" s="298"/>
      <c r="FE24" s="298"/>
      <c r="FF24" s="298"/>
      <c r="FG24" s="298"/>
      <c r="FH24" s="298"/>
      <c r="FI24" s="298"/>
      <c r="FJ24" s="298"/>
      <c r="FK24" s="298"/>
      <c r="FL24" s="298"/>
      <c r="FM24" s="298"/>
      <c r="FN24" s="298"/>
      <c r="FO24" s="298"/>
      <c r="FP24" s="298"/>
      <c r="FQ24" s="298"/>
      <c r="FR24" s="298"/>
      <c r="FS24" s="298"/>
      <c r="FT24" s="298"/>
      <c r="FU24" s="298"/>
      <c r="FV24" s="298"/>
      <c r="FW24" s="298"/>
      <c r="FX24" s="298"/>
      <c r="FY24" s="298"/>
      <c r="FZ24" s="298"/>
      <c r="GA24" s="298"/>
      <c r="GB24" s="298"/>
      <c r="GC24" s="298"/>
      <c r="GD24" s="298"/>
      <c r="GE24" s="298"/>
      <c r="GF24" s="298"/>
      <c r="GG24" s="298"/>
      <c r="GH24" s="298"/>
      <c r="GI24" s="298"/>
      <c r="GJ24" s="298"/>
      <c r="GK24" s="298"/>
      <c r="GL24" s="298"/>
      <c r="GM24" s="298"/>
      <c r="GN24" s="298"/>
      <c r="GO24" s="298"/>
      <c r="GP24" s="298"/>
      <c r="GQ24" s="298"/>
      <c r="GR24" s="298"/>
      <c r="GS24" s="298"/>
      <c r="GT24" s="298"/>
      <c r="GU24" s="298"/>
      <c r="GV24" s="298"/>
      <c r="GW24" s="298"/>
      <c r="GX24" s="298"/>
      <c r="GY24" s="298"/>
      <c r="GZ24" s="298"/>
      <c r="HA24" s="298"/>
      <c r="HB24" s="298"/>
      <c r="HC24" s="298"/>
      <c r="HD24" s="298"/>
      <c r="HE24" s="298"/>
      <c r="HF24" s="298"/>
      <c r="HG24" s="298"/>
      <c r="HH24" s="298"/>
      <c r="HI24" s="298"/>
      <c r="HJ24" s="298"/>
      <c r="HK24" s="298"/>
      <c r="HL24" s="298"/>
      <c r="HM24" s="298"/>
      <c r="HN24" s="298"/>
      <c r="HO24" s="298"/>
      <c r="HP24" s="298"/>
      <c r="HQ24" s="298"/>
      <c r="HR24" s="298"/>
      <c r="HS24" s="298"/>
      <c r="HT24" s="298"/>
      <c r="HU24" s="298"/>
      <c r="HV24" s="298"/>
      <c r="HW24" s="298"/>
      <c r="HX24" s="298"/>
      <c r="HY24" s="298"/>
      <c r="HZ24" s="298"/>
      <c r="IA24" s="298"/>
      <c r="IB24" s="298"/>
      <c r="IC24" s="298"/>
      <c r="ID24" s="298"/>
      <c r="IE24" s="298"/>
      <c r="IF24" s="298"/>
      <c r="IG24" s="298"/>
      <c r="IH24" s="298"/>
      <c r="II24" s="298"/>
      <c r="IJ24" s="298"/>
      <c r="IK24" s="298"/>
      <c r="IL24" s="298"/>
      <c r="IM24" s="298"/>
      <c r="IN24" s="298"/>
      <c r="IO24" s="298"/>
      <c r="IP24" s="298"/>
      <c r="IQ24" s="298"/>
      <c r="IR24" s="298"/>
      <c r="IS24" s="298"/>
      <c r="IT24" s="298"/>
      <c r="IU24" s="298"/>
      <c r="IV24" s="298"/>
    </row>
    <row r="25" spans="1:256" ht="12.75" customHeight="1">
      <c r="A25" s="298"/>
      <c r="B25" s="510" t="s">
        <v>223</v>
      </c>
      <c r="C25" s="510"/>
      <c r="D25" s="510"/>
      <c r="E25" s="298"/>
      <c r="F25" s="298"/>
      <c r="G25" s="298"/>
      <c r="H25" s="298"/>
      <c r="I25" s="298"/>
      <c r="J25" s="298"/>
      <c r="K25" s="298"/>
      <c r="L25" s="298"/>
      <c r="M25" s="298"/>
      <c r="N25" s="298"/>
      <c r="O25" s="298"/>
      <c r="P25" s="298"/>
      <c r="Q25" s="298"/>
      <c r="R25" s="298"/>
      <c r="S25" s="298"/>
      <c r="T25" s="298"/>
      <c r="U25" s="298"/>
      <c r="V25" s="298"/>
      <c r="W25" s="298"/>
      <c r="X25" s="298"/>
      <c r="Y25" s="298"/>
      <c r="Z25" s="298"/>
      <c r="AA25" s="298"/>
      <c r="AB25" s="298"/>
      <c r="AC25" s="298"/>
      <c r="AD25" s="298"/>
      <c r="AE25" s="298"/>
      <c r="AF25" s="298"/>
      <c r="AG25" s="298"/>
      <c r="AH25" s="298"/>
      <c r="AI25" s="298"/>
      <c r="AJ25" s="298"/>
      <c r="AK25" s="298"/>
      <c r="AL25" s="298"/>
      <c r="AM25" s="298"/>
      <c r="AN25" s="298"/>
      <c r="AO25" s="298"/>
      <c r="AP25" s="298"/>
      <c r="AQ25" s="298"/>
      <c r="AR25" s="298"/>
      <c r="AS25" s="298"/>
      <c r="AT25" s="298"/>
      <c r="AU25" s="298"/>
      <c r="AV25" s="298"/>
      <c r="AW25" s="298"/>
      <c r="AX25" s="298"/>
      <c r="AY25" s="298"/>
      <c r="AZ25" s="298"/>
      <c r="BA25" s="298"/>
      <c r="BB25" s="298"/>
      <c r="BC25" s="298"/>
      <c r="BD25" s="298"/>
      <c r="BE25" s="298"/>
      <c r="BF25" s="298"/>
      <c r="BG25" s="298"/>
      <c r="BH25" s="298"/>
      <c r="BI25" s="298"/>
      <c r="BJ25" s="298"/>
      <c r="BK25" s="298"/>
      <c r="BL25" s="298"/>
      <c r="BM25" s="298"/>
      <c r="BN25" s="298"/>
      <c r="BO25" s="298"/>
      <c r="BP25" s="298"/>
      <c r="BQ25" s="298"/>
      <c r="BR25" s="298"/>
      <c r="BS25" s="298"/>
      <c r="BT25" s="298"/>
      <c r="BU25" s="298"/>
      <c r="BV25" s="298"/>
      <c r="BW25" s="298"/>
      <c r="BX25" s="298"/>
      <c r="BY25" s="298"/>
      <c r="BZ25" s="298"/>
      <c r="CA25" s="298"/>
      <c r="CB25" s="298"/>
      <c r="CC25" s="298"/>
      <c r="CD25" s="298"/>
      <c r="CE25" s="298"/>
      <c r="CF25" s="298"/>
      <c r="CG25" s="298"/>
      <c r="CH25" s="298"/>
      <c r="CI25" s="298"/>
      <c r="CJ25" s="298"/>
      <c r="CK25" s="298"/>
      <c r="CL25" s="298"/>
      <c r="CM25" s="298"/>
      <c r="CN25" s="298"/>
      <c r="CO25" s="298"/>
      <c r="CP25" s="298"/>
      <c r="CQ25" s="298"/>
      <c r="CR25" s="298"/>
      <c r="CS25" s="298"/>
      <c r="CT25" s="298"/>
      <c r="CU25" s="298"/>
      <c r="CV25" s="298"/>
      <c r="CW25" s="298"/>
      <c r="CX25" s="298"/>
      <c r="CY25" s="298"/>
      <c r="CZ25" s="298"/>
      <c r="DA25" s="298"/>
      <c r="DB25" s="298"/>
      <c r="DC25" s="298"/>
      <c r="DD25" s="298"/>
      <c r="DE25" s="298"/>
      <c r="DF25" s="298"/>
      <c r="DG25" s="298"/>
      <c r="DH25" s="298"/>
      <c r="DI25" s="298"/>
      <c r="DJ25" s="298"/>
      <c r="DK25" s="298"/>
      <c r="DL25" s="298"/>
      <c r="DM25" s="298"/>
      <c r="DN25" s="298"/>
      <c r="DO25" s="298"/>
      <c r="DP25" s="298"/>
      <c r="DQ25" s="298"/>
      <c r="DR25" s="298"/>
      <c r="DS25" s="298"/>
      <c r="DT25" s="298"/>
      <c r="DU25" s="298"/>
      <c r="DV25" s="298"/>
      <c r="DW25" s="298"/>
      <c r="DX25" s="298"/>
      <c r="DY25" s="298"/>
      <c r="DZ25" s="298"/>
      <c r="EA25" s="298"/>
      <c r="EB25" s="298"/>
      <c r="EC25" s="298"/>
      <c r="ED25" s="298"/>
      <c r="EE25" s="298"/>
      <c r="EF25" s="298"/>
      <c r="EG25" s="298"/>
      <c r="EH25" s="298"/>
      <c r="EI25" s="298"/>
      <c r="EJ25" s="298"/>
      <c r="EK25" s="298"/>
      <c r="EL25" s="298"/>
      <c r="EM25" s="298"/>
      <c r="EN25" s="298"/>
      <c r="EO25" s="298"/>
      <c r="EP25" s="298"/>
      <c r="EQ25" s="298"/>
      <c r="ER25" s="298"/>
      <c r="ES25" s="298"/>
      <c r="ET25" s="298"/>
      <c r="EU25" s="298"/>
      <c r="EV25" s="298"/>
      <c r="EW25" s="298"/>
      <c r="EX25" s="298"/>
      <c r="EY25" s="298"/>
      <c r="EZ25" s="298"/>
      <c r="FA25" s="298"/>
      <c r="FB25" s="298"/>
      <c r="FC25" s="298"/>
      <c r="FD25" s="298"/>
      <c r="FE25" s="298"/>
      <c r="FF25" s="298"/>
      <c r="FG25" s="298"/>
      <c r="FH25" s="298"/>
      <c r="FI25" s="298"/>
      <c r="FJ25" s="298"/>
      <c r="FK25" s="298"/>
      <c r="FL25" s="298"/>
      <c r="FM25" s="298"/>
      <c r="FN25" s="298"/>
      <c r="FO25" s="298"/>
      <c r="FP25" s="298"/>
      <c r="FQ25" s="298"/>
      <c r="FR25" s="298"/>
      <c r="FS25" s="298"/>
      <c r="FT25" s="298"/>
      <c r="FU25" s="298"/>
      <c r="FV25" s="298"/>
      <c r="FW25" s="298"/>
      <c r="FX25" s="298"/>
      <c r="FY25" s="298"/>
      <c r="FZ25" s="298"/>
      <c r="GA25" s="298"/>
      <c r="GB25" s="298"/>
      <c r="GC25" s="298"/>
      <c r="GD25" s="298"/>
      <c r="GE25" s="298"/>
      <c r="GF25" s="298"/>
      <c r="GG25" s="298"/>
      <c r="GH25" s="298"/>
      <c r="GI25" s="298"/>
      <c r="GJ25" s="298"/>
      <c r="GK25" s="298"/>
      <c r="GL25" s="298"/>
      <c r="GM25" s="298"/>
      <c r="GN25" s="298"/>
      <c r="GO25" s="298"/>
      <c r="GP25" s="298"/>
      <c r="GQ25" s="298"/>
      <c r="GR25" s="298"/>
      <c r="GS25" s="298"/>
      <c r="GT25" s="298"/>
      <c r="GU25" s="298"/>
      <c r="GV25" s="298"/>
      <c r="GW25" s="298"/>
      <c r="GX25" s="298"/>
      <c r="GY25" s="298"/>
      <c r="GZ25" s="298"/>
      <c r="HA25" s="298"/>
      <c r="HB25" s="298"/>
      <c r="HC25" s="298"/>
      <c r="HD25" s="298"/>
      <c r="HE25" s="298"/>
      <c r="HF25" s="298"/>
      <c r="HG25" s="298"/>
      <c r="HH25" s="298"/>
      <c r="HI25" s="298"/>
      <c r="HJ25" s="298"/>
      <c r="HK25" s="298"/>
      <c r="HL25" s="298"/>
      <c r="HM25" s="298"/>
      <c r="HN25" s="298"/>
      <c r="HO25" s="298"/>
      <c r="HP25" s="298"/>
      <c r="HQ25" s="298"/>
      <c r="HR25" s="298"/>
      <c r="HS25" s="298"/>
      <c r="HT25" s="298"/>
      <c r="HU25" s="298"/>
      <c r="HV25" s="298"/>
      <c r="HW25" s="298"/>
      <c r="HX25" s="298"/>
      <c r="HY25" s="298"/>
      <c r="HZ25" s="298"/>
      <c r="IA25" s="298"/>
      <c r="IB25" s="298"/>
      <c r="IC25" s="298"/>
      <c r="ID25" s="298"/>
      <c r="IE25" s="298"/>
      <c r="IF25" s="298"/>
      <c r="IG25" s="298"/>
      <c r="IH25" s="298"/>
      <c r="II25" s="298"/>
      <c r="IJ25" s="298"/>
      <c r="IK25" s="298"/>
      <c r="IL25" s="298"/>
      <c r="IM25" s="298"/>
      <c r="IN25" s="298"/>
      <c r="IO25" s="298"/>
      <c r="IP25" s="298"/>
      <c r="IQ25" s="298"/>
      <c r="IR25" s="298"/>
      <c r="IS25" s="298"/>
      <c r="IT25" s="298"/>
      <c r="IU25" s="298"/>
      <c r="IV25" s="298"/>
    </row>
    <row r="26" spans="1:256" ht="12.75">
      <c r="A26" s="298"/>
      <c r="B26" s="301"/>
      <c r="C26" s="301"/>
      <c r="D26" s="300"/>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298"/>
      <c r="AQ26" s="298"/>
      <c r="AR26" s="298"/>
      <c r="AS26" s="298"/>
      <c r="AT26" s="298"/>
      <c r="AU26" s="298"/>
      <c r="AV26" s="298"/>
      <c r="AW26" s="298"/>
      <c r="AX26" s="298"/>
      <c r="AY26" s="298"/>
      <c r="AZ26" s="298"/>
      <c r="BA26" s="298"/>
      <c r="BB26" s="298"/>
      <c r="BC26" s="298"/>
      <c r="BD26" s="298"/>
      <c r="BE26" s="298"/>
      <c r="BF26" s="298"/>
      <c r="BG26" s="298"/>
      <c r="BH26" s="298"/>
      <c r="BI26" s="298"/>
      <c r="BJ26" s="298"/>
      <c r="BK26" s="298"/>
      <c r="BL26" s="298"/>
      <c r="BM26" s="298"/>
      <c r="BN26" s="298"/>
      <c r="BO26" s="298"/>
      <c r="BP26" s="298"/>
      <c r="BQ26" s="298"/>
      <c r="BR26" s="298"/>
      <c r="BS26" s="298"/>
      <c r="BT26" s="298"/>
      <c r="BU26" s="298"/>
      <c r="BV26" s="298"/>
      <c r="BW26" s="298"/>
      <c r="BX26" s="298"/>
      <c r="BY26" s="298"/>
      <c r="BZ26" s="298"/>
      <c r="CA26" s="298"/>
      <c r="CB26" s="298"/>
      <c r="CC26" s="298"/>
      <c r="CD26" s="298"/>
      <c r="CE26" s="298"/>
      <c r="CF26" s="298"/>
      <c r="CG26" s="298"/>
      <c r="CH26" s="298"/>
      <c r="CI26" s="298"/>
      <c r="CJ26" s="298"/>
      <c r="CK26" s="298"/>
      <c r="CL26" s="298"/>
      <c r="CM26" s="298"/>
      <c r="CN26" s="298"/>
      <c r="CO26" s="298"/>
      <c r="CP26" s="298"/>
      <c r="CQ26" s="298"/>
      <c r="CR26" s="298"/>
      <c r="CS26" s="298"/>
      <c r="CT26" s="298"/>
      <c r="CU26" s="298"/>
      <c r="CV26" s="298"/>
      <c r="CW26" s="298"/>
      <c r="CX26" s="298"/>
      <c r="CY26" s="298"/>
      <c r="CZ26" s="298"/>
      <c r="DA26" s="298"/>
      <c r="DB26" s="298"/>
      <c r="DC26" s="298"/>
      <c r="DD26" s="298"/>
      <c r="DE26" s="298"/>
      <c r="DF26" s="298"/>
      <c r="DG26" s="298"/>
      <c r="DH26" s="298"/>
      <c r="DI26" s="298"/>
      <c r="DJ26" s="298"/>
      <c r="DK26" s="298"/>
      <c r="DL26" s="298"/>
      <c r="DM26" s="298"/>
      <c r="DN26" s="298"/>
      <c r="DO26" s="298"/>
      <c r="DP26" s="298"/>
      <c r="DQ26" s="298"/>
      <c r="DR26" s="298"/>
      <c r="DS26" s="298"/>
      <c r="DT26" s="298"/>
      <c r="DU26" s="298"/>
      <c r="DV26" s="298"/>
      <c r="DW26" s="298"/>
      <c r="DX26" s="298"/>
      <c r="DY26" s="298"/>
      <c r="DZ26" s="298"/>
      <c r="EA26" s="298"/>
      <c r="EB26" s="298"/>
      <c r="EC26" s="298"/>
      <c r="ED26" s="298"/>
      <c r="EE26" s="298"/>
      <c r="EF26" s="298"/>
      <c r="EG26" s="298"/>
      <c r="EH26" s="298"/>
      <c r="EI26" s="298"/>
      <c r="EJ26" s="298"/>
      <c r="EK26" s="298"/>
      <c r="EL26" s="298"/>
      <c r="EM26" s="298"/>
      <c r="EN26" s="298"/>
      <c r="EO26" s="298"/>
      <c r="EP26" s="298"/>
      <c r="EQ26" s="298"/>
      <c r="ER26" s="298"/>
      <c r="ES26" s="298"/>
      <c r="ET26" s="298"/>
      <c r="EU26" s="298"/>
      <c r="EV26" s="298"/>
      <c r="EW26" s="298"/>
      <c r="EX26" s="298"/>
      <c r="EY26" s="298"/>
      <c r="EZ26" s="298"/>
      <c r="FA26" s="298"/>
      <c r="FB26" s="298"/>
      <c r="FC26" s="298"/>
      <c r="FD26" s="298"/>
      <c r="FE26" s="298"/>
      <c r="FF26" s="298"/>
      <c r="FG26" s="298"/>
      <c r="FH26" s="298"/>
      <c r="FI26" s="298"/>
      <c r="FJ26" s="298"/>
      <c r="FK26" s="298"/>
      <c r="FL26" s="298"/>
      <c r="FM26" s="298"/>
      <c r="FN26" s="298"/>
      <c r="FO26" s="298"/>
      <c r="FP26" s="298"/>
      <c r="FQ26" s="298"/>
      <c r="FR26" s="298"/>
      <c r="FS26" s="298"/>
      <c r="FT26" s="298"/>
      <c r="FU26" s="298"/>
      <c r="FV26" s="298"/>
      <c r="FW26" s="298"/>
      <c r="FX26" s="298"/>
      <c r="FY26" s="298"/>
      <c r="FZ26" s="298"/>
      <c r="GA26" s="298"/>
      <c r="GB26" s="298"/>
      <c r="GC26" s="298"/>
      <c r="GD26" s="298"/>
      <c r="GE26" s="298"/>
      <c r="GF26" s="298"/>
      <c r="GG26" s="298"/>
      <c r="GH26" s="298"/>
      <c r="GI26" s="298"/>
      <c r="GJ26" s="298"/>
      <c r="GK26" s="298"/>
      <c r="GL26" s="298"/>
      <c r="GM26" s="298"/>
      <c r="GN26" s="298"/>
      <c r="GO26" s="298"/>
      <c r="GP26" s="298"/>
      <c r="GQ26" s="298"/>
      <c r="GR26" s="298"/>
      <c r="GS26" s="298"/>
      <c r="GT26" s="298"/>
      <c r="GU26" s="298"/>
      <c r="GV26" s="298"/>
      <c r="GW26" s="298"/>
      <c r="GX26" s="298"/>
      <c r="GY26" s="298"/>
      <c r="GZ26" s="298"/>
      <c r="HA26" s="298"/>
      <c r="HB26" s="298"/>
      <c r="HC26" s="298"/>
      <c r="HD26" s="298"/>
      <c r="HE26" s="298"/>
      <c r="HF26" s="298"/>
      <c r="HG26" s="298"/>
      <c r="HH26" s="298"/>
      <c r="HI26" s="298"/>
      <c r="HJ26" s="298"/>
      <c r="HK26" s="298"/>
      <c r="HL26" s="298"/>
      <c r="HM26" s="298"/>
      <c r="HN26" s="298"/>
      <c r="HO26" s="298"/>
      <c r="HP26" s="298"/>
      <c r="HQ26" s="298"/>
      <c r="HR26" s="298"/>
      <c r="HS26" s="298"/>
      <c r="HT26" s="298"/>
      <c r="HU26" s="298"/>
      <c r="HV26" s="298"/>
      <c r="HW26" s="298"/>
      <c r="HX26" s="298"/>
      <c r="HY26" s="298"/>
      <c r="HZ26" s="298"/>
      <c r="IA26" s="298"/>
      <c r="IB26" s="298"/>
      <c r="IC26" s="298"/>
      <c r="ID26" s="298"/>
      <c r="IE26" s="298"/>
      <c r="IF26" s="298"/>
      <c r="IG26" s="298"/>
      <c r="IH26" s="298"/>
      <c r="II26" s="298"/>
      <c r="IJ26" s="298"/>
      <c r="IK26" s="298"/>
      <c r="IL26" s="298"/>
      <c r="IM26" s="298"/>
      <c r="IN26" s="298"/>
      <c r="IO26" s="298"/>
      <c r="IP26" s="298"/>
      <c r="IQ26" s="298"/>
      <c r="IR26" s="298"/>
      <c r="IS26" s="298"/>
      <c r="IT26" s="298"/>
      <c r="IU26" s="298"/>
      <c r="IV26" s="298"/>
    </row>
    <row r="27" spans="1:256" ht="12.75">
      <c r="A27" s="298"/>
      <c r="B27" s="302" t="s">
        <v>224</v>
      </c>
      <c r="C27" s="302"/>
      <c r="D27" s="300"/>
      <c r="E27" s="298"/>
      <c r="F27" s="298"/>
      <c r="G27" s="298"/>
      <c r="H27" s="298"/>
      <c r="I27" s="298"/>
      <c r="J27" s="298"/>
      <c r="K27" s="298"/>
      <c r="L27" s="298"/>
      <c r="M27" s="298"/>
      <c r="N27" s="298"/>
      <c r="O27" s="298"/>
      <c r="P27" s="298"/>
      <c r="Q27" s="298"/>
      <c r="R27" s="298"/>
      <c r="S27" s="298"/>
      <c r="T27" s="298"/>
      <c r="U27" s="298"/>
      <c r="V27" s="298"/>
      <c r="W27" s="298"/>
      <c r="X27" s="298"/>
      <c r="Y27" s="298"/>
      <c r="Z27" s="298"/>
      <c r="AA27" s="298"/>
      <c r="AB27" s="298"/>
      <c r="AC27" s="298"/>
      <c r="AD27" s="298"/>
      <c r="AE27" s="298"/>
      <c r="AF27" s="298"/>
      <c r="AG27" s="298"/>
      <c r="AH27" s="298"/>
      <c r="AI27" s="298"/>
      <c r="AJ27" s="298"/>
      <c r="AK27" s="298"/>
      <c r="AL27" s="298"/>
      <c r="AM27" s="298"/>
      <c r="AN27" s="298"/>
      <c r="AO27" s="298"/>
      <c r="AP27" s="298"/>
      <c r="AQ27" s="298"/>
      <c r="AR27" s="298"/>
      <c r="AS27" s="298"/>
      <c r="AT27" s="298"/>
      <c r="AU27" s="298"/>
      <c r="AV27" s="298"/>
      <c r="AW27" s="298"/>
      <c r="AX27" s="298"/>
      <c r="AY27" s="298"/>
      <c r="AZ27" s="298"/>
      <c r="BA27" s="298"/>
      <c r="BB27" s="298"/>
      <c r="BC27" s="298"/>
      <c r="BD27" s="298"/>
      <c r="BE27" s="298"/>
      <c r="BF27" s="298"/>
      <c r="BG27" s="298"/>
      <c r="BH27" s="298"/>
      <c r="BI27" s="298"/>
      <c r="BJ27" s="298"/>
      <c r="BK27" s="298"/>
      <c r="BL27" s="298"/>
      <c r="BM27" s="298"/>
      <c r="BN27" s="298"/>
      <c r="BO27" s="298"/>
      <c r="BP27" s="298"/>
      <c r="BQ27" s="298"/>
      <c r="BR27" s="298"/>
      <c r="BS27" s="298"/>
      <c r="BT27" s="298"/>
      <c r="BU27" s="298"/>
      <c r="BV27" s="298"/>
      <c r="BW27" s="298"/>
      <c r="BX27" s="298"/>
      <c r="BY27" s="298"/>
      <c r="BZ27" s="298"/>
      <c r="CA27" s="298"/>
      <c r="CB27" s="298"/>
      <c r="CC27" s="298"/>
      <c r="CD27" s="298"/>
      <c r="CE27" s="298"/>
      <c r="CF27" s="298"/>
      <c r="CG27" s="298"/>
      <c r="CH27" s="298"/>
      <c r="CI27" s="298"/>
      <c r="CJ27" s="298"/>
      <c r="CK27" s="298"/>
      <c r="CL27" s="298"/>
      <c r="CM27" s="298"/>
      <c r="CN27" s="298"/>
      <c r="CO27" s="298"/>
      <c r="CP27" s="298"/>
      <c r="CQ27" s="298"/>
      <c r="CR27" s="298"/>
      <c r="CS27" s="298"/>
      <c r="CT27" s="298"/>
      <c r="CU27" s="298"/>
      <c r="CV27" s="298"/>
      <c r="CW27" s="298"/>
      <c r="CX27" s="298"/>
      <c r="CY27" s="298"/>
      <c r="CZ27" s="298"/>
      <c r="DA27" s="298"/>
      <c r="DB27" s="298"/>
      <c r="DC27" s="298"/>
      <c r="DD27" s="298"/>
      <c r="DE27" s="298"/>
      <c r="DF27" s="298"/>
      <c r="DG27" s="298"/>
      <c r="DH27" s="298"/>
      <c r="DI27" s="298"/>
      <c r="DJ27" s="298"/>
      <c r="DK27" s="298"/>
      <c r="DL27" s="298"/>
      <c r="DM27" s="298"/>
      <c r="DN27" s="298"/>
      <c r="DO27" s="298"/>
      <c r="DP27" s="298"/>
      <c r="DQ27" s="298"/>
      <c r="DR27" s="298"/>
      <c r="DS27" s="298"/>
      <c r="DT27" s="298"/>
      <c r="DU27" s="298"/>
      <c r="DV27" s="298"/>
      <c r="DW27" s="298"/>
      <c r="DX27" s="298"/>
      <c r="DY27" s="298"/>
      <c r="DZ27" s="298"/>
      <c r="EA27" s="298"/>
      <c r="EB27" s="298"/>
      <c r="EC27" s="298"/>
      <c r="ED27" s="298"/>
      <c r="EE27" s="298"/>
      <c r="EF27" s="298"/>
      <c r="EG27" s="298"/>
      <c r="EH27" s="298"/>
      <c r="EI27" s="298"/>
      <c r="EJ27" s="298"/>
      <c r="EK27" s="298"/>
      <c r="EL27" s="298"/>
      <c r="EM27" s="298"/>
      <c r="EN27" s="298"/>
      <c r="EO27" s="298"/>
      <c r="EP27" s="298"/>
      <c r="EQ27" s="298"/>
      <c r="ER27" s="298"/>
      <c r="ES27" s="298"/>
      <c r="ET27" s="298"/>
      <c r="EU27" s="298"/>
      <c r="EV27" s="298"/>
      <c r="EW27" s="298"/>
      <c r="EX27" s="298"/>
      <c r="EY27" s="298"/>
      <c r="EZ27" s="298"/>
      <c r="FA27" s="298"/>
      <c r="FB27" s="298"/>
      <c r="FC27" s="298"/>
      <c r="FD27" s="298"/>
      <c r="FE27" s="298"/>
      <c r="FF27" s="298"/>
      <c r="FG27" s="298"/>
      <c r="FH27" s="298"/>
      <c r="FI27" s="298"/>
      <c r="FJ27" s="298"/>
      <c r="FK27" s="298"/>
      <c r="FL27" s="298"/>
      <c r="FM27" s="298"/>
      <c r="FN27" s="298"/>
      <c r="FO27" s="298"/>
      <c r="FP27" s="298"/>
      <c r="FQ27" s="298"/>
      <c r="FR27" s="298"/>
      <c r="FS27" s="298"/>
      <c r="FT27" s="298"/>
      <c r="FU27" s="298"/>
      <c r="FV27" s="298"/>
      <c r="FW27" s="298"/>
      <c r="FX27" s="298"/>
      <c r="FY27" s="298"/>
      <c r="FZ27" s="298"/>
      <c r="GA27" s="298"/>
      <c r="GB27" s="298"/>
      <c r="GC27" s="298"/>
      <c r="GD27" s="298"/>
      <c r="GE27" s="298"/>
      <c r="GF27" s="298"/>
      <c r="GG27" s="298"/>
      <c r="GH27" s="298"/>
      <c r="GI27" s="298"/>
      <c r="GJ27" s="298"/>
      <c r="GK27" s="298"/>
      <c r="GL27" s="298"/>
      <c r="GM27" s="298"/>
      <c r="GN27" s="298"/>
      <c r="GO27" s="298"/>
      <c r="GP27" s="298"/>
      <c r="GQ27" s="298"/>
      <c r="GR27" s="298"/>
      <c r="GS27" s="298"/>
      <c r="GT27" s="298"/>
      <c r="GU27" s="298"/>
      <c r="GV27" s="298"/>
      <c r="GW27" s="298"/>
      <c r="GX27" s="298"/>
      <c r="GY27" s="298"/>
      <c r="GZ27" s="298"/>
      <c r="HA27" s="298"/>
      <c r="HB27" s="298"/>
      <c r="HC27" s="298"/>
      <c r="HD27" s="298"/>
      <c r="HE27" s="298"/>
      <c r="HF27" s="298"/>
      <c r="HG27" s="298"/>
      <c r="HH27" s="298"/>
      <c r="HI27" s="298"/>
      <c r="HJ27" s="298"/>
      <c r="HK27" s="298"/>
      <c r="HL27" s="298"/>
      <c r="HM27" s="298"/>
      <c r="HN27" s="298"/>
      <c r="HO27" s="298"/>
      <c r="HP27" s="298"/>
      <c r="HQ27" s="298"/>
      <c r="HR27" s="298"/>
      <c r="HS27" s="298"/>
      <c r="HT27" s="298"/>
      <c r="HU27" s="298"/>
      <c r="HV27" s="298"/>
      <c r="HW27" s="298"/>
      <c r="HX27" s="298"/>
      <c r="HY27" s="298"/>
      <c r="HZ27" s="298"/>
      <c r="IA27" s="298"/>
      <c r="IB27" s="298"/>
      <c r="IC27" s="298"/>
      <c r="ID27" s="298"/>
      <c r="IE27" s="298"/>
      <c r="IF27" s="298"/>
      <c r="IG27" s="298"/>
      <c r="IH27" s="298"/>
      <c r="II27" s="298"/>
      <c r="IJ27" s="298"/>
      <c r="IK27" s="298"/>
      <c r="IL27" s="298"/>
      <c r="IM27" s="298"/>
      <c r="IN27" s="298"/>
      <c r="IO27" s="298"/>
      <c r="IP27" s="298"/>
      <c r="IQ27" s="298"/>
      <c r="IR27" s="298"/>
      <c r="IS27" s="298"/>
      <c r="IT27" s="298"/>
      <c r="IU27" s="298"/>
      <c r="IV27" s="298"/>
    </row>
    <row r="28" spans="1:256" ht="12.75" customHeight="1">
      <c r="A28" s="298"/>
      <c r="B28" s="511" t="s">
        <v>225</v>
      </c>
      <c r="C28" s="511"/>
      <c r="D28" s="511"/>
      <c r="E28" s="298"/>
      <c r="F28" s="298"/>
      <c r="G28" s="298"/>
      <c r="H28" s="298"/>
      <c r="I28" s="298"/>
      <c r="J28" s="298"/>
      <c r="K28" s="298"/>
      <c r="L28" s="298"/>
      <c r="M28" s="298"/>
      <c r="N28" s="298"/>
      <c r="O28" s="298"/>
      <c r="P28" s="298"/>
      <c r="Q28" s="298"/>
      <c r="R28" s="298"/>
      <c r="S28" s="298"/>
      <c r="T28" s="298"/>
      <c r="U28" s="298"/>
      <c r="V28" s="298"/>
      <c r="W28" s="298"/>
      <c r="X28" s="298"/>
      <c r="Y28" s="298"/>
      <c r="Z28" s="298"/>
      <c r="AA28" s="298"/>
      <c r="AB28" s="298"/>
      <c r="AC28" s="298"/>
      <c r="AD28" s="298"/>
      <c r="AE28" s="298"/>
      <c r="AF28" s="298"/>
      <c r="AG28" s="298"/>
      <c r="AH28" s="298"/>
      <c r="AI28" s="298"/>
      <c r="AJ28" s="298"/>
      <c r="AK28" s="298"/>
      <c r="AL28" s="298"/>
      <c r="AM28" s="298"/>
      <c r="AN28" s="298"/>
      <c r="AO28" s="298"/>
      <c r="AP28" s="298"/>
      <c r="AQ28" s="298"/>
      <c r="AR28" s="298"/>
      <c r="AS28" s="298"/>
      <c r="AT28" s="298"/>
      <c r="AU28" s="298"/>
      <c r="AV28" s="298"/>
      <c r="AW28" s="298"/>
      <c r="AX28" s="298"/>
      <c r="AY28" s="298"/>
      <c r="AZ28" s="298"/>
      <c r="BA28" s="298"/>
      <c r="BB28" s="298"/>
      <c r="BC28" s="298"/>
      <c r="BD28" s="298"/>
      <c r="BE28" s="298"/>
      <c r="BF28" s="298"/>
      <c r="BG28" s="298"/>
      <c r="BH28" s="298"/>
      <c r="BI28" s="298"/>
      <c r="BJ28" s="298"/>
      <c r="BK28" s="298"/>
      <c r="BL28" s="298"/>
      <c r="BM28" s="298"/>
      <c r="BN28" s="298"/>
      <c r="BO28" s="298"/>
      <c r="BP28" s="298"/>
      <c r="BQ28" s="298"/>
      <c r="BR28" s="298"/>
      <c r="BS28" s="298"/>
      <c r="BT28" s="298"/>
      <c r="BU28" s="298"/>
      <c r="BV28" s="298"/>
      <c r="BW28" s="298"/>
      <c r="BX28" s="298"/>
      <c r="BY28" s="298"/>
      <c r="BZ28" s="298"/>
      <c r="CA28" s="298"/>
      <c r="CB28" s="298"/>
      <c r="CC28" s="298"/>
      <c r="CD28" s="298"/>
      <c r="CE28" s="298"/>
      <c r="CF28" s="298"/>
      <c r="CG28" s="298"/>
      <c r="CH28" s="298"/>
      <c r="CI28" s="298"/>
      <c r="CJ28" s="298"/>
      <c r="CK28" s="298"/>
      <c r="CL28" s="298"/>
      <c r="CM28" s="298"/>
      <c r="CN28" s="298"/>
      <c r="CO28" s="298"/>
      <c r="CP28" s="298"/>
      <c r="CQ28" s="298"/>
      <c r="CR28" s="298"/>
      <c r="CS28" s="298"/>
      <c r="CT28" s="298"/>
      <c r="CU28" s="298"/>
      <c r="CV28" s="298"/>
      <c r="CW28" s="298"/>
      <c r="CX28" s="298"/>
      <c r="CY28" s="298"/>
      <c r="CZ28" s="298"/>
      <c r="DA28" s="298"/>
      <c r="DB28" s="298"/>
      <c r="DC28" s="298"/>
      <c r="DD28" s="298"/>
      <c r="DE28" s="298"/>
      <c r="DF28" s="298"/>
      <c r="DG28" s="298"/>
      <c r="DH28" s="298"/>
      <c r="DI28" s="298"/>
      <c r="DJ28" s="298"/>
      <c r="DK28" s="298"/>
      <c r="DL28" s="298"/>
      <c r="DM28" s="298"/>
      <c r="DN28" s="298"/>
      <c r="DO28" s="298"/>
      <c r="DP28" s="298"/>
      <c r="DQ28" s="298"/>
      <c r="DR28" s="298"/>
      <c r="DS28" s="298"/>
      <c r="DT28" s="298"/>
      <c r="DU28" s="298"/>
      <c r="DV28" s="298"/>
      <c r="DW28" s="298"/>
      <c r="DX28" s="298"/>
      <c r="DY28" s="298"/>
      <c r="DZ28" s="298"/>
      <c r="EA28" s="298"/>
      <c r="EB28" s="298"/>
      <c r="EC28" s="298"/>
      <c r="ED28" s="298"/>
      <c r="EE28" s="298"/>
      <c r="EF28" s="298"/>
      <c r="EG28" s="298"/>
      <c r="EH28" s="298"/>
      <c r="EI28" s="298"/>
      <c r="EJ28" s="298"/>
      <c r="EK28" s="298"/>
      <c r="EL28" s="298"/>
      <c r="EM28" s="298"/>
      <c r="EN28" s="298"/>
      <c r="EO28" s="298"/>
      <c r="EP28" s="298"/>
      <c r="EQ28" s="298"/>
      <c r="ER28" s="298"/>
      <c r="ES28" s="298"/>
      <c r="ET28" s="298"/>
      <c r="EU28" s="298"/>
      <c r="EV28" s="298"/>
      <c r="EW28" s="298"/>
      <c r="EX28" s="298"/>
      <c r="EY28" s="298"/>
      <c r="EZ28" s="298"/>
      <c r="FA28" s="298"/>
      <c r="FB28" s="298"/>
      <c r="FC28" s="298"/>
      <c r="FD28" s="298"/>
      <c r="FE28" s="298"/>
      <c r="FF28" s="298"/>
      <c r="FG28" s="298"/>
      <c r="FH28" s="298"/>
      <c r="FI28" s="298"/>
      <c r="FJ28" s="298"/>
      <c r="FK28" s="298"/>
      <c r="FL28" s="298"/>
      <c r="FM28" s="298"/>
      <c r="FN28" s="298"/>
      <c r="FO28" s="298"/>
      <c r="FP28" s="298"/>
      <c r="FQ28" s="298"/>
      <c r="FR28" s="298"/>
      <c r="FS28" s="298"/>
      <c r="FT28" s="298"/>
      <c r="FU28" s="298"/>
      <c r="FV28" s="298"/>
      <c r="FW28" s="298"/>
      <c r="FX28" s="298"/>
      <c r="FY28" s="298"/>
      <c r="FZ28" s="298"/>
      <c r="GA28" s="298"/>
      <c r="GB28" s="298"/>
      <c r="GC28" s="298"/>
      <c r="GD28" s="298"/>
      <c r="GE28" s="298"/>
      <c r="GF28" s="298"/>
      <c r="GG28" s="298"/>
      <c r="GH28" s="298"/>
      <c r="GI28" s="298"/>
      <c r="GJ28" s="298"/>
      <c r="GK28" s="298"/>
      <c r="GL28" s="298"/>
      <c r="GM28" s="298"/>
      <c r="GN28" s="298"/>
      <c r="GO28" s="298"/>
      <c r="GP28" s="298"/>
      <c r="GQ28" s="298"/>
      <c r="GR28" s="298"/>
      <c r="GS28" s="298"/>
      <c r="GT28" s="298"/>
      <c r="GU28" s="298"/>
      <c r="GV28" s="298"/>
      <c r="GW28" s="298"/>
      <c r="GX28" s="298"/>
      <c r="GY28" s="298"/>
      <c r="GZ28" s="298"/>
      <c r="HA28" s="298"/>
      <c r="HB28" s="298"/>
      <c r="HC28" s="298"/>
      <c r="HD28" s="298"/>
      <c r="HE28" s="298"/>
      <c r="HF28" s="298"/>
      <c r="HG28" s="298"/>
      <c r="HH28" s="298"/>
      <c r="HI28" s="298"/>
      <c r="HJ28" s="298"/>
      <c r="HK28" s="298"/>
      <c r="HL28" s="298"/>
      <c r="HM28" s="298"/>
      <c r="HN28" s="298"/>
      <c r="HO28" s="298"/>
      <c r="HP28" s="298"/>
      <c r="HQ28" s="298"/>
      <c r="HR28" s="298"/>
      <c r="HS28" s="298"/>
      <c r="HT28" s="298"/>
      <c r="HU28" s="298"/>
      <c r="HV28" s="298"/>
      <c r="HW28" s="298"/>
      <c r="HX28" s="298"/>
      <c r="HY28" s="298"/>
      <c r="HZ28" s="298"/>
      <c r="IA28" s="298"/>
      <c r="IB28" s="298"/>
      <c r="IC28" s="298"/>
      <c r="ID28" s="298"/>
      <c r="IE28" s="298"/>
      <c r="IF28" s="298"/>
      <c r="IG28" s="298"/>
      <c r="IH28" s="298"/>
      <c r="II28" s="298"/>
      <c r="IJ28" s="298"/>
      <c r="IK28" s="298"/>
      <c r="IL28" s="298"/>
      <c r="IM28" s="298"/>
      <c r="IN28" s="298"/>
      <c r="IO28" s="298"/>
      <c r="IP28" s="298"/>
      <c r="IQ28" s="298"/>
      <c r="IR28" s="298"/>
      <c r="IS28" s="298"/>
      <c r="IT28" s="298"/>
      <c r="IU28" s="298"/>
      <c r="IV28" s="298"/>
    </row>
    <row r="29" spans="1:256" ht="12.75">
      <c r="A29" s="298"/>
      <c r="B29" s="298"/>
      <c r="C29" s="298"/>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298"/>
      <c r="AD29" s="298"/>
      <c r="AE29" s="298"/>
      <c r="AF29" s="298"/>
      <c r="AG29" s="298"/>
      <c r="AH29" s="298"/>
      <c r="AI29" s="298"/>
      <c r="AJ29" s="298"/>
      <c r="AK29" s="298"/>
      <c r="AL29" s="298"/>
      <c r="AM29" s="298"/>
      <c r="AN29" s="298"/>
      <c r="AO29" s="298"/>
      <c r="AP29" s="298"/>
      <c r="AQ29" s="298"/>
      <c r="AR29" s="298"/>
      <c r="AS29" s="298"/>
      <c r="AT29" s="298"/>
      <c r="AU29" s="298"/>
      <c r="AV29" s="298"/>
      <c r="AW29" s="298"/>
      <c r="AX29" s="298"/>
      <c r="AY29" s="298"/>
      <c r="AZ29" s="298"/>
      <c r="BA29" s="298"/>
      <c r="BB29" s="298"/>
      <c r="BC29" s="298"/>
      <c r="BD29" s="298"/>
      <c r="BE29" s="298"/>
      <c r="BF29" s="298"/>
      <c r="BG29" s="298"/>
      <c r="BH29" s="298"/>
      <c r="BI29" s="298"/>
      <c r="BJ29" s="298"/>
      <c r="BK29" s="298"/>
      <c r="BL29" s="298"/>
      <c r="BM29" s="298"/>
      <c r="BN29" s="298"/>
      <c r="BO29" s="298"/>
      <c r="BP29" s="298"/>
      <c r="BQ29" s="298"/>
      <c r="BR29" s="298"/>
      <c r="BS29" s="298"/>
      <c r="BT29" s="298"/>
      <c r="BU29" s="298"/>
      <c r="BV29" s="298"/>
      <c r="BW29" s="298"/>
      <c r="BX29" s="298"/>
      <c r="BY29" s="298"/>
      <c r="BZ29" s="298"/>
      <c r="CA29" s="298"/>
      <c r="CB29" s="298"/>
      <c r="CC29" s="298"/>
      <c r="CD29" s="298"/>
      <c r="CE29" s="298"/>
      <c r="CF29" s="298"/>
      <c r="CG29" s="298"/>
      <c r="CH29" s="298"/>
      <c r="CI29" s="298"/>
      <c r="CJ29" s="298"/>
      <c r="CK29" s="298"/>
      <c r="CL29" s="298"/>
      <c r="CM29" s="298"/>
      <c r="CN29" s="298"/>
      <c r="CO29" s="298"/>
      <c r="CP29" s="298"/>
      <c r="CQ29" s="298"/>
      <c r="CR29" s="298"/>
      <c r="CS29" s="298"/>
      <c r="CT29" s="298"/>
      <c r="CU29" s="298"/>
      <c r="CV29" s="298"/>
      <c r="CW29" s="298"/>
      <c r="CX29" s="298"/>
      <c r="CY29" s="298"/>
      <c r="CZ29" s="298"/>
      <c r="DA29" s="298"/>
      <c r="DB29" s="298"/>
      <c r="DC29" s="298"/>
      <c r="DD29" s="298"/>
      <c r="DE29" s="298"/>
      <c r="DF29" s="298"/>
      <c r="DG29" s="298"/>
      <c r="DH29" s="298"/>
      <c r="DI29" s="298"/>
      <c r="DJ29" s="298"/>
      <c r="DK29" s="298"/>
      <c r="DL29" s="298"/>
      <c r="DM29" s="298"/>
      <c r="DN29" s="298"/>
      <c r="DO29" s="298"/>
      <c r="DP29" s="298"/>
      <c r="DQ29" s="298"/>
      <c r="DR29" s="298"/>
      <c r="DS29" s="298"/>
      <c r="DT29" s="298"/>
      <c r="DU29" s="298"/>
      <c r="DV29" s="298"/>
      <c r="DW29" s="298"/>
      <c r="DX29" s="298"/>
      <c r="DY29" s="298"/>
      <c r="DZ29" s="298"/>
      <c r="EA29" s="298"/>
      <c r="EB29" s="298"/>
      <c r="EC29" s="298"/>
      <c r="ED29" s="298"/>
      <c r="EE29" s="298"/>
      <c r="EF29" s="298"/>
      <c r="EG29" s="298"/>
      <c r="EH29" s="298"/>
      <c r="EI29" s="298"/>
      <c r="EJ29" s="298"/>
      <c r="EK29" s="298"/>
      <c r="EL29" s="298"/>
      <c r="EM29" s="298"/>
      <c r="EN29" s="298"/>
      <c r="EO29" s="298"/>
      <c r="EP29" s="298"/>
      <c r="EQ29" s="298"/>
      <c r="ER29" s="298"/>
      <c r="ES29" s="298"/>
      <c r="ET29" s="298"/>
      <c r="EU29" s="298"/>
      <c r="EV29" s="298"/>
      <c r="EW29" s="298"/>
      <c r="EX29" s="298"/>
      <c r="EY29" s="298"/>
      <c r="EZ29" s="298"/>
      <c r="FA29" s="298"/>
      <c r="FB29" s="298"/>
      <c r="FC29" s="298"/>
      <c r="FD29" s="298"/>
      <c r="FE29" s="298"/>
      <c r="FF29" s="298"/>
      <c r="FG29" s="298"/>
      <c r="FH29" s="298"/>
      <c r="FI29" s="298"/>
      <c r="FJ29" s="298"/>
      <c r="FK29" s="298"/>
      <c r="FL29" s="298"/>
      <c r="FM29" s="298"/>
      <c r="FN29" s="298"/>
      <c r="FO29" s="298"/>
      <c r="FP29" s="298"/>
      <c r="FQ29" s="298"/>
      <c r="FR29" s="298"/>
      <c r="FS29" s="298"/>
      <c r="FT29" s="298"/>
      <c r="FU29" s="298"/>
      <c r="FV29" s="298"/>
      <c r="FW29" s="298"/>
      <c r="FX29" s="298"/>
      <c r="FY29" s="298"/>
      <c r="FZ29" s="298"/>
      <c r="GA29" s="298"/>
      <c r="GB29" s="298"/>
      <c r="GC29" s="298"/>
      <c r="GD29" s="298"/>
      <c r="GE29" s="298"/>
      <c r="GF29" s="298"/>
      <c r="GG29" s="298"/>
      <c r="GH29" s="298"/>
      <c r="GI29" s="298"/>
      <c r="GJ29" s="298"/>
      <c r="GK29" s="298"/>
      <c r="GL29" s="298"/>
      <c r="GM29" s="298"/>
      <c r="GN29" s="298"/>
      <c r="GO29" s="298"/>
      <c r="GP29" s="298"/>
      <c r="GQ29" s="298"/>
      <c r="GR29" s="298"/>
      <c r="GS29" s="298"/>
      <c r="GT29" s="298"/>
      <c r="GU29" s="298"/>
      <c r="GV29" s="298"/>
      <c r="GW29" s="298"/>
      <c r="GX29" s="298"/>
      <c r="GY29" s="298"/>
      <c r="GZ29" s="298"/>
      <c r="HA29" s="298"/>
      <c r="HB29" s="298"/>
      <c r="HC29" s="298"/>
      <c r="HD29" s="298"/>
      <c r="HE29" s="298"/>
      <c r="HF29" s="298"/>
      <c r="HG29" s="298"/>
      <c r="HH29" s="298"/>
      <c r="HI29" s="298"/>
      <c r="HJ29" s="298"/>
      <c r="HK29" s="298"/>
      <c r="HL29" s="298"/>
      <c r="HM29" s="298"/>
      <c r="HN29" s="298"/>
      <c r="HO29" s="298"/>
      <c r="HP29" s="298"/>
      <c r="HQ29" s="298"/>
      <c r="HR29" s="298"/>
      <c r="HS29" s="298"/>
      <c r="HT29" s="298"/>
      <c r="HU29" s="298"/>
      <c r="HV29" s="298"/>
      <c r="HW29" s="298"/>
      <c r="HX29" s="298"/>
      <c r="HY29" s="298"/>
      <c r="HZ29" s="298"/>
      <c r="IA29" s="298"/>
      <c r="IB29" s="298"/>
      <c r="IC29" s="298"/>
      <c r="ID29" s="298"/>
      <c r="IE29" s="298"/>
      <c r="IF29" s="298"/>
      <c r="IG29" s="298"/>
      <c r="IH29" s="298"/>
      <c r="II29" s="298"/>
      <c r="IJ29" s="298"/>
      <c r="IK29" s="298"/>
      <c r="IL29" s="298"/>
      <c r="IM29" s="298"/>
      <c r="IN29" s="298"/>
      <c r="IO29" s="298"/>
      <c r="IP29" s="298"/>
      <c r="IQ29" s="298"/>
      <c r="IR29" s="298"/>
      <c r="IS29" s="298"/>
      <c r="IT29" s="298"/>
      <c r="IU29" s="298"/>
      <c r="IV29" s="298"/>
    </row>
    <row r="30" spans="1:256" ht="12.75">
      <c r="A30" s="298"/>
      <c r="B30" s="303" t="s">
        <v>283</v>
      </c>
      <c r="C30" s="304"/>
      <c r="D30" s="300"/>
      <c r="E30" s="298"/>
      <c r="F30" s="298"/>
      <c r="G30" s="298"/>
      <c r="H30" s="298"/>
      <c r="I30" s="298"/>
      <c r="J30" s="298"/>
      <c r="K30" s="298"/>
      <c r="L30" s="298"/>
      <c r="M30" s="298"/>
      <c r="N30" s="298"/>
      <c r="O30" s="298"/>
      <c r="P30" s="298"/>
      <c r="Q30" s="298"/>
      <c r="R30" s="298"/>
      <c r="S30" s="298"/>
      <c r="T30" s="298"/>
      <c r="U30" s="298"/>
      <c r="V30" s="298"/>
      <c r="W30" s="298"/>
      <c r="X30" s="298"/>
      <c r="Y30" s="298"/>
      <c r="Z30" s="298"/>
      <c r="AA30" s="298"/>
      <c r="AB30" s="298"/>
      <c r="AC30" s="298"/>
      <c r="AD30" s="298"/>
      <c r="AE30" s="298"/>
      <c r="AF30" s="298"/>
      <c r="AG30" s="298"/>
      <c r="AH30" s="298"/>
      <c r="AI30" s="298"/>
      <c r="AJ30" s="298"/>
      <c r="AK30" s="298"/>
      <c r="AL30" s="298"/>
      <c r="AM30" s="298"/>
      <c r="AN30" s="298"/>
      <c r="AO30" s="298"/>
      <c r="AP30" s="298"/>
      <c r="AQ30" s="298"/>
      <c r="AR30" s="298"/>
      <c r="AS30" s="298"/>
      <c r="AT30" s="298"/>
      <c r="AU30" s="298"/>
      <c r="AV30" s="298"/>
      <c r="AW30" s="298"/>
      <c r="AX30" s="298"/>
      <c r="AY30" s="298"/>
      <c r="AZ30" s="298"/>
      <c r="BA30" s="298"/>
      <c r="BB30" s="298"/>
      <c r="BC30" s="298"/>
      <c r="BD30" s="298"/>
      <c r="BE30" s="298"/>
      <c r="BF30" s="298"/>
      <c r="BG30" s="298"/>
      <c r="BH30" s="298"/>
      <c r="BI30" s="298"/>
      <c r="BJ30" s="298"/>
      <c r="BK30" s="298"/>
      <c r="BL30" s="298"/>
      <c r="BM30" s="298"/>
      <c r="BN30" s="298"/>
      <c r="BO30" s="298"/>
      <c r="BP30" s="298"/>
      <c r="BQ30" s="298"/>
      <c r="BR30" s="298"/>
      <c r="BS30" s="298"/>
      <c r="BT30" s="298"/>
      <c r="BU30" s="298"/>
      <c r="BV30" s="298"/>
      <c r="BW30" s="298"/>
      <c r="BX30" s="298"/>
      <c r="BY30" s="298"/>
      <c r="BZ30" s="298"/>
      <c r="CA30" s="298"/>
      <c r="CB30" s="298"/>
      <c r="CC30" s="298"/>
      <c r="CD30" s="298"/>
      <c r="CE30" s="298"/>
      <c r="CF30" s="298"/>
      <c r="CG30" s="298"/>
      <c r="CH30" s="298"/>
      <c r="CI30" s="298"/>
      <c r="CJ30" s="298"/>
      <c r="CK30" s="298"/>
      <c r="CL30" s="298"/>
      <c r="CM30" s="298"/>
      <c r="CN30" s="298"/>
      <c r="CO30" s="298"/>
      <c r="CP30" s="298"/>
      <c r="CQ30" s="298"/>
      <c r="CR30" s="298"/>
      <c r="CS30" s="298"/>
      <c r="CT30" s="298"/>
      <c r="CU30" s="298"/>
      <c r="CV30" s="298"/>
      <c r="CW30" s="298"/>
      <c r="CX30" s="298"/>
      <c r="CY30" s="298"/>
      <c r="CZ30" s="298"/>
      <c r="DA30" s="298"/>
      <c r="DB30" s="298"/>
      <c r="DC30" s="298"/>
      <c r="DD30" s="298"/>
      <c r="DE30" s="298"/>
      <c r="DF30" s="298"/>
      <c r="DG30" s="298"/>
      <c r="DH30" s="298"/>
      <c r="DI30" s="298"/>
      <c r="DJ30" s="298"/>
      <c r="DK30" s="298"/>
      <c r="DL30" s="298"/>
      <c r="DM30" s="298"/>
      <c r="DN30" s="298"/>
      <c r="DO30" s="298"/>
      <c r="DP30" s="298"/>
      <c r="DQ30" s="298"/>
      <c r="DR30" s="298"/>
      <c r="DS30" s="298"/>
      <c r="DT30" s="298"/>
      <c r="DU30" s="298"/>
      <c r="DV30" s="298"/>
      <c r="DW30" s="298"/>
      <c r="DX30" s="298"/>
      <c r="DY30" s="298"/>
      <c r="DZ30" s="298"/>
      <c r="EA30" s="298"/>
      <c r="EB30" s="298"/>
      <c r="EC30" s="298"/>
      <c r="ED30" s="298"/>
      <c r="EE30" s="298"/>
      <c r="EF30" s="298"/>
      <c r="EG30" s="298"/>
      <c r="EH30" s="298"/>
      <c r="EI30" s="298"/>
      <c r="EJ30" s="298"/>
      <c r="EK30" s="298"/>
      <c r="EL30" s="298"/>
      <c r="EM30" s="298"/>
      <c r="EN30" s="298"/>
      <c r="EO30" s="298"/>
      <c r="EP30" s="298"/>
      <c r="EQ30" s="298"/>
      <c r="ER30" s="298"/>
      <c r="ES30" s="298"/>
      <c r="ET30" s="298"/>
      <c r="EU30" s="298"/>
      <c r="EV30" s="298"/>
      <c r="EW30" s="298"/>
      <c r="EX30" s="298"/>
      <c r="EY30" s="298"/>
      <c r="EZ30" s="298"/>
      <c r="FA30" s="298"/>
      <c r="FB30" s="298"/>
      <c r="FC30" s="298"/>
      <c r="FD30" s="298"/>
      <c r="FE30" s="298"/>
      <c r="FF30" s="298"/>
      <c r="FG30" s="298"/>
      <c r="FH30" s="298"/>
      <c r="FI30" s="298"/>
      <c r="FJ30" s="298"/>
      <c r="FK30" s="298"/>
      <c r="FL30" s="298"/>
      <c r="FM30" s="298"/>
      <c r="FN30" s="298"/>
      <c r="FO30" s="298"/>
      <c r="FP30" s="298"/>
      <c r="FQ30" s="298"/>
      <c r="FR30" s="298"/>
      <c r="FS30" s="298"/>
      <c r="FT30" s="298"/>
      <c r="FU30" s="298"/>
      <c r="FV30" s="298"/>
      <c r="FW30" s="298"/>
      <c r="FX30" s="298"/>
      <c r="FY30" s="298"/>
      <c r="FZ30" s="298"/>
      <c r="GA30" s="298"/>
      <c r="GB30" s="298"/>
      <c r="GC30" s="298"/>
      <c r="GD30" s="298"/>
      <c r="GE30" s="298"/>
      <c r="GF30" s="298"/>
      <c r="GG30" s="298"/>
      <c r="GH30" s="298"/>
      <c r="GI30" s="298"/>
      <c r="GJ30" s="298"/>
      <c r="GK30" s="298"/>
      <c r="GL30" s="298"/>
      <c r="GM30" s="298"/>
      <c r="GN30" s="298"/>
      <c r="GO30" s="298"/>
      <c r="GP30" s="298"/>
      <c r="GQ30" s="298"/>
      <c r="GR30" s="298"/>
      <c r="GS30" s="298"/>
      <c r="GT30" s="298"/>
      <c r="GU30" s="298"/>
      <c r="GV30" s="298"/>
      <c r="GW30" s="298"/>
      <c r="GX30" s="298"/>
      <c r="GY30" s="298"/>
      <c r="GZ30" s="298"/>
      <c r="HA30" s="298"/>
      <c r="HB30" s="298"/>
      <c r="HC30" s="298"/>
      <c r="HD30" s="298"/>
      <c r="HE30" s="298"/>
      <c r="HF30" s="298"/>
      <c r="HG30" s="298"/>
      <c r="HH30" s="298"/>
      <c r="HI30" s="298"/>
      <c r="HJ30" s="298"/>
      <c r="HK30" s="298"/>
      <c r="HL30" s="298"/>
      <c r="HM30" s="298"/>
      <c r="HN30" s="298"/>
      <c r="HO30" s="298"/>
      <c r="HP30" s="298"/>
      <c r="HQ30" s="298"/>
      <c r="HR30" s="298"/>
      <c r="HS30" s="298"/>
      <c r="HT30" s="298"/>
      <c r="HU30" s="298"/>
      <c r="HV30" s="298"/>
      <c r="HW30" s="298"/>
      <c r="HX30" s="298"/>
      <c r="HY30" s="298"/>
      <c r="HZ30" s="298"/>
      <c r="IA30" s="298"/>
      <c r="IB30" s="298"/>
      <c r="IC30" s="298"/>
      <c r="ID30" s="298"/>
      <c r="IE30" s="298"/>
      <c r="IF30" s="298"/>
      <c r="IG30" s="298"/>
      <c r="IH30" s="298"/>
      <c r="II30" s="298"/>
      <c r="IJ30" s="298"/>
      <c r="IK30" s="298"/>
      <c r="IL30" s="298"/>
      <c r="IM30" s="298"/>
      <c r="IN30" s="298"/>
      <c r="IO30" s="298"/>
      <c r="IP30" s="298"/>
      <c r="IQ30" s="298"/>
      <c r="IR30" s="298"/>
      <c r="IS30" s="298"/>
      <c r="IT30" s="298"/>
      <c r="IU30" s="298"/>
      <c r="IV30" s="298"/>
    </row>
    <row r="31" spans="1:256" ht="12.75" customHeight="1">
      <c r="A31" s="298"/>
      <c r="B31" s="511" t="s">
        <v>284</v>
      </c>
      <c r="C31" s="511"/>
      <c r="D31" s="511"/>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8"/>
      <c r="AD31" s="298"/>
      <c r="AE31" s="298"/>
      <c r="AF31" s="298"/>
      <c r="AG31" s="298"/>
      <c r="AH31" s="298"/>
      <c r="AI31" s="298"/>
      <c r="AJ31" s="298"/>
      <c r="AK31" s="298"/>
      <c r="AL31" s="298"/>
      <c r="AM31" s="298"/>
      <c r="AN31" s="298"/>
      <c r="AO31" s="298"/>
      <c r="AP31" s="298"/>
      <c r="AQ31" s="298"/>
      <c r="AR31" s="298"/>
      <c r="AS31" s="298"/>
      <c r="AT31" s="298"/>
      <c r="AU31" s="298"/>
      <c r="AV31" s="298"/>
      <c r="AW31" s="298"/>
      <c r="AX31" s="298"/>
      <c r="AY31" s="298"/>
      <c r="AZ31" s="298"/>
      <c r="BA31" s="298"/>
      <c r="BB31" s="298"/>
      <c r="BC31" s="298"/>
      <c r="BD31" s="298"/>
      <c r="BE31" s="298"/>
      <c r="BF31" s="298"/>
      <c r="BG31" s="298"/>
      <c r="BH31" s="298"/>
      <c r="BI31" s="298"/>
      <c r="BJ31" s="298"/>
      <c r="BK31" s="298"/>
      <c r="BL31" s="298"/>
      <c r="BM31" s="298"/>
      <c r="BN31" s="298"/>
      <c r="BO31" s="298"/>
      <c r="BP31" s="298"/>
      <c r="BQ31" s="298"/>
      <c r="BR31" s="298"/>
      <c r="BS31" s="298"/>
      <c r="BT31" s="298"/>
      <c r="BU31" s="298"/>
      <c r="BV31" s="298"/>
      <c r="BW31" s="298"/>
      <c r="BX31" s="298"/>
      <c r="BY31" s="298"/>
      <c r="BZ31" s="298"/>
      <c r="CA31" s="298"/>
      <c r="CB31" s="298"/>
      <c r="CC31" s="298"/>
      <c r="CD31" s="298"/>
      <c r="CE31" s="298"/>
      <c r="CF31" s="298"/>
      <c r="CG31" s="298"/>
      <c r="CH31" s="298"/>
      <c r="CI31" s="298"/>
      <c r="CJ31" s="298"/>
      <c r="CK31" s="298"/>
      <c r="CL31" s="298"/>
      <c r="CM31" s="298"/>
      <c r="CN31" s="298"/>
      <c r="CO31" s="298"/>
      <c r="CP31" s="298"/>
      <c r="CQ31" s="298"/>
      <c r="CR31" s="298"/>
      <c r="CS31" s="298"/>
      <c r="CT31" s="298"/>
      <c r="CU31" s="298"/>
      <c r="CV31" s="298"/>
      <c r="CW31" s="298"/>
      <c r="CX31" s="298"/>
      <c r="CY31" s="298"/>
      <c r="CZ31" s="298"/>
      <c r="DA31" s="298"/>
      <c r="DB31" s="298"/>
      <c r="DC31" s="298"/>
      <c r="DD31" s="298"/>
      <c r="DE31" s="298"/>
      <c r="DF31" s="298"/>
      <c r="DG31" s="298"/>
      <c r="DH31" s="298"/>
      <c r="DI31" s="298"/>
      <c r="DJ31" s="298"/>
      <c r="DK31" s="298"/>
      <c r="DL31" s="298"/>
      <c r="DM31" s="298"/>
      <c r="DN31" s="298"/>
      <c r="DO31" s="298"/>
      <c r="DP31" s="298"/>
      <c r="DQ31" s="298"/>
      <c r="DR31" s="298"/>
      <c r="DS31" s="298"/>
      <c r="DT31" s="298"/>
      <c r="DU31" s="298"/>
      <c r="DV31" s="298"/>
      <c r="DW31" s="298"/>
      <c r="DX31" s="298"/>
      <c r="DY31" s="298"/>
      <c r="DZ31" s="298"/>
      <c r="EA31" s="298"/>
      <c r="EB31" s="298"/>
      <c r="EC31" s="298"/>
      <c r="ED31" s="298"/>
      <c r="EE31" s="298"/>
      <c r="EF31" s="298"/>
      <c r="EG31" s="298"/>
      <c r="EH31" s="298"/>
      <c r="EI31" s="298"/>
      <c r="EJ31" s="298"/>
      <c r="EK31" s="298"/>
      <c r="EL31" s="298"/>
      <c r="EM31" s="298"/>
      <c r="EN31" s="298"/>
      <c r="EO31" s="298"/>
      <c r="EP31" s="298"/>
      <c r="EQ31" s="298"/>
      <c r="ER31" s="298"/>
      <c r="ES31" s="298"/>
      <c r="ET31" s="298"/>
      <c r="EU31" s="298"/>
      <c r="EV31" s="298"/>
      <c r="EW31" s="298"/>
      <c r="EX31" s="298"/>
      <c r="EY31" s="298"/>
      <c r="EZ31" s="298"/>
      <c r="FA31" s="298"/>
      <c r="FB31" s="298"/>
      <c r="FC31" s="298"/>
      <c r="FD31" s="298"/>
      <c r="FE31" s="298"/>
      <c r="FF31" s="298"/>
      <c r="FG31" s="298"/>
      <c r="FH31" s="298"/>
      <c r="FI31" s="298"/>
      <c r="FJ31" s="298"/>
      <c r="FK31" s="298"/>
      <c r="FL31" s="298"/>
      <c r="FM31" s="298"/>
      <c r="FN31" s="298"/>
      <c r="FO31" s="298"/>
      <c r="FP31" s="298"/>
      <c r="FQ31" s="298"/>
      <c r="FR31" s="298"/>
      <c r="FS31" s="298"/>
      <c r="FT31" s="298"/>
      <c r="FU31" s="298"/>
      <c r="FV31" s="298"/>
      <c r="FW31" s="298"/>
      <c r="FX31" s="298"/>
      <c r="FY31" s="298"/>
      <c r="FZ31" s="298"/>
      <c r="GA31" s="298"/>
      <c r="GB31" s="298"/>
      <c r="GC31" s="298"/>
      <c r="GD31" s="298"/>
      <c r="GE31" s="298"/>
      <c r="GF31" s="298"/>
      <c r="GG31" s="298"/>
      <c r="GH31" s="298"/>
      <c r="GI31" s="298"/>
      <c r="GJ31" s="298"/>
      <c r="GK31" s="298"/>
      <c r="GL31" s="298"/>
      <c r="GM31" s="298"/>
      <c r="GN31" s="298"/>
      <c r="GO31" s="298"/>
      <c r="GP31" s="298"/>
      <c r="GQ31" s="298"/>
      <c r="GR31" s="298"/>
      <c r="GS31" s="298"/>
      <c r="GT31" s="298"/>
      <c r="GU31" s="298"/>
      <c r="GV31" s="298"/>
      <c r="GW31" s="298"/>
      <c r="GX31" s="298"/>
      <c r="GY31" s="298"/>
      <c r="GZ31" s="298"/>
      <c r="HA31" s="298"/>
      <c r="HB31" s="298"/>
      <c r="HC31" s="298"/>
      <c r="HD31" s="298"/>
      <c r="HE31" s="298"/>
      <c r="HF31" s="298"/>
      <c r="HG31" s="298"/>
      <c r="HH31" s="298"/>
      <c r="HI31" s="298"/>
      <c r="HJ31" s="298"/>
      <c r="HK31" s="298"/>
      <c r="HL31" s="298"/>
      <c r="HM31" s="298"/>
      <c r="HN31" s="298"/>
      <c r="HO31" s="298"/>
      <c r="HP31" s="298"/>
      <c r="HQ31" s="298"/>
      <c r="HR31" s="298"/>
      <c r="HS31" s="298"/>
      <c r="HT31" s="298"/>
      <c r="HU31" s="298"/>
      <c r="HV31" s="298"/>
      <c r="HW31" s="298"/>
      <c r="HX31" s="298"/>
      <c r="HY31" s="298"/>
      <c r="HZ31" s="298"/>
      <c r="IA31" s="298"/>
      <c r="IB31" s="298"/>
      <c r="IC31" s="298"/>
      <c r="ID31" s="298"/>
      <c r="IE31" s="298"/>
      <c r="IF31" s="298"/>
      <c r="IG31" s="298"/>
      <c r="IH31" s="298"/>
      <c r="II31" s="298"/>
      <c r="IJ31" s="298"/>
      <c r="IK31" s="298"/>
      <c r="IL31" s="298"/>
      <c r="IM31" s="298"/>
      <c r="IN31" s="298"/>
      <c r="IO31" s="298"/>
      <c r="IP31" s="298"/>
      <c r="IQ31" s="298"/>
      <c r="IR31" s="298"/>
      <c r="IS31" s="298"/>
      <c r="IT31" s="298"/>
      <c r="IU31" s="298"/>
      <c r="IV31" s="298"/>
    </row>
    <row r="32" spans="1:256" ht="12.75">
      <c r="A32" s="298"/>
      <c r="B32" s="301"/>
      <c r="C32" s="301"/>
      <c r="D32" s="300"/>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298"/>
      <c r="AC32" s="298"/>
      <c r="AD32" s="298"/>
      <c r="AE32" s="298"/>
      <c r="AF32" s="298"/>
      <c r="AG32" s="298"/>
      <c r="AH32" s="298"/>
      <c r="AI32" s="298"/>
      <c r="AJ32" s="298"/>
      <c r="AK32" s="298"/>
      <c r="AL32" s="298"/>
      <c r="AM32" s="298"/>
      <c r="AN32" s="298"/>
      <c r="AO32" s="298"/>
      <c r="AP32" s="298"/>
      <c r="AQ32" s="298"/>
      <c r="AR32" s="298"/>
      <c r="AS32" s="298"/>
      <c r="AT32" s="298"/>
      <c r="AU32" s="298"/>
      <c r="AV32" s="298"/>
      <c r="AW32" s="298"/>
      <c r="AX32" s="298"/>
      <c r="AY32" s="298"/>
      <c r="AZ32" s="298"/>
      <c r="BA32" s="298"/>
      <c r="BB32" s="298"/>
      <c r="BC32" s="298"/>
      <c r="BD32" s="298"/>
      <c r="BE32" s="298"/>
      <c r="BF32" s="298"/>
      <c r="BG32" s="298"/>
      <c r="BH32" s="298"/>
      <c r="BI32" s="298"/>
      <c r="BJ32" s="298"/>
      <c r="BK32" s="298"/>
      <c r="BL32" s="298"/>
      <c r="BM32" s="298"/>
      <c r="BN32" s="298"/>
      <c r="BO32" s="298"/>
      <c r="BP32" s="298"/>
      <c r="BQ32" s="298"/>
      <c r="BR32" s="298"/>
      <c r="BS32" s="298"/>
      <c r="BT32" s="298"/>
      <c r="BU32" s="298"/>
      <c r="BV32" s="298"/>
      <c r="BW32" s="298"/>
      <c r="BX32" s="298"/>
      <c r="BY32" s="298"/>
      <c r="BZ32" s="298"/>
      <c r="CA32" s="298"/>
      <c r="CB32" s="298"/>
      <c r="CC32" s="298"/>
      <c r="CD32" s="298"/>
      <c r="CE32" s="298"/>
      <c r="CF32" s="298"/>
      <c r="CG32" s="298"/>
      <c r="CH32" s="298"/>
      <c r="CI32" s="298"/>
      <c r="CJ32" s="298"/>
      <c r="CK32" s="298"/>
      <c r="CL32" s="298"/>
      <c r="CM32" s="298"/>
      <c r="CN32" s="298"/>
      <c r="CO32" s="298"/>
      <c r="CP32" s="298"/>
      <c r="CQ32" s="298"/>
      <c r="CR32" s="298"/>
      <c r="CS32" s="298"/>
      <c r="CT32" s="298"/>
      <c r="CU32" s="298"/>
      <c r="CV32" s="298"/>
      <c r="CW32" s="298"/>
      <c r="CX32" s="298"/>
      <c r="CY32" s="298"/>
      <c r="CZ32" s="298"/>
      <c r="DA32" s="298"/>
      <c r="DB32" s="298"/>
      <c r="DC32" s="298"/>
      <c r="DD32" s="298"/>
      <c r="DE32" s="298"/>
      <c r="DF32" s="298"/>
      <c r="DG32" s="298"/>
      <c r="DH32" s="298"/>
      <c r="DI32" s="298"/>
      <c r="DJ32" s="298"/>
      <c r="DK32" s="298"/>
      <c r="DL32" s="298"/>
      <c r="DM32" s="298"/>
      <c r="DN32" s="298"/>
      <c r="DO32" s="298"/>
      <c r="DP32" s="298"/>
      <c r="DQ32" s="298"/>
      <c r="DR32" s="298"/>
      <c r="DS32" s="298"/>
      <c r="DT32" s="298"/>
      <c r="DU32" s="298"/>
      <c r="DV32" s="298"/>
      <c r="DW32" s="298"/>
      <c r="DX32" s="298"/>
      <c r="DY32" s="298"/>
      <c r="DZ32" s="298"/>
      <c r="EA32" s="298"/>
      <c r="EB32" s="298"/>
      <c r="EC32" s="298"/>
      <c r="ED32" s="298"/>
      <c r="EE32" s="298"/>
      <c r="EF32" s="298"/>
      <c r="EG32" s="298"/>
      <c r="EH32" s="298"/>
      <c r="EI32" s="298"/>
      <c r="EJ32" s="298"/>
      <c r="EK32" s="298"/>
      <c r="EL32" s="298"/>
      <c r="EM32" s="298"/>
      <c r="EN32" s="298"/>
      <c r="EO32" s="298"/>
      <c r="EP32" s="298"/>
      <c r="EQ32" s="298"/>
      <c r="ER32" s="298"/>
      <c r="ES32" s="298"/>
      <c r="ET32" s="298"/>
      <c r="EU32" s="298"/>
      <c r="EV32" s="298"/>
      <c r="EW32" s="298"/>
      <c r="EX32" s="298"/>
      <c r="EY32" s="298"/>
      <c r="EZ32" s="298"/>
      <c r="FA32" s="298"/>
      <c r="FB32" s="298"/>
      <c r="FC32" s="298"/>
      <c r="FD32" s="298"/>
      <c r="FE32" s="298"/>
      <c r="FF32" s="298"/>
      <c r="FG32" s="298"/>
      <c r="FH32" s="298"/>
      <c r="FI32" s="298"/>
      <c r="FJ32" s="298"/>
      <c r="FK32" s="298"/>
      <c r="FL32" s="298"/>
      <c r="FM32" s="298"/>
      <c r="FN32" s="298"/>
      <c r="FO32" s="298"/>
      <c r="FP32" s="298"/>
      <c r="FQ32" s="298"/>
      <c r="FR32" s="298"/>
      <c r="FS32" s="298"/>
      <c r="FT32" s="298"/>
      <c r="FU32" s="298"/>
      <c r="FV32" s="298"/>
      <c r="FW32" s="298"/>
      <c r="FX32" s="298"/>
      <c r="FY32" s="298"/>
      <c r="FZ32" s="298"/>
      <c r="GA32" s="298"/>
      <c r="GB32" s="298"/>
      <c r="GC32" s="298"/>
      <c r="GD32" s="298"/>
      <c r="GE32" s="298"/>
      <c r="GF32" s="298"/>
      <c r="GG32" s="298"/>
      <c r="GH32" s="298"/>
      <c r="GI32" s="298"/>
      <c r="GJ32" s="298"/>
      <c r="GK32" s="298"/>
      <c r="GL32" s="298"/>
      <c r="GM32" s="298"/>
      <c r="GN32" s="298"/>
      <c r="GO32" s="298"/>
      <c r="GP32" s="298"/>
      <c r="GQ32" s="298"/>
      <c r="GR32" s="298"/>
      <c r="GS32" s="298"/>
      <c r="GT32" s="298"/>
      <c r="GU32" s="298"/>
      <c r="GV32" s="298"/>
      <c r="GW32" s="298"/>
      <c r="GX32" s="298"/>
      <c r="GY32" s="298"/>
      <c r="GZ32" s="298"/>
      <c r="HA32" s="298"/>
      <c r="HB32" s="298"/>
      <c r="HC32" s="298"/>
      <c r="HD32" s="298"/>
      <c r="HE32" s="298"/>
      <c r="HF32" s="298"/>
      <c r="HG32" s="298"/>
      <c r="HH32" s="298"/>
      <c r="HI32" s="298"/>
      <c r="HJ32" s="298"/>
      <c r="HK32" s="298"/>
      <c r="HL32" s="298"/>
      <c r="HM32" s="298"/>
      <c r="HN32" s="298"/>
      <c r="HO32" s="298"/>
      <c r="HP32" s="298"/>
      <c r="HQ32" s="298"/>
      <c r="HR32" s="298"/>
      <c r="HS32" s="298"/>
      <c r="HT32" s="298"/>
      <c r="HU32" s="298"/>
      <c r="HV32" s="298"/>
      <c r="HW32" s="298"/>
      <c r="HX32" s="298"/>
      <c r="HY32" s="298"/>
      <c r="HZ32" s="298"/>
      <c r="IA32" s="298"/>
      <c r="IB32" s="298"/>
      <c r="IC32" s="298"/>
      <c r="ID32" s="298"/>
      <c r="IE32" s="298"/>
      <c r="IF32" s="298"/>
      <c r="IG32" s="298"/>
      <c r="IH32" s="298"/>
      <c r="II32" s="298"/>
      <c r="IJ32" s="298"/>
      <c r="IK32" s="298"/>
      <c r="IL32" s="298"/>
      <c r="IM32" s="298"/>
      <c r="IN32" s="298"/>
      <c r="IO32" s="298"/>
      <c r="IP32" s="298"/>
      <c r="IQ32" s="298"/>
      <c r="IR32" s="298"/>
      <c r="IS32" s="298"/>
      <c r="IT32" s="298"/>
      <c r="IU32" s="298"/>
      <c r="IV32" s="298"/>
    </row>
    <row r="33" spans="1:256" ht="12.75">
      <c r="A33" s="298"/>
      <c r="B33" s="305" t="s">
        <v>285</v>
      </c>
      <c r="C33" s="302"/>
      <c r="D33" s="300"/>
      <c r="E33" s="298"/>
      <c r="F33" s="298"/>
      <c r="G33" s="298"/>
      <c r="H33" s="298"/>
      <c r="I33" s="298"/>
      <c r="J33" s="298"/>
      <c r="K33" s="298"/>
      <c r="L33" s="298"/>
      <c r="M33" s="298"/>
      <c r="N33" s="298"/>
      <c r="O33" s="298"/>
      <c r="P33" s="298"/>
      <c r="Q33" s="298"/>
      <c r="R33" s="298"/>
      <c r="S33" s="298"/>
      <c r="T33" s="298"/>
      <c r="U33" s="298"/>
      <c r="V33" s="298"/>
      <c r="W33" s="298"/>
      <c r="X33" s="298"/>
      <c r="Y33" s="298"/>
      <c r="Z33" s="298"/>
      <c r="AA33" s="298"/>
      <c r="AB33" s="298"/>
      <c r="AC33" s="298"/>
      <c r="AD33" s="298"/>
      <c r="AE33" s="298"/>
      <c r="AF33" s="298"/>
      <c r="AG33" s="298"/>
      <c r="AH33" s="298"/>
      <c r="AI33" s="298"/>
      <c r="AJ33" s="298"/>
      <c r="AK33" s="298"/>
      <c r="AL33" s="298"/>
      <c r="AM33" s="298"/>
      <c r="AN33" s="298"/>
      <c r="AO33" s="298"/>
      <c r="AP33" s="298"/>
      <c r="AQ33" s="298"/>
      <c r="AR33" s="298"/>
      <c r="AS33" s="298"/>
      <c r="AT33" s="298"/>
      <c r="AU33" s="298"/>
      <c r="AV33" s="298"/>
      <c r="AW33" s="298"/>
      <c r="AX33" s="298"/>
      <c r="AY33" s="298"/>
      <c r="AZ33" s="298"/>
      <c r="BA33" s="298"/>
      <c r="BB33" s="298"/>
      <c r="BC33" s="298"/>
      <c r="BD33" s="298"/>
      <c r="BE33" s="298"/>
      <c r="BF33" s="298"/>
      <c r="BG33" s="298"/>
      <c r="BH33" s="298"/>
      <c r="BI33" s="298"/>
      <c r="BJ33" s="298"/>
      <c r="BK33" s="298"/>
      <c r="BL33" s="298"/>
      <c r="BM33" s="298"/>
      <c r="BN33" s="298"/>
      <c r="BO33" s="298"/>
      <c r="BP33" s="298"/>
      <c r="BQ33" s="298"/>
      <c r="BR33" s="298"/>
      <c r="BS33" s="298"/>
      <c r="BT33" s="298"/>
      <c r="BU33" s="298"/>
      <c r="BV33" s="298"/>
      <c r="BW33" s="298"/>
      <c r="BX33" s="298"/>
      <c r="BY33" s="298"/>
      <c r="BZ33" s="298"/>
      <c r="CA33" s="298"/>
      <c r="CB33" s="298"/>
      <c r="CC33" s="298"/>
      <c r="CD33" s="298"/>
      <c r="CE33" s="298"/>
      <c r="CF33" s="298"/>
      <c r="CG33" s="298"/>
      <c r="CH33" s="298"/>
      <c r="CI33" s="298"/>
      <c r="CJ33" s="298"/>
      <c r="CK33" s="298"/>
      <c r="CL33" s="298"/>
      <c r="CM33" s="298"/>
      <c r="CN33" s="298"/>
      <c r="CO33" s="298"/>
      <c r="CP33" s="298"/>
      <c r="CQ33" s="298"/>
      <c r="CR33" s="298"/>
      <c r="CS33" s="298"/>
      <c r="CT33" s="298"/>
      <c r="CU33" s="298"/>
      <c r="CV33" s="298"/>
      <c r="CW33" s="298"/>
      <c r="CX33" s="298"/>
      <c r="CY33" s="298"/>
      <c r="CZ33" s="298"/>
      <c r="DA33" s="298"/>
      <c r="DB33" s="298"/>
      <c r="DC33" s="298"/>
      <c r="DD33" s="298"/>
      <c r="DE33" s="298"/>
      <c r="DF33" s="298"/>
      <c r="DG33" s="298"/>
      <c r="DH33" s="298"/>
      <c r="DI33" s="298"/>
      <c r="DJ33" s="298"/>
      <c r="DK33" s="298"/>
      <c r="DL33" s="298"/>
      <c r="DM33" s="298"/>
      <c r="DN33" s="298"/>
      <c r="DO33" s="298"/>
      <c r="DP33" s="298"/>
      <c r="DQ33" s="298"/>
      <c r="DR33" s="298"/>
      <c r="DS33" s="298"/>
      <c r="DT33" s="298"/>
      <c r="DU33" s="298"/>
      <c r="DV33" s="298"/>
      <c r="DW33" s="298"/>
      <c r="DX33" s="298"/>
      <c r="DY33" s="298"/>
      <c r="DZ33" s="298"/>
      <c r="EA33" s="298"/>
      <c r="EB33" s="298"/>
      <c r="EC33" s="298"/>
      <c r="ED33" s="298"/>
      <c r="EE33" s="298"/>
      <c r="EF33" s="298"/>
      <c r="EG33" s="298"/>
      <c r="EH33" s="298"/>
      <c r="EI33" s="298"/>
      <c r="EJ33" s="298"/>
      <c r="EK33" s="298"/>
      <c r="EL33" s="298"/>
      <c r="EM33" s="298"/>
      <c r="EN33" s="298"/>
      <c r="EO33" s="298"/>
      <c r="EP33" s="298"/>
      <c r="EQ33" s="298"/>
      <c r="ER33" s="298"/>
      <c r="ES33" s="298"/>
      <c r="ET33" s="298"/>
      <c r="EU33" s="298"/>
      <c r="EV33" s="298"/>
      <c r="EW33" s="298"/>
      <c r="EX33" s="298"/>
      <c r="EY33" s="298"/>
      <c r="EZ33" s="298"/>
      <c r="FA33" s="298"/>
      <c r="FB33" s="298"/>
      <c r="FC33" s="298"/>
      <c r="FD33" s="298"/>
      <c r="FE33" s="298"/>
      <c r="FF33" s="298"/>
      <c r="FG33" s="298"/>
      <c r="FH33" s="298"/>
      <c r="FI33" s="298"/>
      <c r="FJ33" s="298"/>
      <c r="FK33" s="298"/>
      <c r="FL33" s="298"/>
      <c r="FM33" s="298"/>
      <c r="FN33" s="298"/>
      <c r="FO33" s="298"/>
      <c r="FP33" s="298"/>
      <c r="FQ33" s="298"/>
      <c r="FR33" s="298"/>
      <c r="FS33" s="298"/>
      <c r="FT33" s="298"/>
      <c r="FU33" s="298"/>
      <c r="FV33" s="298"/>
      <c r="FW33" s="298"/>
      <c r="FX33" s="298"/>
      <c r="FY33" s="298"/>
      <c r="FZ33" s="298"/>
      <c r="GA33" s="298"/>
      <c r="GB33" s="298"/>
      <c r="GC33" s="298"/>
      <c r="GD33" s="298"/>
      <c r="GE33" s="298"/>
      <c r="GF33" s="298"/>
      <c r="GG33" s="298"/>
      <c r="GH33" s="298"/>
      <c r="GI33" s="298"/>
      <c r="GJ33" s="298"/>
      <c r="GK33" s="298"/>
      <c r="GL33" s="298"/>
      <c r="GM33" s="298"/>
      <c r="GN33" s="298"/>
      <c r="GO33" s="298"/>
      <c r="GP33" s="298"/>
      <c r="GQ33" s="298"/>
      <c r="GR33" s="298"/>
      <c r="GS33" s="298"/>
      <c r="GT33" s="298"/>
      <c r="GU33" s="298"/>
      <c r="GV33" s="298"/>
      <c r="GW33" s="298"/>
      <c r="GX33" s="298"/>
      <c r="GY33" s="298"/>
      <c r="GZ33" s="298"/>
      <c r="HA33" s="298"/>
      <c r="HB33" s="298"/>
      <c r="HC33" s="298"/>
      <c r="HD33" s="298"/>
      <c r="HE33" s="298"/>
      <c r="HF33" s="298"/>
      <c r="HG33" s="298"/>
      <c r="HH33" s="298"/>
      <c r="HI33" s="298"/>
      <c r="HJ33" s="298"/>
      <c r="HK33" s="298"/>
      <c r="HL33" s="298"/>
      <c r="HM33" s="298"/>
      <c r="HN33" s="298"/>
      <c r="HO33" s="298"/>
      <c r="HP33" s="298"/>
      <c r="HQ33" s="298"/>
      <c r="HR33" s="298"/>
      <c r="HS33" s="298"/>
      <c r="HT33" s="298"/>
      <c r="HU33" s="298"/>
      <c r="HV33" s="298"/>
      <c r="HW33" s="298"/>
      <c r="HX33" s="298"/>
      <c r="HY33" s="298"/>
      <c r="HZ33" s="298"/>
      <c r="IA33" s="298"/>
      <c r="IB33" s="298"/>
      <c r="IC33" s="298"/>
      <c r="ID33" s="298"/>
      <c r="IE33" s="298"/>
      <c r="IF33" s="298"/>
      <c r="IG33" s="298"/>
      <c r="IH33" s="298"/>
      <c r="II33" s="298"/>
      <c r="IJ33" s="298"/>
      <c r="IK33" s="298"/>
      <c r="IL33" s="298"/>
      <c r="IM33" s="298"/>
      <c r="IN33" s="298"/>
      <c r="IO33" s="298"/>
      <c r="IP33" s="298"/>
      <c r="IQ33" s="298"/>
      <c r="IR33" s="298"/>
      <c r="IS33" s="298"/>
      <c r="IT33" s="298"/>
      <c r="IU33" s="298"/>
      <c r="IV33" s="298"/>
    </row>
    <row r="34" spans="1:256" ht="12.75">
      <c r="A34" s="298"/>
      <c r="B34" s="504" t="s">
        <v>286</v>
      </c>
      <c r="C34" s="504"/>
      <c r="D34" s="504"/>
      <c r="E34" s="298"/>
      <c r="F34" s="298"/>
      <c r="G34" s="298"/>
      <c r="H34" s="298"/>
      <c r="I34" s="298"/>
      <c r="J34" s="298"/>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8"/>
      <c r="AJ34" s="298"/>
      <c r="AK34" s="298"/>
      <c r="AL34" s="298"/>
      <c r="AM34" s="298"/>
      <c r="AN34" s="298"/>
      <c r="AO34" s="298"/>
      <c r="AP34" s="298"/>
      <c r="AQ34" s="298"/>
      <c r="AR34" s="298"/>
      <c r="AS34" s="298"/>
      <c r="AT34" s="298"/>
      <c r="AU34" s="298"/>
      <c r="AV34" s="298"/>
      <c r="AW34" s="298"/>
      <c r="AX34" s="298"/>
      <c r="AY34" s="298"/>
      <c r="AZ34" s="298"/>
      <c r="BA34" s="298"/>
      <c r="BB34" s="298"/>
      <c r="BC34" s="298"/>
      <c r="BD34" s="298"/>
      <c r="BE34" s="298"/>
      <c r="BF34" s="298"/>
      <c r="BG34" s="298"/>
      <c r="BH34" s="298"/>
      <c r="BI34" s="298"/>
      <c r="BJ34" s="298"/>
      <c r="BK34" s="298"/>
      <c r="BL34" s="298"/>
      <c r="BM34" s="298"/>
      <c r="BN34" s="298"/>
      <c r="BO34" s="298"/>
      <c r="BP34" s="298"/>
      <c r="BQ34" s="298"/>
      <c r="BR34" s="298"/>
      <c r="BS34" s="298"/>
      <c r="BT34" s="298"/>
      <c r="BU34" s="298"/>
      <c r="BV34" s="298"/>
      <c r="BW34" s="298"/>
      <c r="BX34" s="298"/>
      <c r="BY34" s="298"/>
      <c r="BZ34" s="298"/>
      <c r="CA34" s="298"/>
      <c r="CB34" s="298"/>
      <c r="CC34" s="298"/>
      <c r="CD34" s="298"/>
      <c r="CE34" s="298"/>
      <c r="CF34" s="298"/>
      <c r="CG34" s="298"/>
      <c r="CH34" s="298"/>
      <c r="CI34" s="298"/>
      <c r="CJ34" s="298"/>
      <c r="CK34" s="298"/>
      <c r="CL34" s="298"/>
      <c r="CM34" s="298"/>
      <c r="CN34" s="298"/>
      <c r="CO34" s="298"/>
      <c r="CP34" s="298"/>
      <c r="CQ34" s="298"/>
      <c r="CR34" s="298"/>
      <c r="CS34" s="298"/>
      <c r="CT34" s="298"/>
      <c r="CU34" s="298"/>
      <c r="CV34" s="298"/>
      <c r="CW34" s="298"/>
      <c r="CX34" s="298"/>
      <c r="CY34" s="298"/>
      <c r="CZ34" s="298"/>
      <c r="DA34" s="298"/>
      <c r="DB34" s="298"/>
      <c r="DC34" s="298"/>
      <c r="DD34" s="298"/>
      <c r="DE34" s="298"/>
      <c r="DF34" s="298"/>
      <c r="DG34" s="298"/>
      <c r="DH34" s="298"/>
      <c r="DI34" s="298"/>
      <c r="DJ34" s="298"/>
      <c r="DK34" s="298"/>
      <c r="DL34" s="298"/>
      <c r="DM34" s="298"/>
      <c r="DN34" s="298"/>
      <c r="DO34" s="298"/>
      <c r="DP34" s="298"/>
      <c r="DQ34" s="298"/>
      <c r="DR34" s="298"/>
      <c r="DS34" s="298"/>
      <c r="DT34" s="298"/>
      <c r="DU34" s="298"/>
      <c r="DV34" s="298"/>
      <c r="DW34" s="298"/>
      <c r="DX34" s="298"/>
      <c r="DY34" s="298"/>
      <c r="DZ34" s="298"/>
      <c r="EA34" s="298"/>
      <c r="EB34" s="298"/>
      <c r="EC34" s="298"/>
      <c r="ED34" s="298"/>
      <c r="EE34" s="298"/>
      <c r="EF34" s="298"/>
      <c r="EG34" s="298"/>
      <c r="EH34" s="298"/>
      <c r="EI34" s="298"/>
      <c r="EJ34" s="298"/>
      <c r="EK34" s="298"/>
      <c r="EL34" s="298"/>
      <c r="EM34" s="298"/>
      <c r="EN34" s="298"/>
      <c r="EO34" s="298"/>
      <c r="EP34" s="298"/>
      <c r="EQ34" s="298"/>
      <c r="ER34" s="298"/>
      <c r="ES34" s="298"/>
      <c r="ET34" s="298"/>
      <c r="EU34" s="298"/>
      <c r="EV34" s="298"/>
      <c r="EW34" s="298"/>
      <c r="EX34" s="298"/>
      <c r="EY34" s="298"/>
      <c r="EZ34" s="298"/>
      <c r="FA34" s="298"/>
      <c r="FB34" s="298"/>
      <c r="FC34" s="298"/>
      <c r="FD34" s="298"/>
      <c r="FE34" s="298"/>
      <c r="FF34" s="298"/>
      <c r="FG34" s="298"/>
      <c r="FH34" s="298"/>
      <c r="FI34" s="298"/>
      <c r="FJ34" s="298"/>
      <c r="FK34" s="298"/>
      <c r="FL34" s="298"/>
      <c r="FM34" s="298"/>
      <c r="FN34" s="298"/>
      <c r="FO34" s="298"/>
      <c r="FP34" s="298"/>
      <c r="FQ34" s="298"/>
      <c r="FR34" s="298"/>
      <c r="FS34" s="298"/>
      <c r="FT34" s="298"/>
      <c r="FU34" s="298"/>
      <c r="FV34" s="298"/>
      <c r="FW34" s="298"/>
      <c r="FX34" s="298"/>
      <c r="FY34" s="298"/>
      <c r="FZ34" s="298"/>
      <c r="GA34" s="298"/>
      <c r="GB34" s="298"/>
      <c r="GC34" s="298"/>
      <c r="GD34" s="298"/>
      <c r="GE34" s="298"/>
      <c r="GF34" s="298"/>
      <c r="GG34" s="298"/>
      <c r="GH34" s="298"/>
      <c r="GI34" s="298"/>
      <c r="GJ34" s="298"/>
      <c r="GK34" s="298"/>
      <c r="GL34" s="298"/>
      <c r="GM34" s="298"/>
      <c r="GN34" s="298"/>
      <c r="GO34" s="298"/>
      <c r="GP34" s="298"/>
      <c r="GQ34" s="298"/>
      <c r="GR34" s="298"/>
      <c r="GS34" s="298"/>
      <c r="GT34" s="298"/>
      <c r="GU34" s="298"/>
      <c r="GV34" s="298"/>
      <c r="GW34" s="298"/>
      <c r="GX34" s="298"/>
      <c r="GY34" s="298"/>
      <c r="GZ34" s="298"/>
      <c r="HA34" s="298"/>
      <c r="HB34" s="298"/>
      <c r="HC34" s="298"/>
      <c r="HD34" s="298"/>
      <c r="HE34" s="298"/>
      <c r="HF34" s="298"/>
      <c r="HG34" s="298"/>
      <c r="HH34" s="298"/>
      <c r="HI34" s="298"/>
      <c r="HJ34" s="298"/>
      <c r="HK34" s="298"/>
      <c r="HL34" s="298"/>
      <c r="HM34" s="298"/>
      <c r="HN34" s="298"/>
      <c r="HO34" s="298"/>
      <c r="HP34" s="298"/>
      <c r="HQ34" s="298"/>
      <c r="HR34" s="298"/>
      <c r="HS34" s="298"/>
      <c r="HT34" s="298"/>
      <c r="HU34" s="298"/>
      <c r="HV34" s="298"/>
      <c r="HW34" s="298"/>
      <c r="HX34" s="298"/>
      <c r="HY34" s="298"/>
      <c r="HZ34" s="298"/>
      <c r="IA34" s="298"/>
      <c r="IB34" s="298"/>
      <c r="IC34" s="298"/>
      <c r="ID34" s="298"/>
      <c r="IE34" s="298"/>
      <c r="IF34" s="298"/>
      <c r="IG34" s="298"/>
      <c r="IH34" s="298"/>
      <c r="II34" s="298"/>
      <c r="IJ34" s="298"/>
      <c r="IK34" s="298"/>
      <c r="IL34" s="298"/>
      <c r="IM34" s="298"/>
      <c r="IN34" s="298"/>
      <c r="IO34" s="298"/>
      <c r="IP34" s="298"/>
      <c r="IQ34" s="298"/>
      <c r="IR34" s="298"/>
      <c r="IS34" s="298"/>
      <c r="IT34" s="298"/>
      <c r="IU34" s="298"/>
      <c r="IV34" s="298"/>
    </row>
    <row r="35" spans="1:256" ht="12.75">
      <c r="A35" s="298"/>
      <c r="B35" s="306"/>
      <c r="C35" s="306"/>
      <c r="D35" s="306"/>
      <c r="E35" s="298"/>
      <c r="F35" s="298"/>
      <c r="G35" s="298"/>
      <c r="H35" s="298"/>
      <c r="I35" s="298"/>
      <c r="J35" s="298"/>
      <c r="K35" s="298"/>
      <c r="L35" s="298"/>
      <c r="M35" s="298"/>
      <c r="N35" s="298"/>
      <c r="O35" s="298"/>
      <c r="P35" s="298"/>
      <c r="Q35" s="298"/>
      <c r="R35" s="298"/>
      <c r="S35" s="298"/>
      <c r="T35" s="298"/>
      <c r="U35" s="298"/>
      <c r="V35" s="298"/>
      <c r="W35" s="298"/>
      <c r="X35" s="298"/>
      <c r="Y35" s="298"/>
      <c r="Z35" s="298"/>
      <c r="AA35" s="298"/>
      <c r="AB35" s="298"/>
      <c r="AC35" s="298"/>
      <c r="AD35" s="298"/>
      <c r="AE35" s="298"/>
      <c r="AF35" s="298"/>
      <c r="AG35" s="298"/>
      <c r="AH35" s="298"/>
      <c r="AI35" s="298"/>
      <c r="AJ35" s="298"/>
      <c r="AK35" s="298"/>
      <c r="AL35" s="298"/>
      <c r="AM35" s="298"/>
      <c r="AN35" s="298"/>
      <c r="AO35" s="298"/>
      <c r="AP35" s="298"/>
      <c r="AQ35" s="298"/>
      <c r="AR35" s="298"/>
      <c r="AS35" s="298"/>
      <c r="AT35" s="298"/>
      <c r="AU35" s="298"/>
      <c r="AV35" s="298"/>
      <c r="AW35" s="298"/>
      <c r="AX35" s="298"/>
      <c r="AY35" s="298"/>
      <c r="AZ35" s="298"/>
      <c r="BA35" s="298"/>
      <c r="BB35" s="298"/>
      <c r="BC35" s="298"/>
      <c r="BD35" s="298"/>
      <c r="BE35" s="298"/>
      <c r="BF35" s="298"/>
      <c r="BG35" s="298"/>
      <c r="BH35" s="298"/>
      <c r="BI35" s="298"/>
      <c r="BJ35" s="298"/>
      <c r="BK35" s="298"/>
      <c r="BL35" s="298"/>
      <c r="BM35" s="298"/>
      <c r="BN35" s="298"/>
      <c r="BO35" s="298"/>
      <c r="BP35" s="298"/>
      <c r="BQ35" s="298"/>
      <c r="BR35" s="298"/>
      <c r="BS35" s="298"/>
      <c r="BT35" s="298"/>
      <c r="BU35" s="298"/>
      <c r="BV35" s="298"/>
      <c r="BW35" s="298"/>
      <c r="BX35" s="298"/>
      <c r="BY35" s="298"/>
      <c r="BZ35" s="298"/>
      <c r="CA35" s="298"/>
      <c r="CB35" s="298"/>
      <c r="CC35" s="298"/>
      <c r="CD35" s="298"/>
      <c r="CE35" s="298"/>
      <c r="CF35" s="298"/>
      <c r="CG35" s="298"/>
      <c r="CH35" s="298"/>
      <c r="CI35" s="298"/>
      <c r="CJ35" s="298"/>
      <c r="CK35" s="298"/>
      <c r="CL35" s="298"/>
      <c r="CM35" s="298"/>
      <c r="CN35" s="298"/>
      <c r="CO35" s="298"/>
      <c r="CP35" s="298"/>
      <c r="CQ35" s="298"/>
      <c r="CR35" s="298"/>
      <c r="CS35" s="298"/>
      <c r="CT35" s="298"/>
      <c r="CU35" s="298"/>
      <c r="CV35" s="298"/>
      <c r="CW35" s="298"/>
      <c r="CX35" s="298"/>
      <c r="CY35" s="298"/>
      <c r="CZ35" s="298"/>
      <c r="DA35" s="298"/>
      <c r="DB35" s="298"/>
      <c r="DC35" s="298"/>
      <c r="DD35" s="298"/>
      <c r="DE35" s="298"/>
      <c r="DF35" s="298"/>
      <c r="DG35" s="298"/>
      <c r="DH35" s="298"/>
      <c r="DI35" s="298"/>
      <c r="DJ35" s="298"/>
      <c r="DK35" s="298"/>
      <c r="DL35" s="298"/>
      <c r="DM35" s="298"/>
      <c r="DN35" s="298"/>
      <c r="DO35" s="298"/>
      <c r="DP35" s="298"/>
      <c r="DQ35" s="298"/>
      <c r="DR35" s="298"/>
      <c r="DS35" s="298"/>
      <c r="DT35" s="298"/>
      <c r="DU35" s="298"/>
      <c r="DV35" s="298"/>
      <c r="DW35" s="298"/>
      <c r="DX35" s="298"/>
      <c r="DY35" s="298"/>
      <c r="DZ35" s="298"/>
      <c r="EA35" s="298"/>
      <c r="EB35" s="298"/>
      <c r="EC35" s="298"/>
      <c r="ED35" s="298"/>
      <c r="EE35" s="298"/>
      <c r="EF35" s="298"/>
      <c r="EG35" s="298"/>
      <c r="EH35" s="298"/>
      <c r="EI35" s="298"/>
      <c r="EJ35" s="298"/>
      <c r="EK35" s="298"/>
      <c r="EL35" s="298"/>
      <c r="EM35" s="298"/>
      <c r="EN35" s="298"/>
      <c r="EO35" s="298"/>
      <c r="EP35" s="298"/>
      <c r="EQ35" s="298"/>
      <c r="ER35" s="298"/>
      <c r="ES35" s="298"/>
      <c r="ET35" s="298"/>
      <c r="EU35" s="298"/>
      <c r="EV35" s="298"/>
      <c r="EW35" s="298"/>
      <c r="EX35" s="298"/>
      <c r="EY35" s="298"/>
      <c r="EZ35" s="298"/>
      <c r="FA35" s="298"/>
      <c r="FB35" s="298"/>
      <c r="FC35" s="298"/>
      <c r="FD35" s="298"/>
      <c r="FE35" s="298"/>
      <c r="FF35" s="298"/>
      <c r="FG35" s="298"/>
      <c r="FH35" s="298"/>
      <c r="FI35" s="298"/>
      <c r="FJ35" s="298"/>
      <c r="FK35" s="298"/>
      <c r="FL35" s="298"/>
      <c r="FM35" s="298"/>
      <c r="FN35" s="298"/>
      <c r="FO35" s="298"/>
      <c r="FP35" s="298"/>
      <c r="FQ35" s="298"/>
      <c r="FR35" s="298"/>
      <c r="FS35" s="298"/>
      <c r="FT35" s="298"/>
      <c r="FU35" s="298"/>
      <c r="FV35" s="298"/>
      <c r="FW35" s="298"/>
      <c r="FX35" s="298"/>
      <c r="FY35" s="298"/>
      <c r="FZ35" s="298"/>
      <c r="GA35" s="298"/>
      <c r="GB35" s="298"/>
      <c r="GC35" s="298"/>
      <c r="GD35" s="298"/>
      <c r="GE35" s="298"/>
      <c r="GF35" s="298"/>
      <c r="GG35" s="298"/>
      <c r="GH35" s="298"/>
      <c r="GI35" s="298"/>
      <c r="GJ35" s="298"/>
      <c r="GK35" s="298"/>
      <c r="GL35" s="298"/>
      <c r="GM35" s="298"/>
      <c r="GN35" s="298"/>
      <c r="GO35" s="298"/>
      <c r="GP35" s="298"/>
      <c r="GQ35" s="298"/>
      <c r="GR35" s="298"/>
      <c r="GS35" s="298"/>
      <c r="GT35" s="298"/>
      <c r="GU35" s="298"/>
      <c r="GV35" s="298"/>
      <c r="GW35" s="298"/>
      <c r="GX35" s="298"/>
      <c r="GY35" s="298"/>
      <c r="GZ35" s="298"/>
      <c r="HA35" s="298"/>
      <c r="HB35" s="298"/>
      <c r="HC35" s="298"/>
      <c r="HD35" s="298"/>
      <c r="HE35" s="298"/>
      <c r="HF35" s="298"/>
      <c r="HG35" s="298"/>
      <c r="HH35" s="298"/>
      <c r="HI35" s="298"/>
      <c r="HJ35" s="298"/>
      <c r="HK35" s="298"/>
      <c r="HL35" s="298"/>
      <c r="HM35" s="298"/>
      <c r="HN35" s="298"/>
      <c r="HO35" s="298"/>
      <c r="HP35" s="298"/>
      <c r="HQ35" s="298"/>
      <c r="HR35" s="298"/>
      <c r="HS35" s="298"/>
      <c r="HT35" s="298"/>
      <c r="HU35" s="298"/>
      <c r="HV35" s="298"/>
      <c r="HW35" s="298"/>
      <c r="HX35" s="298"/>
      <c r="HY35" s="298"/>
      <c r="HZ35" s="298"/>
      <c r="IA35" s="298"/>
      <c r="IB35" s="298"/>
      <c r="IC35" s="298"/>
      <c r="ID35" s="298"/>
      <c r="IE35" s="298"/>
      <c r="IF35" s="298"/>
      <c r="IG35" s="298"/>
      <c r="IH35" s="298"/>
      <c r="II35" s="298"/>
      <c r="IJ35" s="298"/>
      <c r="IK35" s="298"/>
      <c r="IL35" s="298"/>
      <c r="IM35" s="298"/>
      <c r="IN35" s="298"/>
      <c r="IO35" s="298"/>
      <c r="IP35" s="298"/>
      <c r="IQ35" s="298"/>
      <c r="IR35" s="298"/>
      <c r="IS35" s="298"/>
      <c r="IT35" s="298"/>
      <c r="IU35" s="298"/>
      <c r="IV35" s="298"/>
    </row>
    <row r="36" spans="1:256" ht="12.75">
      <c r="A36" s="298"/>
      <c r="B36" s="97" t="s">
        <v>287</v>
      </c>
      <c r="C36" s="302"/>
      <c r="D36" s="300"/>
      <c r="E36" s="298"/>
      <c r="F36" s="298"/>
      <c r="G36" s="298"/>
      <c r="H36" s="298"/>
      <c r="I36" s="298"/>
      <c r="J36" s="298"/>
      <c r="K36" s="298"/>
      <c r="L36" s="298"/>
      <c r="M36" s="298"/>
      <c r="N36" s="298"/>
      <c r="O36" s="298"/>
      <c r="P36" s="298"/>
      <c r="Q36" s="298"/>
      <c r="R36" s="298"/>
      <c r="S36" s="298"/>
      <c r="T36" s="298"/>
      <c r="U36" s="298"/>
      <c r="V36" s="298"/>
      <c r="W36" s="298"/>
      <c r="X36" s="298"/>
      <c r="Y36" s="298"/>
      <c r="Z36" s="298"/>
      <c r="AA36" s="298"/>
      <c r="AB36" s="298"/>
      <c r="AC36" s="298"/>
      <c r="AD36" s="298"/>
      <c r="AE36" s="298"/>
      <c r="AF36" s="298"/>
      <c r="AG36" s="298"/>
      <c r="AH36" s="298"/>
      <c r="AI36" s="298"/>
      <c r="AJ36" s="298"/>
      <c r="AK36" s="298"/>
      <c r="AL36" s="298"/>
      <c r="AM36" s="298"/>
      <c r="AN36" s="298"/>
      <c r="AO36" s="298"/>
      <c r="AP36" s="298"/>
      <c r="AQ36" s="298"/>
      <c r="AR36" s="298"/>
      <c r="AS36" s="298"/>
      <c r="AT36" s="298"/>
      <c r="AU36" s="298"/>
      <c r="AV36" s="298"/>
      <c r="AW36" s="298"/>
      <c r="AX36" s="298"/>
      <c r="AY36" s="298"/>
      <c r="AZ36" s="298"/>
      <c r="BA36" s="298"/>
      <c r="BB36" s="298"/>
      <c r="BC36" s="298"/>
      <c r="BD36" s="298"/>
      <c r="BE36" s="298"/>
      <c r="BF36" s="298"/>
      <c r="BG36" s="298"/>
      <c r="BH36" s="298"/>
      <c r="BI36" s="298"/>
      <c r="BJ36" s="298"/>
      <c r="BK36" s="298"/>
      <c r="BL36" s="298"/>
      <c r="BM36" s="298"/>
      <c r="BN36" s="298"/>
      <c r="BO36" s="298"/>
      <c r="BP36" s="298"/>
      <c r="BQ36" s="298"/>
      <c r="BR36" s="298"/>
      <c r="BS36" s="298"/>
      <c r="BT36" s="298"/>
      <c r="BU36" s="298"/>
      <c r="BV36" s="298"/>
      <c r="BW36" s="298"/>
      <c r="BX36" s="298"/>
      <c r="BY36" s="298"/>
      <c r="BZ36" s="298"/>
      <c r="CA36" s="298"/>
      <c r="CB36" s="298"/>
      <c r="CC36" s="298"/>
      <c r="CD36" s="298"/>
      <c r="CE36" s="298"/>
      <c r="CF36" s="298"/>
      <c r="CG36" s="298"/>
      <c r="CH36" s="298"/>
      <c r="CI36" s="298"/>
      <c r="CJ36" s="298"/>
      <c r="CK36" s="298"/>
      <c r="CL36" s="298"/>
      <c r="CM36" s="298"/>
      <c r="CN36" s="298"/>
      <c r="CO36" s="298"/>
      <c r="CP36" s="298"/>
      <c r="CQ36" s="298"/>
      <c r="CR36" s="298"/>
      <c r="CS36" s="298"/>
      <c r="CT36" s="298"/>
      <c r="CU36" s="298"/>
      <c r="CV36" s="298"/>
      <c r="CW36" s="298"/>
      <c r="CX36" s="298"/>
      <c r="CY36" s="298"/>
      <c r="CZ36" s="298"/>
      <c r="DA36" s="298"/>
      <c r="DB36" s="298"/>
      <c r="DC36" s="298"/>
      <c r="DD36" s="298"/>
      <c r="DE36" s="298"/>
      <c r="DF36" s="298"/>
      <c r="DG36" s="298"/>
      <c r="DH36" s="298"/>
      <c r="DI36" s="298"/>
      <c r="DJ36" s="298"/>
      <c r="DK36" s="298"/>
      <c r="DL36" s="298"/>
      <c r="DM36" s="298"/>
      <c r="DN36" s="298"/>
      <c r="DO36" s="298"/>
      <c r="DP36" s="298"/>
      <c r="DQ36" s="298"/>
      <c r="DR36" s="298"/>
      <c r="DS36" s="298"/>
      <c r="DT36" s="298"/>
      <c r="DU36" s="298"/>
      <c r="DV36" s="298"/>
      <c r="DW36" s="298"/>
      <c r="DX36" s="298"/>
      <c r="DY36" s="298"/>
      <c r="DZ36" s="298"/>
      <c r="EA36" s="298"/>
      <c r="EB36" s="298"/>
      <c r="EC36" s="298"/>
      <c r="ED36" s="298"/>
      <c r="EE36" s="298"/>
      <c r="EF36" s="298"/>
      <c r="EG36" s="298"/>
      <c r="EH36" s="298"/>
      <c r="EI36" s="298"/>
      <c r="EJ36" s="298"/>
      <c r="EK36" s="298"/>
      <c r="EL36" s="298"/>
      <c r="EM36" s="298"/>
      <c r="EN36" s="298"/>
      <c r="EO36" s="298"/>
      <c r="EP36" s="298"/>
      <c r="EQ36" s="298"/>
      <c r="ER36" s="298"/>
      <c r="ES36" s="298"/>
      <c r="ET36" s="298"/>
      <c r="EU36" s="298"/>
      <c r="EV36" s="298"/>
      <c r="EW36" s="298"/>
      <c r="EX36" s="298"/>
      <c r="EY36" s="298"/>
      <c r="EZ36" s="298"/>
      <c r="FA36" s="298"/>
      <c r="FB36" s="298"/>
      <c r="FC36" s="298"/>
      <c r="FD36" s="298"/>
      <c r="FE36" s="298"/>
      <c r="FF36" s="298"/>
      <c r="FG36" s="298"/>
      <c r="FH36" s="298"/>
      <c r="FI36" s="298"/>
      <c r="FJ36" s="298"/>
      <c r="FK36" s="298"/>
      <c r="FL36" s="298"/>
      <c r="FM36" s="298"/>
      <c r="FN36" s="298"/>
      <c r="FO36" s="298"/>
      <c r="FP36" s="298"/>
      <c r="FQ36" s="298"/>
      <c r="FR36" s="298"/>
      <c r="FS36" s="298"/>
      <c r="FT36" s="298"/>
      <c r="FU36" s="298"/>
      <c r="FV36" s="298"/>
      <c r="FW36" s="298"/>
      <c r="FX36" s="298"/>
      <c r="FY36" s="298"/>
      <c r="FZ36" s="298"/>
      <c r="GA36" s="298"/>
      <c r="GB36" s="298"/>
      <c r="GC36" s="298"/>
      <c r="GD36" s="298"/>
      <c r="GE36" s="298"/>
      <c r="GF36" s="298"/>
      <c r="GG36" s="298"/>
      <c r="GH36" s="298"/>
      <c r="GI36" s="298"/>
      <c r="GJ36" s="298"/>
      <c r="GK36" s="298"/>
      <c r="GL36" s="298"/>
      <c r="GM36" s="298"/>
      <c r="GN36" s="298"/>
      <c r="GO36" s="298"/>
      <c r="GP36" s="298"/>
      <c r="GQ36" s="298"/>
      <c r="GR36" s="298"/>
      <c r="GS36" s="298"/>
      <c r="GT36" s="298"/>
      <c r="GU36" s="298"/>
      <c r="GV36" s="298"/>
      <c r="GW36" s="298"/>
      <c r="GX36" s="298"/>
      <c r="GY36" s="298"/>
      <c r="GZ36" s="298"/>
      <c r="HA36" s="298"/>
      <c r="HB36" s="298"/>
      <c r="HC36" s="298"/>
      <c r="HD36" s="298"/>
      <c r="HE36" s="298"/>
      <c r="HF36" s="298"/>
      <c r="HG36" s="298"/>
      <c r="HH36" s="298"/>
      <c r="HI36" s="298"/>
      <c r="HJ36" s="298"/>
      <c r="HK36" s="298"/>
      <c r="HL36" s="298"/>
      <c r="HM36" s="298"/>
      <c r="HN36" s="298"/>
      <c r="HO36" s="298"/>
      <c r="HP36" s="298"/>
      <c r="HQ36" s="298"/>
      <c r="HR36" s="298"/>
      <c r="HS36" s="298"/>
      <c r="HT36" s="298"/>
      <c r="HU36" s="298"/>
      <c r="HV36" s="298"/>
      <c r="HW36" s="298"/>
      <c r="HX36" s="298"/>
      <c r="HY36" s="298"/>
      <c r="HZ36" s="298"/>
      <c r="IA36" s="298"/>
      <c r="IB36" s="298"/>
      <c r="IC36" s="298"/>
      <c r="ID36" s="298"/>
      <c r="IE36" s="298"/>
      <c r="IF36" s="298"/>
      <c r="IG36" s="298"/>
      <c r="IH36" s="298"/>
      <c r="II36" s="298"/>
      <c r="IJ36" s="298"/>
      <c r="IK36" s="298"/>
      <c r="IL36" s="298"/>
      <c r="IM36" s="298"/>
      <c r="IN36" s="298"/>
      <c r="IO36" s="298"/>
      <c r="IP36" s="298"/>
      <c r="IQ36" s="298"/>
      <c r="IR36" s="298"/>
      <c r="IS36" s="298"/>
      <c r="IT36" s="298"/>
      <c r="IU36" s="298"/>
      <c r="IV36" s="298"/>
    </row>
    <row r="37" spans="1:256" ht="12.75" customHeight="1">
      <c r="A37" s="298"/>
      <c r="B37" s="504" t="s">
        <v>288</v>
      </c>
      <c r="C37" s="504"/>
      <c r="D37" s="306"/>
      <c r="E37" s="298"/>
      <c r="F37" s="298"/>
      <c r="G37" s="298"/>
      <c r="H37" s="298"/>
      <c r="I37" s="298"/>
      <c r="J37" s="298"/>
      <c r="K37" s="298"/>
      <c r="L37" s="298"/>
      <c r="M37" s="298"/>
      <c r="N37" s="298"/>
      <c r="O37" s="298"/>
      <c r="P37" s="298"/>
      <c r="Q37" s="298"/>
      <c r="R37" s="298"/>
      <c r="S37" s="298"/>
      <c r="T37" s="298"/>
      <c r="U37" s="298"/>
      <c r="V37" s="298"/>
      <c r="W37" s="298"/>
      <c r="X37" s="298"/>
      <c r="Y37" s="298"/>
      <c r="Z37" s="298"/>
      <c r="AA37" s="298"/>
      <c r="AB37" s="298"/>
      <c r="AC37" s="298"/>
      <c r="AD37" s="298"/>
      <c r="AE37" s="298"/>
      <c r="AF37" s="298"/>
      <c r="AG37" s="298"/>
      <c r="AH37" s="298"/>
      <c r="AI37" s="298"/>
      <c r="AJ37" s="298"/>
      <c r="AK37" s="298"/>
      <c r="AL37" s="298"/>
      <c r="AM37" s="298"/>
      <c r="AN37" s="298"/>
      <c r="AO37" s="298"/>
      <c r="AP37" s="298"/>
      <c r="AQ37" s="298"/>
      <c r="AR37" s="298"/>
      <c r="AS37" s="298"/>
      <c r="AT37" s="298"/>
      <c r="AU37" s="298"/>
      <c r="AV37" s="298"/>
      <c r="AW37" s="298"/>
      <c r="AX37" s="298"/>
      <c r="AY37" s="298"/>
      <c r="AZ37" s="298"/>
      <c r="BA37" s="298"/>
      <c r="BB37" s="298"/>
      <c r="BC37" s="298"/>
      <c r="BD37" s="298"/>
      <c r="BE37" s="298"/>
      <c r="BF37" s="298"/>
      <c r="BG37" s="298"/>
      <c r="BH37" s="298"/>
      <c r="BI37" s="298"/>
      <c r="BJ37" s="298"/>
      <c r="BK37" s="298"/>
      <c r="BL37" s="298"/>
      <c r="BM37" s="298"/>
      <c r="BN37" s="298"/>
      <c r="BO37" s="298"/>
      <c r="BP37" s="298"/>
      <c r="BQ37" s="298"/>
      <c r="BR37" s="298"/>
      <c r="BS37" s="298"/>
      <c r="BT37" s="298"/>
      <c r="BU37" s="298"/>
      <c r="BV37" s="298"/>
      <c r="BW37" s="298"/>
      <c r="BX37" s="298"/>
      <c r="BY37" s="298"/>
      <c r="BZ37" s="298"/>
      <c r="CA37" s="298"/>
      <c r="CB37" s="298"/>
      <c r="CC37" s="298"/>
      <c r="CD37" s="298"/>
      <c r="CE37" s="298"/>
      <c r="CF37" s="298"/>
      <c r="CG37" s="298"/>
      <c r="CH37" s="298"/>
      <c r="CI37" s="298"/>
      <c r="CJ37" s="298"/>
      <c r="CK37" s="298"/>
      <c r="CL37" s="298"/>
      <c r="CM37" s="298"/>
      <c r="CN37" s="298"/>
      <c r="CO37" s="298"/>
      <c r="CP37" s="298"/>
      <c r="CQ37" s="298"/>
      <c r="CR37" s="298"/>
      <c r="CS37" s="298"/>
      <c r="CT37" s="298"/>
      <c r="CU37" s="298"/>
      <c r="CV37" s="298"/>
      <c r="CW37" s="298"/>
      <c r="CX37" s="298"/>
      <c r="CY37" s="298"/>
      <c r="CZ37" s="298"/>
      <c r="DA37" s="298"/>
      <c r="DB37" s="298"/>
      <c r="DC37" s="298"/>
      <c r="DD37" s="298"/>
      <c r="DE37" s="298"/>
      <c r="DF37" s="298"/>
      <c r="DG37" s="298"/>
      <c r="DH37" s="298"/>
      <c r="DI37" s="298"/>
      <c r="DJ37" s="298"/>
      <c r="DK37" s="298"/>
      <c r="DL37" s="298"/>
      <c r="DM37" s="298"/>
      <c r="DN37" s="298"/>
      <c r="DO37" s="298"/>
      <c r="DP37" s="298"/>
      <c r="DQ37" s="298"/>
      <c r="DR37" s="298"/>
      <c r="DS37" s="298"/>
      <c r="DT37" s="298"/>
      <c r="DU37" s="298"/>
      <c r="DV37" s="298"/>
      <c r="DW37" s="298"/>
      <c r="DX37" s="298"/>
      <c r="DY37" s="298"/>
      <c r="DZ37" s="298"/>
      <c r="EA37" s="298"/>
      <c r="EB37" s="298"/>
      <c r="EC37" s="298"/>
      <c r="ED37" s="298"/>
      <c r="EE37" s="298"/>
      <c r="EF37" s="298"/>
      <c r="EG37" s="298"/>
      <c r="EH37" s="298"/>
      <c r="EI37" s="298"/>
      <c r="EJ37" s="298"/>
      <c r="EK37" s="298"/>
      <c r="EL37" s="298"/>
      <c r="EM37" s="298"/>
      <c r="EN37" s="298"/>
      <c r="EO37" s="298"/>
      <c r="EP37" s="298"/>
      <c r="EQ37" s="298"/>
      <c r="ER37" s="298"/>
      <c r="ES37" s="298"/>
      <c r="ET37" s="298"/>
      <c r="EU37" s="298"/>
      <c r="EV37" s="298"/>
      <c r="EW37" s="298"/>
      <c r="EX37" s="298"/>
      <c r="EY37" s="298"/>
      <c r="EZ37" s="298"/>
      <c r="FA37" s="298"/>
      <c r="FB37" s="298"/>
      <c r="FC37" s="298"/>
      <c r="FD37" s="298"/>
      <c r="FE37" s="298"/>
      <c r="FF37" s="298"/>
      <c r="FG37" s="298"/>
      <c r="FH37" s="298"/>
      <c r="FI37" s="298"/>
      <c r="FJ37" s="298"/>
      <c r="FK37" s="298"/>
      <c r="FL37" s="298"/>
      <c r="FM37" s="298"/>
      <c r="FN37" s="298"/>
      <c r="FO37" s="298"/>
      <c r="FP37" s="298"/>
      <c r="FQ37" s="298"/>
      <c r="FR37" s="298"/>
      <c r="FS37" s="298"/>
      <c r="FT37" s="298"/>
      <c r="FU37" s="298"/>
      <c r="FV37" s="298"/>
      <c r="FW37" s="298"/>
      <c r="FX37" s="298"/>
      <c r="FY37" s="298"/>
      <c r="FZ37" s="298"/>
      <c r="GA37" s="298"/>
      <c r="GB37" s="298"/>
      <c r="GC37" s="298"/>
      <c r="GD37" s="298"/>
      <c r="GE37" s="298"/>
      <c r="GF37" s="298"/>
      <c r="GG37" s="298"/>
      <c r="GH37" s="298"/>
      <c r="GI37" s="298"/>
      <c r="GJ37" s="298"/>
      <c r="GK37" s="298"/>
      <c r="GL37" s="298"/>
      <c r="GM37" s="298"/>
      <c r="GN37" s="298"/>
      <c r="GO37" s="298"/>
      <c r="GP37" s="298"/>
      <c r="GQ37" s="298"/>
      <c r="GR37" s="298"/>
      <c r="GS37" s="298"/>
      <c r="GT37" s="298"/>
      <c r="GU37" s="298"/>
      <c r="GV37" s="298"/>
      <c r="GW37" s="298"/>
      <c r="GX37" s="298"/>
      <c r="GY37" s="298"/>
      <c r="GZ37" s="298"/>
      <c r="HA37" s="298"/>
      <c r="HB37" s="298"/>
      <c r="HC37" s="298"/>
      <c r="HD37" s="298"/>
      <c r="HE37" s="298"/>
      <c r="HF37" s="298"/>
      <c r="HG37" s="298"/>
      <c r="HH37" s="298"/>
      <c r="HI37" s="298"/>
      <c r="HJ37" s="298"/>
      <c r="HK37" s="298"/>
      <c r="HL37" s="298"/>
      <c r="HM37" s="298"/>
      <c r="HN37" s="298"/>
      <c r="HO37" s="298"/>
      <c r="HP37" s="298"/>
      <c r="HQ37" s="298"/>
      <c r="HR37" s="298"/>
      <c r="HS37" s="298"/>
      <c r="HT37" s="298"/>
      <c r="HU37" s="298"/>
      <c r="HV37" s="298"/>
      <c r="HW37" s="298"/>
      <c r="HX37" s="298"/>
      <c r="HY37" s="298"/>
      <c r="HZ37" s="298"/>
      <c r="IA37" s="298"/>
      <c r="IB37" s="298"/>
      <c r="IC37" s="298"/>
      <c r="ID37" s="298"/>
      <c r="IE37" s="298"/>
      <c r="IF37" s="298"/>
      <c r="IG37" s="298"/>
      <c r="IH37" s="298"/>
      <c r="II37" s="298"/>
      <c r="IJ37" s="298"/>
      <c r="IK37" s="298"/>
      <c r="IL37" s="298"/>
      <c r="IM37" s="298"/>
      <c r="IN37" s="298"/>
      <c r="IO37" s="298"/>
      <c r="IP37" s="298"/>
      <c r="IQ37" s="298"/>
      <c r="IR37" s="298"/>
      <c r="IS37" s="298"/>
      <c r="IT37" s="298"/>
      <c r="IU37" s="298"/>
      <c r="IV37" s="298"/>
    </row>
    <row r="38" spans="1:256" ht="12.75">
      <c r="A38" s="298"/>
      <c r="B38" s="306"/>
      <c r="C38" s="306"/>
      <c r="D38" s="306"/>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8"/>
      <c r="AD38" s="298"/>
      <c r="AE38" s="298"/>
      <c r="AF38" s="298"/>
      <c r="AG38" s="298"/>
      <c r="AH38" s="298"/>
      <c r="AI38" s="298"/>
      <c r="AJ38" s="298"/>
      <c r="AK38" s="298"/>
      <c r="AL38" s="298"/>
      <c r="AM38" s="298"/>
      <c r="AN38" s="298"/>
      <c r="AO38" s="298"/>
      <c r="AP38" s="298"/>
      <c r="AQ38" s="298"/>
      <c r="AR38" s="298"/>
      <c r="AS38" s="298"/>
      <c r="AT38" s="298"/>
      <c r="AU38" s="298"/>
      <c r="AV38" s="298"/>
      <c r="AW38" s="298"/>
      <c r="AX38" s="298"/>
      <c r="AY38" s="298"/>
      <c r="AZ38" s="298"/>
      <c r="BA38" s="298"/>
      <c r="BB38" s="298"/>
      <c r="BC38" s="298"/>
      <c r="BD38" s="298"/>
      <c r="BE38" s="298"/>
      <c r="BF38" s="298"/>
      <c r="BG38" s="298"/>
      <c r="BH38" s="298"/>
      <c r="BI38" s="298"/>
      <c r="BJ38" s="298"/>
      <c r="BK38" s="298"/>
      <c r="BL38" s="298"/>
      <c r="BM38" s="298"/>
      <c r="BN38" s="298"/>
      <c r="BO38" s="298"/>
      <c r="BP38" s="298"/>
      <c r="BQ38" s="298"/>
      <c r="BR38" s="298"/>
      <c r="BS38" s="298"/>
      <c r="BT38" s="298"/>
      <c r="BU38" s="298"/>
      <c r="BV38" s="298"/>
      <c r="BW38" s="298"/>
      <c r="BX38" s="298"/>
      <c r="BY38" s="298"/>
      <c r="BZ38" s="298"/>
      <c r="CA38" s="298"/>
      <c r="CB38" s="298"/>
      <c r="CC38" s="298"/>
      <c r="CD38" s="298"/>
      <c r="CE38" s="298"/>
      <c r="CF38" s="298"/>
      <c r="CG38" s="298"/>
      <c r="CH38" s="298"/>
      <c r="CI38" s="298"/>
      <c r="CJ38" s="298"/>
      <c r="CK38" s="298"/>
      <c r="CL38" s="298"/>
      <c r="CM38" s="298"/>
      <c r="CN38" s="298"/>
      <c r="CO38" s="298"/>
      <c r="CP38" s="298"/>
      <c r="CQ38" s="298"/>
      <c r="CR38" s="298"/>
      <c r="CS38" s="298"/>
      <c r="CT38" s="298"/>
      <c r="CU38" s="298"/>
      <c r="CV38" s="298"/>
      <c r="CW38" s="298"/>
      <c r="CX38" s="298"/>
      <c r="CY38" s="298"/>
      <c r="CZ38" s="298"/>
      <c r="DA38" s="298"/>
      <c r="DB38" s="298"/>
      <c r="DC38" s="298"/>
      <c r="DD38" s="298"/>
      <c r="DE38" s="298"/>
      <c r="DF38" s="298"/>
      <c r="DG38" s="298"/>
      <c r="DH38" s="298"/>
      <c r="DI38" s="298"/>
      <c r="DJ38" s="298"/>
      <c r="DK38" s="298"/>
      <c r="DL38" s="298"/>
      <c r="DM38" s="298"/>
      <c r="DN38" s="298"/>
      <c r="DO38" s="298"/>
      <c r="DP38" s="298"/>
      <c r="DQ38" s="298"/>
      <c r="DR38" s="298"/>
      <c r="DS38" s="298"/>
      <c r="DT38" s="298"/>
      <c r="DU38" s="298"/>
      <c r="DV38" s="298"/>
      <c r="DW38" s="298"/>
      <c r="DX38" s="298"/>
      <c r="DY38" s="298"/>
      <c r="DZ38" s="298"/>
      <c r="EA38" s="298"/>
      <c r="EB38" s="298"/>
      <c r="EC38" s="298"/>
      <c r="ED38" s="298"/>
      <c r="EE38" s="298"/>
      <c r="EF38" s="298"/>
      <c r="EG38" s="298"/>
      <c r="EH38" s="298"/>
      <c r="EI38" s="298"/>
      <c r="EJ38" s="298"/>
      <c r="EK38" s="298"/>
      <c r="EL38" s="298"/>
      <c r="EM38" s="298"/>
      <c r="EN38" s="298"/>
      <c r="EO38" s="298"/>
      <c r="EP38" s="298"/>
      <c r="EQ38" s="298"/>
      <c r="ER38" s="298"/>
      <c r="ES38" s="298"/>
      <c r="ET38" s="298"/>
      <c r="EU38" s="298"/>
      <c r="EV38" s="298"/>
      <c r="EW38" s="298"/>
      <c r="EX38" s="298"/>
      <c r="EY38" s="298"/>
      <c r="EZ38" s="298"/>
      <c r="FA38" s="298"/>
      <c r="FB38" s="298"/>
      <c r="FC38" s="298"/>
      <c r="FD38" s="298"/>
      <c r="FE38" s="298"/>
      <c r="FF38" s="298"/>
      <c r="FG38" s="298"/>
      <c r="FH38" s="298"/>
      <c r="FI38" s="298"/>
      <c r="FJ38" s="298"/>
      <c r="FK38" s="298"/>
      <c r="FL38" s="298"/>
      <c r="FM38" s="298"/>
      <c r="FN38" s="298"/>
      <c r="FO38" s="298"/>
      <c r="FP38" s="298"/>
      <c r="FQ38" s="298"/>
      <c r="FR38" s="298"/>
      <c r="FS38" s="298"/>
      <c r="FT38" s="298"/>
      <c r="FU38" s="298"/>
      <c r="FV38" s="298"/>
      <c r="FW38" s="298"/>
      <c r="FX38" s="298"/>
      <c r="FY38" s="298"/>
      <c r="FZ38" s="298"/>
      <c r="GA38" s="298"/>
      <c r="GB38" s="298"/>
      <c r="GC38" s="298"/>
      <c r="GD38" s="298"/>
      <c r="GE38" s="298"/>
      <c r="GF38" s="298"/>
      <c r="GG38" s="298"/>
      <c r="GH38" s="298"/>
      <c r="GI38" s="298"/>
      <c r="GJ38" s="298"/>
      <c r="GK38" s="298"/>
      <c r="GL38" s="298"/>
      <c r="GM38" s="298"/>
      <c r="GN38" s="298"/>
      <c r="GO38" s="298"/>
      <c r="GP38" s="298"/>
      <c r="GQ38" s="298"/>
      <c r="GR38" s="298"/>
      <c r="GS38" s="298"/>
      <c r="GT38" s="298"/>
      <c r="GU38" s="298"/>
      <c r="GV38" s="298"/>
      <c r="GW38" s="298"/>
      <c r="GX38" s="298"/>
      <c r="GY38" s="298"/>
      <c r="GZ38" s="298"/>
      <c r="HA38" s="298"/>
      <c r="HB38" s="298"/>
      <c r="HC38" s="298"/>
      <c r="HD38" s="298"/>
      <c r="HE38" s="298"/>
      <c r="HF38" s="298"/>
      <c r="HG38" s="298"/>
      <c r="HH38" s="298"/>
      <c r="HI38" s="298"/>
      <c r="HJ38" s="298"/>
      <c r="HK38" s="298"/>
      <c r="HL38" s="298"/>
      <c r="HM38" s="298"/>
      <c r="HN38" s="298"/>
      <c r="HO38" s="298"/>
      <c r="HP38" s="298"/>
      <c r="HQ38" s="298"/>
      <c r="HR38" s="298"/>
      <c r="HS38" s="298"/>
      <c r="HT38" s="298"/>
      <c r="HU38" s="298"/>
      <c r="HV38" s="298"/>
      <c r="HW38" s="298"/>
      <c r="HX38" s="298"/>
      <c r="HY38" s="298"/>
      <c r="HZ38" s="298"/>
      <c r="IA38" s="298"/>
      <c r="IB38" s="298"/>
      <c r="IC38" s="298"/>
      <c r="ID38" s="298"/>
      <c r="IE38" s="298"/>
      <c r="IF38" s="298"/>
      <c r="IG38" s="298"/>
      <c r="IH38" s="298"/>
      <c r="II38" s="298"/>
      <c r="IJ38" s="298"/>
      <c r="IK38" s="298"/>
      <c r="IL38" s="298"/>
      <c r="IM38" s="298"/>
      <c r="IN38" s="298"/>
      <c r="IO38" s="298"/>
      <c r="IP38" s="298"/>
      <c r="IQ38" s="298"/>
      <c r="IR38" s="298"/>
      <c r="IS38" s="298"/>
      <c r="IT38" s="298"/>
      <c r="IU38" s="298"/>
      <c r="IV38" s="298"/>
    </row>
    <row r="39" spans="1:256" ht="12.75">
      <c r="A39" s="298"/>
      <c r="B39" s="303" t="s">
        <v>289</v>
      </c>
      <c r="C39" s="306"/>
      <c r="D39" s="306"/>
      <c r="E39" s="298"/>
      <c r="F39" s="298"/>
      <c r="G39" s="298"/>
      <c r="H39" s="298"/>
      <c r="I39" s="298"/>
      <c r="J39" s="298"/>
      <c r="K39" s="298"/>
      <c r="L39" s="298"/>
      <c r="M39" s="298"/>
      <c r="N39" s="298"/>
      <c r="O39" s="298"/>
      <c r="P39" s="298"/>
      <c r="Q39" s="298"/>
      <c r="R39" s="298"/>
      <c r="S39" s="298"/>
      <c r="T39" s="298"/>
      <c r="U39" s="298"/>
      <c r="V39" s="298"/>
      <c r="W39" s="298"/>
      <c r="X39" s="298"/>
      <c r="Y39" s="298"/>
      <c r="Z39" s="298"/>
      <c r="AA39" s="298"/>
      <c r="AB39" s="298"/>
      <c r="AC39" s="298"/>
      <c r="AD39" s="298"/>
      <c r="AE39" s="298"/>
      <c r="AF39" s="298"/>
      <c r="AG39" s="298"/>
      <c r="AH39" s="298"/>
      <c r="AI39" s="298"/>
      <c r="AJ39" s="298"/>
      <c r="AK39" s="298"/>
      <c r="AL39" s="298"/>
      <c r="AM39" s="298"/>
      <c r="AN39" s="298"/>
      <c r="AO39" s="298"/>
      <c r="AP39" s="298"/>
      <c r="AQ39" s="298"/>
      <c r="AR39" s="298"/>
      <c r="AS39" s="298"/>
      <c r="AT39" s="298"/>
      <c r="AU39" s="298"/>
      <c r="AV39" s="298"/>
      <c r="AW39" s="298"/>
      <c r="AX39" s="298"/>
      <c r="AY39" s="298"/>
      <c r="AZ39" s="298"/>
      <c r="BA39" s="298"/>
      <c r="BB39" s="298"/>
      <c r="BC39" s="298"/>
      <c r="BD39" s="298"/>
      <c r="BE39" s="298"/>
      <c r="BF39" s="298"/>
      <c r="BG39" s="298"/>
      <c r="BH39" s="298"/>
      <c r="BI39" s="298"/>
      <c r="BJ39" s="298"/>
      <c r="BK39" s="298"/>
      <c r="BL39" s="298"/>
      <c r="BM39" s="298"/>
      <c r="BN39" s="298"/>
      <c r="BO39" s="298"/>
      <c r="BP39" s="298"/>
      <c r="BQ39" s="298"/>
      <c r="BR39" s="298"/>
      <c r="BS39" s="298"/>
      <c r="BT39" s="298"/>
      <c r="BU39" s="298"/>
      <c r="BV39" s="298"/>
      <c r="BW39" s="298"/>
      <c r="BX39" s="298"/>
      <c r="BY39" s="298"/>
      <c r="BZ39" s="298"/>
      <c r="CA39" s="298"/>
      <c r="CB39" s="298"/>
      <c r="CC39" s="298"/>
      <c r="CD39" s="298"/>
      <c r="CE39" s="298"/>
      <c r="CF39" s="298"/>
      <c r="CG39" s="298"/>
      <c r="CH39" s="298"/>
      <c r="CI39" s="298"/>
      <c r="CJ39" s="298"/>
      <c r="CK39" s="298"/>
      <c r="CL39" s="298"/>
      <c r="CM39" s="298"/>
      <c r="CN39" s="298"/>
      <c r="CO39" s="298"/>
      <c r="CP39" s="298"/>
      <c r="CQ39" s="298"/>
      <c r="CR39" s="298"/>
      <c r="CS39" s="298"/>
      <c r="CT39" s="298"/>
      <c r="CU39" s="298"/>
      <c r="CV39" s="298"/>
      <c r="CW39" s="298"/>
      <c r="CX39" s="298"/>
      <c r="CY39" s="298"/>
      <c r="CZ39" s="298"/>
      <c r="DA39" s="298"/>
      <c r="DB39" s="298"/>
      <c r="DC39" s="298"/>
      <c r="DD39" s="298"/>
      <c r="DE39" s="298"/>
      <c r="DF39" s="298"/>
      <c r="DG39" s="298"/>
      <c r="DH39" s="298"/>
      <c r="DI39" s="298"/>
      <c r="DJ39" s="298"/>
      <c r="DK39" s="298"/>
      <c r="DL39" s="298"/>
      <c r="DM39" s="298"/>
      <c r="DN39" s="298"/>
      <c r="DO39" s="298"/>
      <c r="DP39" s="298"/>
      <c r="DQ39" s="298"/>
      <c r="DR39" s="298"/>
      <c r="DS39" s="298"/>
      <c r="DT39" s="298"/>
      <c r="DU39" s="298"/>
      <c r="DV39" s="298"/>
      <c r="DW39" s="298"/>
      <c r="DX39" s="298"/>
      <c r="DY39" s="298"/>
      <c r="DZ39" s="298"/>
      <c r="EA39" s="298"/>
      <c r="EB39" s="298"/>
      <c r="EC39" s="298"/>
      <c r="ED39" s="298"/>
      <c r="EE39" s="298"/>
      <c r="EF39" s="298"/>
      <c r="EG39" s="298"/>
      <c r="EH39" s="298"/>
      <c r="EI39" s="298"/>
      <c r="EJ39" s="298"/>
      <c r="EK39" s="298"/>
      <c r="EL39" s="298"/>
      <c r="EM39" s="298"/>
      <c r="EN39" s="298"/>
      <c r="EO39" s="298"/>
      <c r="EP39" s="298"/>
      <c r="EQ39" s="298"/>
      <c r="ER39" s="298"/>
      <c r="ES39" s="298"/>
      <c r="ET39" s="298"/>
      <c r="EU39" s="298"/>
      <c r="EV39" s="298"/>
      <c r="EW39" s="298"/>
      <c r="EX39" s="298"/>
      <c r="EY39" s="298"/>
      <c r="EZ39" s="298"/>
      <c r="FA39" s="298"/>
      <c r="FB39" s="298"/>
      <c r="FC39" s="298"/>
      <c r="FD39" s="298"/>
      <c r="FE39" s="298"/>
      <c r="FF39" s="298"/>
      <c r="FG39" s="298"/>
      <c r="FH39" s="298"/>
      <c r="FI39" s="298"/>
      <c r="FJ39" s="298"/>
      <c r="FK39" s="298"/>
      <c r="FL39" s="298"/>
      <c r="FM39" s="298"/>
      <c r="FN39" s="298"/>
      <c r="FO39" s="298"/>
      <c r="FP39" s="298"/>
      <c r="FQ39" s="298"/>
      <c r="FR39" s="298"/>
      <c r="FS39" s="298"/>
      <c r="FT39" s="298"/>
      <c r="FU39" s="298"/>
      <c r="FV39" s="298"/>
      <c r="FW39" s="298"/>
      <c r="FX39" s="298"/>
      <c r="FY39" s="298"/>
      <c r="FZ39" s="298"/>
      <c r="GA39" s="298"/>
      <c r="GB39" s="298"/>
      <c r="GC39" s="298"/>
      <c r="GD39" s="298"/>
      <c r="GE39" s="298"/>
      <c r="GF39" s="298"/>
      <c r="GG39" s="298"/>
      <c r="GH39" s="298"/>
      <c r="GI39" s="298"/>
      <c r="GJ39" s="298"/>
      <c r="GK39" s="298"/>
      <c r="GL39" s="298"/>
      <c r="GM39" s="298"/>
      <c r="GN39" s="298"/>
      <c r="GO39" s="298"/>
      <c r="GP39" s="298"/>
      <c r="GQ39" s="298"/>
      <c r="GR39" s="298"/>
      <c r="GS39" s="298"/>
      <c r="GT39" s="298"/>
      <c r="GU39" s="298"/>
      <c r="GV39" s="298"/>
      <c r="GW39" s="298"/>
      <c r="GX39" s="298"/>
      <c r="GY39" s="298"/>
      <c r="GZ39" s="298"/>
      <c r="HA39" s="298"/>
      <c r="HB39" s="298"/>
      <c r="HC39" s="298"/>
      <c r="HD39" s="298"/>
      <c r="HE39" s="298"/>
      <c r="HF39" s="298"/>
      <c r="HG39" s="298"/>
      <c r="HH39" s="298"/>
      <c r="HI39" s="298"/>
      <c r="HJ39" s="298"/>
      <c r="HK39" s="298"/>
      <c r="HL39" s="298"/>
      <c r="HM39" s="298"/>
      <c r="HN39" s="298"/>
      <c r="HO39" s="298"/>
      <c r="HP39" s="298"/>
      <c r="HQ39" s="298"/>
      <c r="HR39" s="298"/>
      <c r="HS39" s="298"/>
      <c r="HT39" s="298"/>
      <c r="HU39" s="298"/>
      <c r="HV39" s="298"/>
      <c r="HW39" s="298"/>
      <c r="HX39" s="298"/>
      <c r="HY39" s="298"/>
      <c r="HZ39" s="298"/>
      <c r="IA39" s="298"/>
      <c r="IB39" s="298"/>
      <c r="IC39" s="298"/>
      <c r="ID39" s="298"/>
      <c r="IE39" s="298"/>
      <c r="IF39" s="298"/>
      <c r="IG39" s="298"/>
      <c r="IH39" s="298"/>
      <c r="II39" s="298"/>
      <c r="IJ39" s="298"/>
      <c r="IK39" s="298"/>
      <c r="IL39" s="298"/>
      <c r="IM39" s="298"/>
      <c r="IN39" s="298"/>
      <c r="IO39" s="298"/>
      <c r="IP39" s="298"/>
      <c r="IQ39" s="298"/>
      <c r="IR39" s="298"/>
      <c r="IS39" s="298"/>
      <c r="IT39" s="298"/>
      <c r="IU39" s="298"/>
      <c r="IV39" s="298"/>
    </row>
    <row r="40" spans="1:256" ht="12.75">
      <c r="A40" s="298"/>
      <c r="B40" s="504" t="s">
        <v>290</v>
      </c>
      <c r="C40" s="504"/>
      <c r="D40" s="306"/>
      <c r="E40" s="298"/>
      <c r="F40" s="298"/>
      <c r="G40" s="298"/>
      <c r="H40" s="298"/>
      <c r="I40" s="298"/>
      <c r="J40" s="298"/>
      <c r="K40" s="298"/>
      <c r="L40" s="298"/>
      <c r="M40" s="298"/>
      <c r="N40" s="298"/>
      <c r="O40" s="298"/>
      <c r="P40" s="298"/>
      <c r="Q40" s="298"/>
      <c r="R40" s="298"/>
      <c r="S40" s="298"/>
      <c r="T40" s="298"/>
      <c r="U40" s="298"/>
      <c r="V40" s="298"/>
      <c r="W40" s="298"/>
      <c r="X40" s="298"/>
      <c r="Y40" s="298"/>
      <c r="Z40" s="298"/>
      <c r="AA40" s="298"/>
      <c r="AB40" s="298"/>
      <c r="AC40" s="298"/>
      <c r="AD40" s="298"/>
      <c r="AE40" s="298"/>
      <c r="AF40" s="298"/>
      <c r="AG40" s="298"/>
      <c r="AH40" s="298"/>
      <c r="AI40" s="298"/>
      <c r="AJ40" s="298"/>
      <c r="AK40" s="298"/>
      <c r="AL40" s="298"/>
      <c r="AM40" s="298"/>
      <c r="AN40" s="298"/>
      <c r="AO40" s="298"/>
      <c r="AP40" s="298"/>
      <c r="AQ40" s="298"/>
      <c r="AR40" s="298"/>
      <c r="AS40" s="298"/>
      <c r="AT40" s="298"/>
      <c r="AU40" s="298"/>
      <c r="AV40" s="298"/>
      <c r="AW40" s="298"/>
      <c r="AX40" s="298"/>
      <c r="AY40" s="298"/>
      <c r="AZ40" s="298"/>
      <c r="BA40" s="298"/>
      <c r="BB40" s="298"/>
      <c r="BC40" s="298"/>
      <c r="BD40" s="298"/>
      <c r="BE40" s="298"/>
      <c r="BF40" s="298"/>
      <c r="BG40" s="298"/>
      <c r="BH40" s="298"/>
      <c r="BI40" s="298"/>
      <c r="BJ40" s="298"/>
      <c r="BK40" s="298"/>
      <c r="BL40" s="298"/>
      <c r="BM40" s="298"/>
      <c r="BN40" s="298"/>
      <c r="BO40" s="298"/>
      <c r="BP40" s="298"/>
      <c r="BQ40" s="298"/>
      <c r="BR40" s="298"/>
      <c r="BS40" s="298"/>
      <c r="BT40" s="298"/>
      <c r="BU40" s="298"/>
      <c r="BV40" s="298"/>
      <c r="BW40" s="298"/>
      <c r="BX40" s="298"/>
      <c r="BY40" s="298"/>
      <c r="BZ40" s="298"/>
      <c r="CA40" s="298"/>
      <c r="CB40" s="298"/>
      <c r="CC40" s="298"/>
      <c r="CD40" s="298"/>
      <c r="CE40" s="298"/>
      <c r="CF40" s="298"/>
      <c r="CG40" s="298"/>
      <c r="CH40" s="298"/>
      <c r="CI40" s="298"/>
      <c r="CJ40" s="298"/>
      <c r="CK40" s="298"/>
      <c r="CL40" s="298"/>
      <c r="CM40" s="298"/>
      <c r="CN40" s="298"/>
      <c r="CO40" s="298"/>
      <c r="CP40" s="298"/>
      <c r="CQ40" s="298"/>
      <c r="CR40" s="298"/>
      <c r="CS40" s="298"/>
      <c r="CT40" s="298"/>
      <c r="CU40" s="298"/>
      <c r="CV40" s="298"/>
      <c r="CW40" s="298"/>
      <c r="CX40" s="298"/>
      <c r="CY40" s="298"/>
      <c r="CZ40" s="298"/>
      <c r="DA40" s="298"/>
      <c r="DB40" s="298"/>
      <c r="DC40" s="298"/>
      <c r="DD40" s="298"/>
      <c r="DE40" s="298"/>
      <c r="DF40" s="298"/>
      <c r="DG40" s="298"/>
      <c r="DH40" s="298"/>
      <c r="DI40" s="298"/>
      <c r="DJ40" s="298"/>
      <c r="DK40" s="298"/>
      <c r="DL40" s="298"/>
      <c r="DM40" s="298"/>
      <c r="DN40" s="298"/>
      <c r="DO40" s="298"/>
      <c r="DP40" s="298"/>
      <c r="DQ40" s="298"/>
      <c r="DR40" s="298"/>
      <c r="DS40" s="298"/>
      <c r="DT40" s="298"/>
      <c r="DU40" s="298"/>
      <c r="DV40" s="298"/>
      <c r="DW40" s="298"/>
      <c r="DX40" s="298"/>
      <c r="DY40" s="298"/>
      <c r="DZ40" s="298"/>
      <c r="EA40" s="298"/>
      <c r="EB40" s="298"/>
      <c r="EC40" s="298"/>
      <c r="ED40" s="298"/>
      <c r="EE40" s="298"/>
      <c r="EF40" s="298"/>
      <c r="EG40" s="298"/>
      <c r="EH40" s="298"/>
      <c r="EI40" s="298"/>
      <c r="EJ40" s="298"/>
      <c r="EK40" s="298"/>
      <c r="EL40" s="298"/>
      <c r="EM40" s="298"/>
      <c r="EN40" s="298"/>
      <c r="EO40" s="298"/>
      <c r="EP40" s="298"/>
      <c r="EQ40" s="298"/>
      <c r="ER40" s="298"/>
      <c r="ES40" s="298"/>
      <c r="ET40" s="298"/>
      <c r="EU40" s="298"/>
      <c r="EV40" s="298"/>
      <c r="EW40" s="298"/>
      <c r="EX40" s="298"/>
      <c r="EY40" s="298"/>
      <c r="EZ40" s="298"/>
      <c r="FA40" s="298"/>
      <c r="FB40" s="298"/>
      <c r="FC40" s="298"/>
      <c r="FD40" s="298"/>
      <c r="FE40" s="298"/>
      <c r="FF40" s="298"/>
      <c r="FG40" s="298"/>
      <c r="FH40" s="298"/>
      <c r="FI40" s="298"/>
      <c r="FJ40" s="298"/>
      <c r="FK40" s="298"/>
      <c r="FL40" s="298"/>
      <c r="FM40" s="298"/>
      <c r="FN40" s="298"/>
      <c r="FO40" s="298"/>
      <c r="FP40" s="298"/>
      <c r="FQ40" s="298"/>
      <c r="FR40" s="298"/>
      <c r="FS40" s="298"/>
      <c r="FT40" s="298"/>
      <c r="FU40" s="298"/>
      <c r="FV40" s="298"/>
      <c r="FW40" s="298"/>
      <c r="FX40" s="298"/>
      <c r="FY40" s="298"/>
      <c r="FZ40" s="298"/>
      <c r="GA40" s="298"/>
      <c r="GB40" s="298"/>
      <c r="GC40" s="298"/>
      <c r="GD40" s="298"/>
      <c r="GE40" s="298"/>
      <c r="GF40" s="298"/>
      <c r="GG40" s="298"/>
      <c r="GH40" s="298"/>
      <c r="GI40" s="298"/>
      <c r="GJ40" s="298"/>
      <c r="GK40" s="298"/>
      <c r="GL40" s="298"/>
      <c r="GM40" s="298"/>
      <c r="GN40" s="298"/>
      <c r="GO40" s="298"/>
      <c r="GP40" s="298"/>
      <c r="GQ40" s="298"/>
      <c r="GR40" s="298"/>
      <c r="GS40" s="298"/>
      <c r="GT40" s="298"/>
      <c r="GU40" s="298"/>
      <c r="GV40" s="298"/>
      <c r="GW40" s="298"/>
      <c r="GX40" s="298"/>
      <c r="GY40" s="298"/>
      <c r="GZ40" s="298"/>
      <c r="HA40" s="298"/>
      <c r="HB40" s="298"/>
      <c r="HC40" s="298"/>
      <c r="HD40" s="298"/>
      <c r="HE40" s="298"/>
      <c r="HF40" s="298"/>
      <c r="HG40" s="298"/>
      <c r="HH40" s="298"/>
      <c r="HI40" s="298"/>
      <c r="HJ40" s="298"/>
      <c r="HK40" s="298"/>
      <c r="HL40" s="298"/>
      <c r="HM40" s="298"/>
      <c r="HN40" s="298"/>
      <c r="HO40" s="298"/>
      <c r="HP40" s="298"/>
      <c r="HQ40" s="298"/>
      <c r="HR40" s="298"/>
      <c r="HS40" s="298"/>
      <c r="HT40" s="298"/>
      <c r="HU40" s="298"/>
      <c r="HV40" s="298"/>
      <c r="HW40" s="298"/>
      <c r="HX40" s="298"/>
      <c r="HY40" s="298"/>
      <c r="HZ40" s="298"/>
      <c r="IA40" s="298"/>
      <c r="IB40" s="298"/>
      <c r="IC40" s="298"/>
      <c r="ID40" s="298"/>
      <c r="IE40" s="298"/>
      <c r="IF40" s="298"/>
      <c r="IG40" s="298"/>
      <c r="IH40" s="298"/>
      <c r="II40" s="298"/>
      <c r="IJ40" s="298"/>
      <c r="IK40" s="298"/>
      <c r="IL40" s="298"/>
      <c r="IM40" s="298"/>
      <c r="IN40" s="298"/>
      <c r="IO40" s="298"/>
      <c r="IP40" s="298"/>
      <c r="IQ40" s="298"/>
      <c r="IR40" s="298"/>
      <c r="IS40" s="298"/>
      <c r="IT40" s="298"/>
      <c r="IU40" s="298"/>
      <c r="IV40" s="298"/>
    </row>
    <row r="41" spans="1:256" ht="12.75">
      <c r="A41" s="298"/>
      <c r="B41" s="306"/>
      <c r="C41" s="306"/>
      <c r="D41" s="306"/>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c r="AS41" s="298"/>
      <c r="AT41" s="298"/>
      <c r="AU41" s="298"/>
      <c r="AV41" s="298"/>
      <c r="AW41" s="298"/>
      <c r="AX41" s="298"/>
      <c r="AY41" s="298"/>
      <c r="AZ41" s="298"/>
      <c r="BA41" s="298"/>
      <c r="BB41" s="298"/>
      <c r="BC41" s="298"/>
      <c r="BD41" s="298"/>
      <c r="BE41" s="298"/>
      <c r="BF41" s="298"/>
      <c r="BG41" s="298"/>
      <c r="BH41" s="298"/>
      <c r="BI41" s="298"/>
      <c r="BJ41" s="298"/>
      <c r="BK41" s="298"/>
      <c r="BL41" s="298"/>
      <c r="BM41" s="298"/>
      <c r="BN41" s="298"/>
      <c r="BO41" s="298"/>
      <c r="BP41" s="298"/>
      <c r="BQ41" s="298"/>
      <c r="BR41" s="298"/>
      <c r="BS41" s="298"/>
      <c r="BT41" s="298"/>
      <c r="BU41" s="298"/>
      <c r="BV41" s="298"/>
      <c r="BW41" s="298"/>
      <c r="BX41" s="298"/>
      <c r="BY41" s="298"/>
      <c r="BZ41" s="298"/>
      <c r="CA41" s="298"/>
      <c r="CB41" s="298"/>
      <c r="CC41" s="298"/>
      <c r="CD41" s="298"/>
      <c r="CE41" s="298"/>
      <c r="CF41" s="298"/>
      <c r="CG41" s="298"/>
      <c r="CH41" s="298"/>
      <c r="CI41" s="298"/>
      <c r="CJ41" s="298"/>
      <c r="CK41" s="298"/>
      <c r="CL41" s="298"/>
      <c r="CM41" s="298"/>
      <c r="CN41" s="298"/>
      <c r="CO41" s="298"/>
      <c r="CP41" s="298"/>
      <c r="CQ41" s="298"/>
      <c r="CR41" s="298"/>
      <c r="CS41" s="298"/>
      <c r="CT41" s="298"/>
      <c r="CU41" s="298"/>
      <c r="CV41" s="298"/>
      <c r="CW41" s="298"/>
      <c r="CX41" s="298"/>
      <c r="CY41" s="298"/>
      <c r="CZ41" s="298"/>
      <c r="DA41" s="298"/>
      <c r="DB41" s="298"/>
      <c r="DC41" s="298"/>
      <c r="DD41" s="298"/>
      <c r="DE41" s="298"/>
      <c r="DF41" s="298"/>
      <c r="DG41" s="298"/>
      <c r="DH41" s="298"/>
      <c r="DI41" s="298"/>
      <c r="DJ41" s="298"/>
      <c r="DK41" s="298"/>
      <c r="DL41" s="298"/>
      <c r="DM41" s="298"/>
      <c r="DN41" s="298"/>
      <c r="DO41" s="298"/>
      <c r="DP41" s="298"/>
      <c r="DQ41" s="298"/>
      <c r="DR41" s="298"/>
      <c r="DS41" s="298"/>
      <c r="DT41" s="298"/>
      <c r="DU41" s="298"/>
      <c r="DV41" s="298"/>
      <c r="DW41" s="298"/>
      <c r="DX41" s="298"/>
      <c r="DY41" s="298"/>
      <c r="DZ41" s="298"/>
      <c r="EA41" s="298"/>
      <c r="EB41" s="298"/>
      <c r="EC41" s="298"/>
      <c r="ED41" s="298"/>
      <c r="EE41" s="298"/>
      <c r="EF41" s="298"/>
      <c r="EG41" s="298"/>
      <c r="EH41" s="298"/>
      <c r="EI41" s="298"/>
      <c r="EJ41" s="298"/>
      <c r="EK41" s="298"/>
      <c r="EL41" s="298"/>
      <c r="EM41" s="298"/>
      <c r="EN41" s="298"/>
      <c r="EO41" s="298"/>
      <c r="EP41" s="298"/>
      <c r="EQ41" s="298"/>
      <c r="ER41" s="298"/>
      <c r="ES41" s="298"/>
      <c r="ET41" s="298"/>
      <c r="EU41" s="298"/>
      <c r="EV41" s="298"/>
      <c r="EW41" s="298"/>
      <c r="EX41" s="298"/>
      <c r="EY41" s="298"/>
      <c r="EZ41" s="298"/>
      <c r="FA41" s="298"/>
      <c r="FB41" s="298"/>
      <c r="FC41" s="298"/>
      <c r="FD41" s="298"/>
      <c r="FE41" s="298"/>
      <c r="FF41" s="298"/>
      <c r="FG41" s="298"/>
      <c r="FH41" s="298"/>
      <c r="FI41" s="298"/>
      <c r="FJ41" s="298"/>
      <c r="FK41" s="298"/>
      <c r="FL41" s="298"/>
      <c r="FM41" s="298"/>
      <c r="FN41" s="298"/>
      <c r="FO41" s="298"/>
      <c r="FP41" s="298"/>
      <c r="FQ41" s="298"/>
      <c r="FR41" s="298"/>
      <c r="FS41" s="298"/>
      <c r="FT41" s="298"/>
      <c r="FU41" s="298"/>
      <c r="FV41" s="298"/>
      <c r="FW41" s="298"/>
      <c r="FX41" s="298"/>
      <c r="FY41" s="298"/>
      <c r="FZ41" s="298"/>
      <c r="GA41" s="298"/>
      <c r="GB41" s="298"/>
      <c r="GC41" s="298"/>
      <c r="GD41" s="298"/>
      <c r="GE41" s="298"/>
      <c r="GF41" s="298"/>
      <c r="GG41" s="298"/>
      <c r="GH41" s="298"/>
      <c r="GI41" s="298"/>
      <c r="GJ41" s="298"/>
      <c r="GK41" s="298"/>
      <c r="GL41" s="298"/>
      <c r="GM41" s="298"/>
      <c r="GN41" s="298"/>
      <c r="GO41" s="298"/>
      <c r="GP41" s="298"/>
      <c r="GQ41" s="298"/>
      <c r="GR41" s="298"/>
      <c r="GS41" s="298"/>
      <c r="GT41" s="298"/>
      <c r="GU41" s="298"/>
      <c r="GV41" s="298"/>
      <c r="GW41" s="298"/>
      <c r="GX41" s="298"/>
      <c r="GY41" s="298"/>
      <c r="GZ41" s="298"/>
      <c r="HA41" s="298"/>
      <c r="HB41" s="298"/>
      <c r="HC41" s="298"/>
      <c r="HD41" s="298"/>
      <c r="HE41" s="298"/>
      <c r="HF41" s="298"/>
      <c r="HG41" s="298"/>
      <c r="HH41" s="298"/>
      <c r="HI41" s="298"/>
      <c r="HJ41" s="298"/>
      <c r="HK41" s="298"/>
      <c r="HL41" s="298"/>
      <c r="HM41" s="298"/>
      <c r="HN41" s="298"/>
      <c r="HO41" s="298"/>
      <c r="HP41" s="298"/>
      <c r="HQ41" s="298"/>
      <c r="HR41" s="298"/>
      <c r="HS41" s="298"/>
      <c r="HT41" s="298"/>
      <c r="HU41" s="298"/>
      <c r="HV41" s="298"/>
      <c r="HW41" s="298"/>
      <c r="HX41" s="298"/>
      <c r="HY41" s="298"/>
      <c r="HZ41" s="298"/>
      <c r="IA41" s="298"/>
      <c r="IB41" s="298"/>
      <c r="IC41" s="298"/>
      <c r="ID41" s="298"/>
      <c r="IE41" s="298"/>
      <c r="IF41" s="298"/>
      <c r="IG41" s="298"/>
      <c r="IH41" s="298"/>
      <c r="II41" s="298"/>
      <c r="IJ41" s="298"/>
      <c r="IK41" s="298"/>
      <c r="IL41" s="298"/>
      <c r="IM41" s="298"/>
      <c r="IN41" s="298"/>
      <c r="IO41" s="298"/>
      <c r="IP41" s="298"/>
      <c r="IQ41" s="298"/>
      <c r="IR41" s="298"/>
      <c r="IS41" s="298"/>
      <c r="IT41" s="298"/>
      <c r="IU41" s="298"/>
      <c r="IV41" s="298"/>
    </row>
    <row r="42" spans="1:256" ht="12.75">
      <c r="A42" s="298"/>
      <c r="B42" s="97" t="s">
        <v>291</v>
      </c>
      <c r="C42" s="302"/>
      <c r="D42" s="300"/>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8"/>
      <c r="AD42" s="298"/>
      <c r="AE42" s="298"/>
      <c r="AF42" s="298"/>
      <c r="AG42" s="298"/>
      <c r="AH42" s="298"/>
      <c r="AI42" s="298"/>
      <c r="AJ42" s="298"/>
      <c r="AK42" s="298"/>
      <c r="AL42" s="298"/>
      <c r="AM42" s="298"/>
      <c r="AN42" s="298"/>
      <c r="AO42" s="298"/>
      <c r="AP42" s="298"/>
      <c r="AQ42" s="298"/>
      <c r="AR42" s="298"/>
      <c r="AS42" s="298"/>
      <c r="AT42" s="298"/>
      <c r="AU42" s="298"/>
      <c r="AV42" s="298"/>
      <c r="AW42" s="298"/>
      <c r="AX42" s="298"/>
      <c r="AY42" s="298"/>
      <c r="AZ42" s="298"/>
      <c r="BA42" s="298"/>
      <c r="BB42" s="298"/>
      <c r="BC42" s="298"/>
      <c r="BD42" s="298"/>
      <c r="BE42" s="298"/>
      <c r="BF42" s="298"/>
      <c r="BG42" s="298"/>
      <c r="BH42" s="298"/>
      <c r="BI42" s="298"/>
      <c r="BJ42" s="298"/>
      <c r="BK42" s="298"/>
      <c r="BL42" s="298"/>
      <c r="BM42" s="298"/>
      <c r="BN42" s="298"/>
      <c r="BO42" s="298"/>
      <c r="BP42" s="298"/>
      <c r="BQ42" s="298"/>
      <c r="BR42" s="298"/>
      <c r="BS42" s="298"/>
      <c r="BT42" s="298"/>
      <c r="BU42" s="298"/>
      <c r="BV42" s="298"/>
      <c r="BW42" s="298"/>
      <c r="BX42" s="298"/>
      <c r="BY42" s="298"/>
      <c r="BZ42" s="298"/>
      <c r="CA42" s="298"/>
      <c r="CB42" s="298"/>
      <c r="CC42" s="298"/>
      <c r="CD42" s="298"/>
      <c r="CE42" s="298"/>
      <c r="CF42" s="298"/>
      <c r="CG42" s="298"/>
      <c r="CH42" s="298"/>
      <c r="CI42" s="298"/>
      <c r="CJ42" s="298"/>
      <c r="CK42" s="298"/>
      <c r="CL42" s="298"/>
      <c r="CM42" s="298"/>
      <c r="CN42" s="298"/>
      <c r="CO42" s="298"/>
      <c r="CP42" s="298"/>
      <c r="CQ42" s="298"/>
      <c r="CR42" s="298"/>
      <c r="CS42" s="298"/>
      <c r="CT42" s="298"/>
      <c r="CU42" s="298"/>
      <c r="CV42" s="298"/>
      <c r="CW42" s="298"/>
      <c r="CX42" s="298"/>
      <c r="CY42" s="298"/>
      <c r="CZ42" s="298"/>
      <c r="DA42" s="298"/>
      <c r="DB42" s="298"/>
      <c r="DC42" s="298"/>
      <c r="DD42" s="298"/>
      <c r="DE42" s="298"/>
      <c r="DF42" s="298"/>
      <c r="DG42" s="298"/>
      <c r="DH42" s="298"/>
      <c r="DI42" s="298"/>
      <c r="DJ42" s="298"/>
      <c r="DK42" s="298"/>
      <c r="DL42" s="298"/>
      <c r="DM42" s="298"/>
      <c r="DN42" s="298"/>
      <c r="DO42" s="298"/>
      <c r="DP42" s="298"/>
      <c r="DQ42" s="298"/>
      <c r="DR42" s="298"/>
      <c r="DS42" s="298"/>
      <c r="DT42" s="298"/>
      <c r="DU42" s="298"/>
      <c r="DV42" s="298"/>
      <c r="DW42" s="298"/>
      <c r="DX42" s="298"/>
      <c r="DY42" s="298"/>
      <c r="DZ42" s="298"/>
      <c r="EA42" s="298"/>
      <c r="EB42" s="298"/>
      <c r="EC42" s="298"/>
      <c r="ED42" s="298"/>
      <c r="EE42" s="298"/>
      <c r="EF42" s="298"/>
      <c r="EG42" s="298"/>
      <c r="EH42" s="298"/>
      <c r="EI42" s="298"/>
      <c r="EJ42" s="298"/>
      <c r="EK42" s="298"/>
      <c r="EL42" s="298"/>
      <c r="EM42" s="298"/>
      <c r="EN42" s="298"/>
      <c r="EO42" s="298"/>
      <c r="EP42" s="298"/>
      <c r="EQ42" s="298"/>
      <c r="ER42" s="298"/>
      <c r="ES42" s="298"/>
      <c r="ET42" s="298"/>
      <c r="EU42" s="298"/>
      <c r="EV42" s="298"/>
      <c r="EW42" s="298"/>
      <c r="EX42" s="298"/>
      <c r="EY42" s="298"/>
      <c r="EZ42" s="298"/>
      <c r="FA42" s="298"/>
      <c r="FB42" s="298"/>
      <c r="FC42" s="298"/>
      <c r="FD42" s="298"/>
      <c r="FE42" s="298"/>
      <c r="FF42" s="298"/>
      <c r="FG42" s="298"/>
      <c r="FH42" s="298"/>
      <c r="FI42" s="298"/>
      <c r="FJ42" s="298"/>
      <c r="FK42" s="298"/>
      <c r="FL42" s="298"/>
      <c r="FM42" s="298"/>
      <c r="FN42" s="298"/>
      <c r="FO42" s="298"/>
      <c r="FP42" s="298"/>
      <c r="FQ42" s="298"/>
      <c r="FR42" s="298"/>
      <c r="FS42" s="298"/>
      <c r="FT42" s="298"/>
      <c r="FU42" s="298"/>
      <c r="FV42" s="298"/>
      <c r="FW42" s="298"/>
      <c r="FX42" s="298"/>
      <c r="FY42" s="298"/>
      <c r="FZ42" s="298"/>
      <c r="GA42" s="298"/>
      <c r="GB42" s="298"/>
      <c r="GC42" s="298"/>
      <c r="GD42" s="298"/>
      <c r="GE42" s="298"/>
      <c r="GF42" s="298"/>
      <c r="GG42" s="298"/>
      <c r="GH42" s="298"/>
      <c r="GI42" s="298"/>
      <c r="GJ42" s="298"/>
      <c r="GK42" s="298"/>
      <c r="GL42" s="298"/>
      <c r="GM42" s="298"/>
      <c r="GN42" s="298"/>
      <c r="GO42" s="298"/>
      <c r="GP42" s="298"/>
      <c r="GQ42" s="298"/>
      <c r="GR42" s="298"/>
      <c r="GS42" s="298"/>
      <c r="GT42" s="298"/>
      <c r="GU42" s="298"/>
      <c r="GV42" s="298"/>
      <c r="GW42" s="298"/>
      <c r="GX42" s="298"/>
      <c r="GY42" s="298"/>
      <c r="GZ42" s="298"/>
      <c r="HA42" s="298"/>
      <c r="HB42" s="298"/>
      <c r="HC42" s="298"/>
      <c r="HD42" s="298"/>
      <c r="HE42" s="298"/>
      <c r="HF42" s="298"/>
      <c r="HG42" s="298"/>
      <c r="HH42" s="298"/>
      <c r="HI42" s="298"/>
      <c r="HJ42" s="298"/>
      <c r="HK42" s="298"/>
      <c r="HL42" s="298"/>
      <c r="HM42" s="298"/>
      <c r="HN42" s="298"/>
      <c r="HO42" s="298"/>
      <c r="HP42" s="298"/>
      <c r="HQ42" s="298"/>
      <c r="HR42" s="298"/>
      <c r="HS42" s="298"/>
      <c r="HT42" s="298"/>
      <c r="HU42" s="298"/>
      <c r="HV42" s="298"/>
      <c r="HW42" s="298"/>
      <c r="HX42" s="298"/>
      <c r="HY42" s="298"/>
      <c r="HZ42" s="298"/>
      <c r="IA42" s="298"/>
      <c r="IB42" s="298"/>
      <c r="IC42" s="298"/>
      <c r="ID42" s="298"/>
      <c r="IE42" s="298"/>
      <c r="IF42" s="298"/>
      <c r="IG42" s="298"/>
      <c r="IH42" s="298"/>
      <c r="II42" s="298"/>
      <c r="IJ42" s="298"/>
      <c r="IK42" s="298"/>
      <c r="IL42" s="298"/>
      <c r="IM42" s="298"/>
      <c r="IN42" s="298"/>
      <c r="IO42" s="298"/>
      <c r="IP42" s="298"/>
      <c r="IQ42" s="298"/>
      <c r="IR42" s="298"/>
      <c r="IS42" s="298"/>
      <c r="IT42" s="298"/>
      <c r="IU42" s="298"/>
      <c r="IV42" s="298"/>
    </row>
    <row r="43" spans="1:256" ht="12.75" customHeight="1">
      <c r="A43" s="298"/>
      <c r="B43" s="504" t="s">
        <v>292</v>
      </c>
      <c r="C43" s="504"/>
      <c r="D43" s="306"/>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8"/>
      <c r="AD43" s="298"/>
      <c r="AE43" s="298"/>
      <c r="AF43" s="298"/>
      <c r="AG43" s="298"/>
      <c r="AH43" s="298"/>
      <c r="AI43" s="298"/>
      <c r="AJ43" s="298"/>
      <c r="AK43" s="298"/>
      <c r="AL43" s="298"/>
      <c r="AM43" s="298"/>
      <c r="AN43" s="298"/>
      <c r="AO43" s="298"/>
      <c r="AP43" s="298"/>
      <c r="AQ43" s="298"/>
      <c r="AR43" s="298"/>
      <c r="AS43" s="298"/>
      <c r="AT43" s="298"/>
      <c r="AU43" s="298"/>
      <c r="AV43" s="298"/>
      <c r="AW43" s="298"/>
      <c r="AX43" s="298"/>
      <c r="AY43" s="298"/>
      <c r="AZ43" s="298"/>
      <c r="BA43" s="298"/>
      <c r="BB43" s="298"/>
      <c r="BC43" s="298"/>
      <c r="BD43" s="298"/>
      <c r="BE43" s="298"/>
      <c r="BF43" s="298"/>
      <c r="BG43" s="298"/>
      <c r="BH43" s="298"/>
      <c r="BI43" s="298"/>
      <c r="BJ43" s="298"/>
      <c r="BK43" s="298"/>
      <c r="BL43" s="298"/>
      <c r="BM43" s="298"/>
      <c r="BN43" s="298"/>
      <c r="BO43" s="298"/>
      <c r="BP43" s="298"/>
      <c r="BQ43" s="298"/>
      <c r="BR43" s="298"/>
      <c r="BS43" s="298"/>
      <c r="BT43" s="298"/>
      <c r="BU43" s="298"/>
      <c r="BV43" s="298"/>
      <c r="BW43" s="298"/>
      <c r="BX43" s="298"/>
      <c r="BY43" s="298"/>
      <c r="BZ43" s="298"/>
      <c r="CA43" s="298"/>
      <c r="CB43" s="298"/>
      <c r="CC43" s="298"/>
      <c r="CD43" s="298"/>
      <c r="CE43" s="298"/>
      <c r="CF43" s="298"/>
      <c r="CG43" s="298"/>
      <c r="CH43" s="298"/>
      <c r="CI43" s="298"/>
      <c r="CJ43" s="298"/>
      <c r="CK43" s="298"/>
      <c r="CL43" s="298"/>
      <c r="CM43" s="298"/>
      <c r="CN43" s="298"/>
      <c r="CO43" s="298"/>
      <c r="CP43" s="298"/>
      <c r="CQ43" s="298"/>
      <c r="CR43" s="298"/>
      <c r="CS43" s="298"/>
      <c r="CT43" s="298"/>
      <c r="CU43" s="298"/>
      <c r="CV43" s="298"/>
      <c r="CW43" s="298"/>
      <c r="CX43" s="298"/>
      <c r="CY43" s="298"/>
      <c r="CZ43" s="298"/>
      <c r="DA43" s="298"/>
      <c r="DB43" s="298"/>
      <c r="DC43" s="298"/>
      <c r="DD43" s="298"/>
      <c r="DE43" s="298"/>
      <c r="DF43" s="298"/>
      <c r="DG43" s="298"/>
      <c r="DH43" s="298"/>
      <c r="DI43" s="298"/>
      <c r="DJ43" s="298"/>
      <c r="DK43" s="298"/>
      <c r="DL43" s="298"/>
      <c r="DM43" s="298"/>
      <c r="DN43" s="298"/>
      <c r="DO43" s="298"/>
      <c r="DP43" s="298"/>
      <c r="DQ43" s="298"/>
      <c r="DR43" s="298"/>
      <c r="DS43" s="298"/>
      <c r="DT43" s="298"/>
      <c r="DU43" s="298"/>
      <c r="DV43" s="298"/>
      <c r="DW43" s="298"/>
      <c r="DX43" s="298"/>
      <c r="DY43" s="298"/>
      <c r="DZ43" s="298"/>
      <c r="EA43" s="298"/>
      <c r="EB43" s="298"/>
      <c r="EC43" s="298"/>
      <c r="ED43" s="298"/>
      <c r="EE43" s="298"/>
      <c r="EF43" s="298"/>
      <c r="EG43" s="298"/>
      <c r="EH43" s="298"/>
      <c r="EI43" s="298"/>
      <c r="EJ43" s="298"/>
      <c r="EK43" s="298"/>
      <c r="EL43" s="298"/>
      <c r="EM43" s="298"/>
      <c r="EN43" s="298"/>
      <c r="EO43" s="298"/>
      <c r="EP43" s="298"/>
      <c r="EQ43" s="298"/>
      <c r="ER43" s="298"/>
      <c r="ES43" s="298"/>
      <c r="ET43" s="298"/>
      <c r="EU43" s="298"/>
      <c r="EV43" s="298"/>
      <c r="EW43" s="298"/>
      <c r="EX43" s="298"/>
      <c r="EY43" s="298"/>
      <c r="EZ43" s="298"/>
      <c r="FA43" s="298"/>
      <c r="FB43" s="298"/>
      <c r="FC43" s="298"/>
      <c r="FD43" s="298"/>
      <c r="FE43" s="298"/>
      <c r="FF43" s="298"/>
      <c r="FG43" s="298"/>
      <c r="FH43" s="298"/>
      <c r="FI43" s="298"/>
      <c r="FJ43" s="298"/>
      <c r="FK43" s="298"/>
      <c r="FL43" s="298"/>
      <c r="FM43" s="298"/>
      <c r="FN43" s="298"/>
      <c r="FO43" s="298"/>
      <c r="FP43" s="298"/>
      <c r="FQ43" s="298"/>
      <c r="FR43" s="298"/>
      <c r="FS43" s="298"/>
      <c r="FT43" s="298"/>
      <c r="FU43" s="298"/>
      <c r="FV43" s="298"/>
      <c r="FW43" s="298"/>
      <c r="FX43" s="298"/>
      <c r="FY43" s="298"/>
      <c r="FZ43" s="298"/>
      <c r="GA43" s="298"/>
      <c r="GB43" s="298"/>
      <c r="GC43" s="298"/>
      <c r="GD43" s="298"/>
      <c r="GE43" s="298"/>
      <c r="GF43" s="298"/>
      <c r="GG43" s="298"/>
      <c r="GH43" s="298"/>
      <c r="GI43" s="298"/>
      <c r="GJ43" s="298"/>
      <c r="GK43" s="298"/>
      <c r="GL43" s="298"/>
      <c r="GM43" s="298"/>
      <c r="GN43" s="298"/>
      <c r="GO43" s="298"/>
      <c r="GP43" s="298"/>
      <c r="GQ43" s="298"/>
      <c r="GR43" s="298"/>
      <c r="GS43" s="298"/>
      <c r="GT43" s="298"/>
      <c r="GU43" s="298"/>
      <c r="GV43" s="298"/>
      <c r="GW43" s="298"/>
      <c r="GX43" s="298"/>
      <c r="GY43" s="298"/>
      <c r="GZ43" s="298"/>
      <c r="HA43" s="298"/>
      <c r="HB43" s="298"/>
      <c r="HC43" s="298"/>
      <c r="HD43" s="298"/>
      <c r="HE43" s="298"/>
      <c r="HF43" s="298"/>
      <c r="HG43" s="298"/>
      <c r="HH43" s="298"/>
      <c r="HI43" s="298"/>
      <c r="HJ43" s="298"/>
      <c r="HK43" s="298"/>
      <c r="HL43" s="298"/>
      <c r="HM43" s="298"/>
      <c r="HN43" s="298"/>
      <c r="HO43" s="298"/>
      <c r="HP43" s="298"/>
      <c r="HQ43" s="298"/>
      <c r="HR43" s="298"/>
      <c r="HS43" s="298"/>
      <c r="HT43" s="298"/>
      <c r="HU43" s="298"/>
      <c r="HV43" s="298"/>
      <c r="HW43" s="298"/>
      <c r="HX43" s="298"/>
      <c r="HY43" s="298"/>
      <c r="HZ43" s="298"/>
      <c r="IA43" s="298"/>
      <c r="IB43" s="298"/>
      <c r="IC43" s="298"/>
      <c r="ID43" s="298"/>
      <c r="IE43" s="298"/>
      <c r="IF43" s="298"/>
      <c r="IG43" s="298"/>
      <c r="IH43" s="298"/>
      <c r="II43" s="298"/>
      <c r="IJ43" s="298"/>
      <c r="IK43" s="298"/>
      <c r="IL43" s="298"/>
      <c r="IM43" s="298"/>
      <c r="IN43" s="298"/>
      <c r="IO43" s="298"/>
      <c r="IP43" s="298"/>
      <c r="IQ43" s="298"/>
      <c r="IR43" s="298"/>
      <c r="IS43" s="298"/>
      <c r="IT43" s="298"/>
      <c r="IU43" s="298"/>
      <c r="IV43" s="298"/>
    </row>
    <row r="44" spans="1:256" ht="12.75">
      <c r="A44" s="298"/>
      <c r="B44" s="306"/>
      <c r="C44" s="306"/>
      <c r="D44" s="306"/>
      <c r="E44" s="298"/>
      <c r="F44" s="298"/>
      <c r="G44" s="298"/>
      <c r="H44" s="298"/>
      <c r="I44" s="298"/>
      <c r="J44" s="298"/>
      <c r="K44" s="298"/>
      <c r="L44" s="298"/>
      <c r="M44" s="298"/>
      <c r="N44" s="298"/>
      <c r="O44" s="298"/>
      <c r="P44" s="298"/>
      <c r="Q44" s="298"/>
      <c r="R44" s="298"/>
      <c r="S44" s="298"/>
      <c r="T44" s="298"/>
      <c r="U44" s="298"/>
      <c r="V44" s="298"/>
      <c r="W44" s="298"/>
      <c r="X44" s="298"/>
      <c r="Y44" s="298"/>
      <c r="Z44" s="298"/>
      <c r="AA44" s="298"/>
      <c r="AB44" s="298"/>
      <c r="AC44" s="298"/>
      <c r="AD44" s="298"/>
      <c r="AE44" s="298"/>
      <c r="AF44" s="298"/>
      <c r="AG44" s="298"/>
      <c r="AH44" s="298"/>
      <c r="AI44" s="298"/>
      <c r="AJ44" s="298"/>
      <c r="AK44" s="298"/>
      <c r="AL44" s="298"/>
      <c r="AM44" s="298"/>
      <c r="AN44" s="298"/>
      <c r="AO44" s="298"/>
      <c r="AP44" s="298"/>
      <c r="AQ44" s="298"/>
      <c r="AR44" s="298"/>
      <c r="AS44" s="298"/>
      <c r="AT44" s="298"/>
      <c r="AU44" s="298"/>
      <c r="AV44" s="298"/>
      <c r="AW44" s="298"/>
      <c r="AX44" s="298"/>
      <c r="AY44" s="298"/>
      <c r="AZ44" s="298"/>
      <c r="BA44" s="298"/>
      <c r="BB44" s="298"/>
      <c r="BC44" s="298"/>
      <c r="BD44" s="298"/>
      <c r="BE44" s="298"/>
      <c r="BF44" s="298"/>
      <c r="BG44" s="298"/>
      <c r="BH44" s="298"/>
      <c r="BI44" s="298"/>
      <c r="BJ44" s="298"/>
      <c r="BK44" s="298"/>
      <c r="BL44" s="298"/>
      <c r="BM44" s="298"/>
      <c r="BN44" s="298"/>
      <c r="BO44" s="298"/>
      <c r="BP44" s="298"/>
      <c r="BQ44" s="298"/>
      <c r="BR44" s="298"/>
      <c r="BS44" s="298"/>
      <c r="BT44" s="298"/>
      <c r="BU44" s="298"/>
      <c r="BV44" s="298"/>
      <c r="BW44" s="298"/>
      <c r="BX44" s="298"/>
      <c r="BY44" s="298"/>
      <c r="BZ44" s="298"/>
      <c r="CA44" s="298"/>
      <c r="CB44" s="298"/>
      <c r="CC44" s="298"/>
      <c r="CD44" s="298"/>
      <c r="CE44" s="298"/>
      <c r="CF44" s="298"/>
      <c r="CG44" s="298"/>
      <c r="CH44" s="298"/>
      <c r="CI44" s="298"/>
      <c r="CJ44" s="298"/>
      <c r="CK44" s="298"/>
      <c r="CL44" s="298"/>
      <c r="CM44" s="298"/>
      <c r="CN44" s="298"/>
      <c r="CO44" s="298"/>
      <c r="CP44" s="298"/>
      <c r="CQ44" s="298"/>
      <c r="CR44" s="298"/>
      <c r="CS44" s="298"/>
      <c r="CT44" s="298"/>
      <c r="CU44" s="298"/>
      <c r="CV44" s="298"/>
      <c r="CW44" s="298"/>
      <c r="CX44" s="298"/>
      <c r="CY44" s="298"/>
      <c r="CZ44" s="298"/>
      <c r="DA44" s="298"/>
      <c r="DB44" s="298"/>
      <c r="DC44" s="298"/>
      <c r="DD44" s="298"/>
      <c r="DE44" s="298"/>
      <c r="DF44" s="298"/>
      <c r="DG44" s="298"/>
      <c r="DH44" s="298"/>
      <c r="DI44" s="298"/>
      <c r="DJ44" s="298"/>
      <c r="DK44" s="298"/>
      <c r="DL44" s="298"/>
      <c r="DM44" s="298"/>
      <c r="DN44" s="298"/>
      <c r="DO44" s="298"/>
      <c r="DP44" s="298"/>
      <c r="DQ44" s="298"/>
      <c r="DR44" s="298"/>
      <c r="DS44" s="298"/>
      <c r="DT44" s="298"/>
      <c r="DU44" s="298"/>
      <c r="DV44" s="298"/>
      <c r="DW44" s="298"/>
      <c r="DX44" s="298"/>
      <c r="DY44" s="298"/>
      <c r="DZ44" s="298"/>
      <c r="EA44" s="298"/>
      <c r="EB44" s="298"/>
      <c r="EC44" s="298"/>
      <c r="ED44" s="298"/>
      <c r="EE44" s="298"/>
      <c r="EF44" s="298"/>
      <c r="EG44" s="298"/>
      <c r="EH44" s="298"/>
      <c r="EI44" s="298"/>
      <c r="EJ44" s="298"/>
      <c r="EK44" s="298"/>
      <c r="EL44" s="298"/>
      <c r="EM44" s="298"/>
      <c r="EN44" s="298"/>
      <c r="EO44" s="298"/>
      <c r="EP44" s="298"/>
      <c r="EQ44" s="298"/>
      <c r="ER44" s="298"/>
      <c r="ES44" s="298"/>
      <c r="ET44" s="298"/>
      <c r="EU44" s="298"/>
      <c r="EV44" s="298"/>
      <c r="EW44" s="298"/>
      <c r="EX44" s="298"/>
      <c r="EY44" s="298"/>
      <c r="EZ44" s="298"/>
      <c r="FA44" s="298"/>
      <c r="FB44" s="298"/>
      <c r="FC44" s="298"/>
      <c r="FD44" s="298"/>
      <c r="FE44" s="298"/>
      <c r="FF44" s="298"/>
      <c r="FG44" s="298"/>
      <c r="FH44" s="298"/>
      <c r="FI44" s="298"/>
      <c r="FJ44" s="298"/>
      <c r="FK44" s="298"/>
      <c r="FL44" s="298"/>
      <c r="FM44" s="298"/>
      <c r="FN44" s="298"/>
      <c r="FO44" s="298"/>
      <c r="FP44" s="298"/>
      <c r="FQ44" s="298"/>
      <c r="FR44" s="298"/>
      <c r="FS44" s="298"/>
      <c r="FT44" s="298"/>
      <c r="FU44" s="298"/>
      <c r="FV44" s="298"/>
      <c r="FW44" s="298"/>
      <c r="FX44" s="298"/>
      <c r="FY44" s="298"/>
      <c r="FZ44" s="298"/>
      <c r="GA44" s="298"/>
      <c r="GB44" s="298"/>
      <c r="GC44" s="298"/>
      <c r="GD44" s="298"/>
      <c r="GE44" s="298"/>
      <c r="GF44" s="298"/>
      <c r="GG44" s="298"/>
      <c r="GH44" s="298"/>
      <c r="GI44" s="298"/>
      <c r="GJ44" s="298"/>
      <c r="GK44" s="298"/>
      <c r="GL44" s="298"/>
      <c r="GM44" s="298"/>
      <c r="GN44" s="298"/>
      <c r="GO44" s="298"/>
      <c r="GP44" s="298"/>
      <c r="GQ44" s="298"/>
      <c r="GR44" s="298"/>
      <c r="GS44" s="298"/>
      <c r="GT44" s="298"/>
      <c r="GU44" s="298"/>
      <c r="GV44" s="298"/>
      <c r="GW44" s="298"/>
      <c r="GX44" s="298"/>
      <c r="GY44" s="298"/>
      <c r="GZ44" s="298"/>
      <c r="HA44" s="298"/>
      <c r="HB44" s="298"/>
      <c r="HC44" s="298"/>
      <c r="HD44" s="298"/>
      <c r="HE44" s="298"/>
      <c r="HF44" s="298"/>
      <c r="HG44" s="298"/>
      <c r="HH44" s="298"/>
      <c r="HI44" s="298"/>
      <c r="HJ44" s="298"/>
      <c r="HK44" s="298"/>
      <c r="HL44" s="298"/>
      <c r="HM44" s="298"/>
      <c r="HN44" s="298"/>
      <c r="HO44" s="298"/>
      <c r="HP44" s="298"/>
      <c r="HQ44" s="298"/>
      <c r="HR44" s="298"/>
      <c r="HS44" s="298"/>
      <c r="HT44" s="298"/>
      <c r="HU44" s="298"/>
      <c r="HV44" s="298"/>
      <c r="HW44" s="298"/>
      <c r="HX44" s="298"/>
      <c r="HY44" s="298"/>
      <c r="HZ44" s="298"/>
      <c r="IA44" s="298"/>
      <c r="IB44" s="298"/>
      <c r="IC44" s="298"/>
      <c r="ID44" s="298"/>
      <c r="IE44" s="298"/>
      <c r="IF44" s="298"/>
      <c r="IG44" s="298"/>
      <c r="IH44" s="298"/>
      <c r="II44" s="298"/>
      <c r="IJ44" s="298"/>
      <c r="IK44" s="298"/>
      <c r="IL44" s="298"/>
      <c r="IM44" s="298"/>
      <c r="IN44" s="298"/>
      <c r="IO44" s="298"/>
      <c r="IP44" s="298"/>
      <c r="IQ44" s="298"/>
      <c r="IR44" s="298"/>
      <c r="IS44" s="298"/>
      <c r="IT44" s="298"/>
      <c r="IU44" s="298"/>
      <c r="IV44" s="298"/>
    </row>
    <row r="45" spans="2:4" ht="12.75">
      <c r="B45" s="305" t="s">
        <v>226</v>
      </c>
      <c r="C45" s="302"/>
      <c r="D45" s="300"/>
    </row>
    <row r="46" spans="2:4" ht="12.75">
      <c r="B46" s="504" t="s">
        <v>227</v>
      </c>
      <c r="C46" s="504"/>
      <c r="D46" s="504"/>
    </row>
    <row r="48" ht="12.75">
      <c r="B48" s="97" t="s">
        <v>228</v>
      </c>
    </row>
    <row r="49" ht="12.75">
      <c r="B49" s="274" t="s">
        <v>229</v>
      </c>
    </row>
    <row r="51" ht="12.75">
      <c r="B51" s="97" t="s">
        <v>230</v>
      </c>
    </row>
    <row r="52" ht="12.75">
      <c r="B52" s="274" t="s">
        <v>231</v>
      </c>
    </row>
    <row r="54" ht="12.75">
      <c r="B54" s="97" t="s">
        <v>294</v>
      </c>
    </row>
  </sheetData>
  <sheetProtection/>
  <mergeCells count="12">
    <mergeCell ref="B46:D46"/>
    <mergeCell ref="B28:D28"/>
    <mergeCell ref="B31:D31"/>
    <mergeCell ref="B34:D34"/>
    <mergeCell ref="B37:C37"/>
    <mergeCell ref="B40:C40"/>
    <mergeCell ref="B43:C43"/>
    <mergeCell ref="C2:D6"/>
    <mergeCell ref="C7:D7"/>
    <mergeCell ref="B13:B16"/>
    <mergeCell ref="B22:D22"/>
    <mergeCell ref="B25:D25"/>
  </mergeCells>
  <hyperlinks>
    <hyperlink ref="B24" location="'ERR &amp; Sensitivity Analysis'!A1" display="ERR &amp; Sensitivity Analysis"/>
    <hyperlink ref="B30" location="'Dollar Conversion'!A1" display="Dollar Conversion"/>
    <hyperlink ref="B21" location="'Activity Desccription'!A1" display="Activity Description"/>
    <hyperlink ref="B33" location="'Assumptions Community'!A1" display="Assumptions Community"/>
    <hyperlink ref="B27" location="'Cost-Benefit Summary'!A1" display="Cost-Benefit Summary"/>
    <hyperlink ref="B36" location="'Input Community'!A1" display="Input Community"/>
    <hyperlink ref="B48" location="'Crystal Ball Sensitivity'!A1" display="Crystal Ball Sensitivity"/>
    <hyperlink ref="B51" location="Charts!A1" display="Charts"/>
    <hyperlink ref="B39" location="'Benefit Calculations Community'!A1" display="Benefit Calculations Community"/>
    <hyperlink ref="B42" location="'Assumptions and Benefits Urban'!A1" display="Assumptions and Benefits Urban"/>
    <hyperlink ref="B45" location="'MCC Costs'!A1" display="MCC Costs"/>
    <hyperlink ref="B54" location="'Poverty Scorecard'!A1" display="Poverty Scorecard"/>
  </hyperlink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B1:B31"/>
  <sheetViews>
    <sheetView showGridLines="0" zoomScalePageLayoutView="0" workbookViewId="0" topLeftCell="A1">
      <selection activeCell="A1" sqref="A1"/>
    </sheetView>
  </sheetViews>
  <sheetFormatPr defaultColWidth="9.140625" defaultRowHeight="12.75"/>
  <cols>
    <col min="1" max="1" width="5.7109375" style="311" customWidth="1"/>
    <col min="2" max="2" width="106.421875" style="311" customWidth="1"/>
    <col min="3" max="16384" width="9.140625" style="311" customWidth="1"/>
  </cols>
  <sheetData>
    <row r="1" ht="12.75">
      <c r="B1" s="310"/>
    </row>
    <row r="2" ht="34.5" customHeight="1">
      <c r="B2" s="312" t="s">
        <v>136</v>
      </c>
    </row>
    <row r="3" ht="16.5" customHeight="1">
      <c r="B3" s="313" t="s">
        <v>240</v>
      </c>
    </row>
    <row r="5" ht="3.75" customHeight="1"/>
    <row r="6" ht="12.75">
      <c r="B6" s="314" t="s">
        <v>241</v>
      </c>
    </row>
    <row r="7" ht="6.75" customHeight="1"/>
    <row r="8" ht="6.75" customHeight="1"/>
    <row r="9" ht="15" customHeight="1">
      <c r="B9" s="482" t="s">
        <v>341</v>
      </c>
    </row>
    <row r="10" ht="38.25">
      <c r="B10" s="315" t="s">
        <v>242</v>
      </c>
    </row>
    <row r="11" ht="12.75">
      <c r="B11" s="315"/>
    </row>
    <row r="12" ht="12.75">
      <c r="B12" s="482" t="s">
        <v>342</v>
      </c>
    </row>
    <row r="13" ht="60" customHeight="1">
      <c r="B13" s="483" t="s">
        <v>343</v>
      </c>
    </row>
    <row r="14" ht="15.75">
      <c r="B14" s="481"/>
    </row>
    <row r="15" ht="12.75">
      <c r="B15" s="314" t="s">
        <v>243</v>
      </c>
    </row>
    <row r="16" ht="6.75" customHeight="1"/>
    <row r="17" ht="14.25" customHeight="1">
      <c r="B17" s="311" t="s">
        <v>244</v>
      </c>
    </row>
    <row r="18" ht="76.5">
      <c r="B18" s="316" t="s">
        <v>245</v>
      </c>
    </row>
    <row r="19" ht="12.75">
      <c r="B19" s="316"/>
    </row>
    <row r="20" ht="24.75" customHeight="1">
      <c r="B20" s="314" t="s">
        <v>246</v>
      </c>
    </row>
    <row r="21" ht="6.75" customHeight="1"/>
    <row r="22" ht="15" customHeight="1">
      <c r="B22" s="482" t="s">
        <v>341</v>
      </c>
    </row>
    <row r="23" ht="15" customHeight="1">
      <c r="B23" s="317" t="s">
        <v>247</v>
      </c>
    </row>
    <row r="24" ht="103.5" customHeight="1">
      <c r="B24" s="316" t="s">
        <v>248</v>
      </c>
    </row>
    <row r="25" ht="92.25" customHeight="1">
      <c r="B25" s="317" t="s">
        <v>249</v>
      </c>
    </row>
    <row r="26" ht="63" customHeight="1">
      <c r="B26" s="315" t="s">
        <v>250</v>
      </c>
    </row>
    <row r="27" ht="39.75" customHeight="1">
      <c r="B27" s="318" t="s">
        <v>251</v>
      </c>
    </row>
    <row r="28" ht="39.75" customHeight="1">
      <c r="B28" s="318"/>
    </row>
    <row r="29" ht="17.25" customHeight="1">
      <c r="B29" s="482" t="s">
        <v>342</v>
      </c>
    </row>
    <row r="30" ht="76.5" customHeight="1">
      <c r="B30" s="34" t="s">
        <v>351</v>
      </c>
    </row>
    <row r="31" ht="19.5" customHeight="1">
      <c r="B31" s="310" t="str">
        <f>'User''s Guide'!$D$1</f>
        <v>Last updated: 10/07/2014</v>
      </c>
    </row>
  </sheetData>
  <sheetProtection/>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IV80"/>
  <sheetViews>
    <sheetView showGridLines="0" zoomScalePageLayoutView="0" workbookViewId="0" topLeftCell="A16">
      <selection activeCell="F1" sqref="F1"/>
    </sheetView>
  </sheetViews>
  <sheetFormatPr defaultColWidth="9.140625" defaultRowHeight="12.75"/>
  <cols>
    <col min="1" max="1" width="5.7109375" style="324" customWidth="1"/>
    <col min="2" max="2" width="16.28125" style="324" customWidth="1"/>
    <col min="3" max="3" width="67.00390625" style="324" customWidth="1"/>
    <col min="4" max="4" width="15.140625" style="324" customWidth="1"/>
    <col min="5" max="5" width="15.00390625" style="324" customWidth="1"/>
    <col min="6" max="6" width="15.140625" style="324" customWidth="1"/>
    <col min="7" max="7" width="18.28125" style="324" customWidth="1"/>
    <col min="8" max="8" width="5.7109375" style="324" customWidth="1"/>
    <col min="9" max="9" width="20.7109375" style="324" customWidth="1"/>
    <col min="10" max="16384" width="9.140625" style="324" customWidth="1"/>
  </cols>
  <sheetData>
    <row r="1" spans="1:256" ht="12.75">
      <c r="A1" s="274"/>
      <c r="B1" s="274"/>
      <c r="C1" s="319"/>
      <c r="D1" s="274"/>
      <c r="E1" s="274"/>
      <c r="F1" s="320" t="str">
        <f>'User''s Guide'!$D$1</f>
        <v>Last updated: 10/07/2014</v>
      </c>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4"/>
      <c r="AJ1" s="274"/>
      <c r="AK1" s="274"/>
      <c r="AL1" s="274"/>
      <c r="AM1" s="274"/>
      <c r="AN1" s="274"/>
      <c r="AO1" s="274"/>
      <c r="AP1" s="274"/>
      <c r="AQ1" s="274"/>
      <c r="AR1" s="274"/>
      <c r="AS1" s="274"/>
      <c r="AT1" s="274"/>
      <c r="AU1" s="274"/>
      <c r="AV1" s="274"/>
      <c r="AW1" s="274"/>
      <c r="AX1" s="274"/>
      <c r="AY1" s="274"/>
      <c r="AZ1" s="274"/>
      <c r="BA1" s="274"/>
      <c r="BB1" s="274"/>
      <c r="BC1" s="274"/>
      <c r="BD1" s="274"/>
      <c r="BE1" s="274"/>
      <c r="BF1" s="274"/>
      <c r="BG1" s="274"/>
      <c r="BH1" s="274"/>
      <c r="BI1" s="274"/>
      <c r="BJ1" s="274"/>
      <c r="BK1" s="274"/>
      <c r="BL1" s="274"/>
      <c r="BM1" s="274"/>
      <c r="BN1" s="274"/>
      <c r="BO1" s="274"/>
      <c r="BP1" s="274"/>
      <c r="BQ1" s="274"/>
      <c r="BR1" s="274"/>
      <c r="BS1" s="274"/>
      <c r="BT1" s="274"/>
      <c r="BU1" s="274"/>
      <c r="BV1" s="274"/>
      <c r="BW1" s="274"/>
      <c r="BX1" s="274"/>
      <c r="BY1" s="274"/>
      <c r="BZ1" s="274"/>
      <c r="CA1" s="274"/>
      <c r="CB1" s="274"/>
      <c r="CC1" s="274"/>
      <c r="CD1" s="274"/>
      <c r="CE1" s="274"/>
      <c r="CF1" s="274"/>
      <c r="CG1" s="274"/>
      <c r="CH1" s="274"/>
      <c r="CI1" s="274"/>
      <c r="CJ1" s="274"/>
      <c r="CK1" s="274"/>
      <c r="CL1" s="274"/>
      <c r="CM1" s="274"/>
      <c r="CN1" s="274"/>
      <c r="CO1" s="274"/>
      <c r="CP1" s="274"/>
      <c r="CQ1" s="274"/>
      <c r="CR1" s="274"/>
      <c r="CS1" s="274"/>
      <c r="CT1" s="274"/>
      <c r="CU1" s="274"/>
      <c r="CV1" s="274"/>
      <c r="CW1" s="274"/>
      <c r="CX1" s="274"/>
      <c r="CY1" s="274"/>
      <c r="CZ1" s="274"/>
      <c r="DA1" s="274"/>
      <c r="DB1" s="274"/>
      <c r="DC1" s="274"/>
      <c r="DD1" s="274"/>
      <c r="DE1" s="274"/>
      <c r="DF1" s="274"/>
      <c r="DG1" s="274"/>
      <c r="DH1" s="274"/>
      <c r="DI1" s="274"/>
      <c r="DJ1" s="274"/>
      <c r="DK1" s="274"/>
      <c r="DL1" s="274"/>
      <c r="DM1" s="274"/>
      <c r="DN1" s="274"/>
      <c r="DO1" s="274"/>
      <c r="DP1" s="274"/>
      <c r="DQ1" s="274"/>
      <c r="DR1" s="274"/>
      <c r="DS1" s="274"/>
      <c r="DT1" s="274"/>
      <c r="DU1" s="274"/>
      <c r="DV1" s="274"/>
      <c r="DW1" s="274"/>
      <c r="DX1" s="274"/>
      <c r="DY1" s="274"/>
      <c r="DZ1" s="274"/>
      <c r="EA1" s="274"/>
      <c r="EB1" s="274"/>
      <c r="EC1" s="274"/>
      <c r="ED1" s="274"/>
      <c r="EE1" s="274"/>
      <c r="EF1" s="274"/>
      <c r="EG1" s="274"/>
      <c r="EH1" s="274"/>
      <c r="EI1" s="274"/>
      <c r="EJ1" s="274"/>
      <c r="EK1" s="274"/>
      <c r="EL1" s="274"/>
      <c r="EM1" s="274"/>
      <c r="EN1" s="274"/>
      <c r="EO1" s="274"/>
      <c r="EP1" s="274"/>
      <c r="EQ1" s="274"/>
      <c r="ER1" s="274"/>
      <c r="ES1" s="274"/>
      <c r="ET1" s="274"/>
      <c r="EU1" s="274"/>
      <c r="EV1" s="274"/>
      <c r="EW1" s="274"/>
      <c r="EX1" s="274"/>
      <c r="EY1" s="274"/>
      <c r="EZ1" s="274"/>
      <c r="FA1" s="274"/>
      <c r="FB1" s="274"/>
      <c r="FC1" s="274"/>
      <c r="FD1" s="274"/>
      <c r="FE1" s="274"/>
      <c r="FF1" s="274"/>
      <c r="FG1" s="274"/>
      <c r="FH1" s="274"/>
      <c r="FI1" s="274"/>
      <c r="FJ1" s="274"/>
      <c r="FK1" s="274"/>
      <c r="FL1" s="274"/>
      <c r="FM1" s="274"/>
      <c r="FN1" s="274"/>
      <c r="FO1" s="274"/>
      <c r="FP1" s="274"/>
      <c r="FQ1" s="274"/>
      <c r="FR1" s="274"/>
      <c r="FS1" s="274"/>
      <c r="FT1" s="274"/>
      <c r="FU1" s="274"/>
      <c r="FV1" s="274"/>
      <c r="FW1" s="274"/>
      <c r="FX1" s="274"/>
      <c r="FY1" s="274"/>
      <c r="FZ1" s="274"/>
      <c r="GA1" s="274"/>
      <c r="GB1" s="274"/>
      <c r="GC1" s="274"/>
      <c r="GD1" s="274"/>
      <c r="GE1" s="274"/>
      <c r="GF1" s="274"/>
      <c r="GG1" s="274"/>
      <c r="GH1" s="274"/>
      <c r="GI1" s="274"/>
      <c r="GJ1" s="274"/>
      <c r="GK1" s="274"/>
      <c r="GL1" s="274"/>
      <c r="GM1" s="274"/>
      <c r="GN1" s="274"/>
      <c r="GO1" s="274"/>
      <c r="GP1" s="274"/>
      <c r="GQ1" s="274"/>
      <c r="GR1" s="274"/>
      <c r="GS1" s="274"/>
      <c r="GT1" s="274"/>
      <c r="GU1" s="274"/>
      <c r="GV1" s="274"/>
      <c r="GW1" s="274"/>
      <c r="GX1" s="274"/>
      <c r="GY1" s="274"/>
      <c r="GZ1" s="274"/>
      <c r="HA1" s="274"/>
      <c r="HB1" s="274"/>
      <c r="HC1" s="274"/>
      <c r="HD1" s="274"/>
      <c r="HE1" s="274"/>
      <c r="HF1" s="274"/>
      <c r="HG1" s="274"/>
      <c r="HH1" s="274"/>
      <c r="HI1" s="274"/>
      <c r="HJ1" s="274"/>
      <c r="HK1" s="274"/>
      <c r="HL1" s="274"/>
      <c r="HM1" s="274"/>
      <c r="HN1" s="274"/>
      <c r="HO1" s="274"/>
      <c r="HP1" s="274"/>
      <c r="HQ1" s="274"/>
      <c r="HR1" s="274"/>
      <c r="HS1" s="274"/>
      <c r="HT1" s="274"/>
      <c r="HU1" s="274"/>
      <c r="HV1" s="274"/>
      <c r="HW1" s="274"/>
      <c r="HX1" s="274"/>
      <c r="HY1" s="274"/>
      <c r="HZ1" s="274"/>
      <c r="IA1" s="274"/>
      <c r="IB1" s="274"/>
      <c r="IC1" s="274"/>
      <c r="ID1" s="274"/>
      <c r="IE1" s="274"/>
      <c r="IF1" s="274"/>
      <c r="IG1" s="274"/>
      <c r="IH1" s="274"/>
      <c r="II1" s="274"/>
      <c r="IJ1" s="274"/>
      <c r="IK1" s="274"/>
      <c r="IL1" s="274"/>
      <c r="IM1" s="274"/>
      <c r="IN1" s="274"/>
      <c r="IO1" s="274"/>
      <c r="IP1" s="274"/>
      <c r="IQ1" s="274"/>
      <c r="IR1" s="274"/>
      <c r="IS1" s="274"/>
      <c r="IT1" s="274"/>
      <c r="IU1" s="274"/>
      <c r="IV1" s="274"/>
    </row>
    <row r="2" spans="1:7" ht="44.25" customHeight="1">
      <c r="A2" s="321"/>
      <c r="B2" s="322" t="s">
        <v>340</v>
      </c>
      <c r="C2" s="321"/>
      <c r="D2" s="321"/>
      <c r="E2" s="321"/>
      <c r="F2" s="321"/>
      <c r="G2" s="323"/>
    </row>
    <row r="3" spans="1:7" ht="18">
      <c r="A3" s="321"/>
      <c r="B3" s="516"/>
      <c r="C3" s="516"/>
      <c r="D3" s="321"/>
      <c r="E3" s="321"/>
      <c r="F3" s="321"/>
      <c r="G3" s="321"/>
    </row>
    <row r="4" spans="1:7" ht="20.25" customHeight="1">
      <c r="A4" s="321"/>
      <c r="B4" s="325" t="s">
        <v>252</v>
      </c>
      <c r="C4" s="321"/>
      <c r="D4" s="321"/>
      <c r="E4" s="321"/>
      <c r="F4" s="321"/>
      <c r="G4" s="326"/>
    </row>
    <row r="5" ht="15.75">
      <c r="C5" s="327"/>
    </row>
    <row r="6" spans="2:7" ht="45" customHeight="1">
      <c r="B6" s="517" t="s">
        <v>253</v>
      </c>
      <c r="C6" s="518"/>
      <c r="D6" s="518"/>
      <c r="E6" s="518"/>
      <c r="F6" s="518"/>
      <c r="G6" s="518"/>
    </row>
    <row r="7" ht="16.5" customHeight="1"/>
    <row r="8" spans="1:256" ht="15.75">
      <c r="A8" s="327"/>
      <c r="B8" s="519" t="s">
        <v>254</v>
      </c>
      <c r="C8" s="521" t="s">
        <v>255</v>
      </c>
      <c r="D8" s="523" t="s">
        <v>256</v>
      </c>
      <c r="E8" s="524"/>
      <c r="F8" s="524"/>
      <c r="G8" s="525"/>
      <c r="H8" s="327"/>
      <c r="I8" s="327"/>
      <c r="J8" s="327"/>
      <c r="K8" s="327"/>
      <c r="L8" s="327"/>
      <c r="M8" s="327"/>
      <c r="N8" s="327"/>
      <c r="O8" s="327"/>
      <c r="P8" s="327"/>
      <c r="Q8" s="327"/>
      <c r="R8" s="327"/>
      <c r="S8" s="327"/>
      <c r="T8" s="327"/>
      <c r="U8" s="327"/>
      <c r="V8" s="327"/>
      <c r="W8" s="327"/>
      <c r="X8" s="327"/>
      <c r="Y8" s="327"/>
      <c r="Z8" s="327"/>
      <c r="AA8" s="327"/>
      <c r="AB8" s="327"/>
      <c r="AC8" s="327"/>
      <c r="AD8" s="327"/>
      <c r="AE8" s="327"/>
      <c r="AF8" s="327"/>
      <c r="AG8" s="327"/>
      <c r="AH8" s="327"/>
      <c r="AI8" s="327"/>
      <c r="AJ8" s="327"/>
      <c r="AK8" s="327"/>
      <c r="AL8" s="327"/>
      <c r="AM8" s="327"/>
      <c r="AN8" s="327"/>
      <c r="AO8" s="327"/>
      <c r="AP8" s="327"/>
      <c r="AQ8" s="327"/>
      <c r="AR8" s="327"/>
      <c r="AS8" s="327"/>
      <c r="AT8" s="327"/>
      <c r="AU8" s="327"/>
      <c r="AV8" s="327"/>
      <c r="AW8" s="327"/>
      <c r="AX8" s="327"/>
      <c r="AY8" s="327"/>
      <c r="AZ8" s="327"/>
      <c r="BA8" s="327"/>
      <c r="BB8" s="327"/>
      <c r="BC8" s="327"/>
      <c r="BD8" s="327"/>
      <c r="BE8" s="327"/>
      <c r="BF8" s="327"/>
      <c r="BG8" s="327"/>
      <c r="BH8" s="327"/>
      <c r="BI8" s="327"/>
      <c r="BJ8" s="327"/>
      <c r="BK8" s="327"/>
      <c r="BL8" s="327"/>
      <c r="BM8" s="327"/>
      <c r="BN8" s="327"/>
      <c r="BO8" s="327"/>
      <c r="BP8" s="327"/>
      <c r="BQ8" s="327"/>
      <c r="BR8" s="327"/>
      <c r="BS8" s="327"/>
      <c r="BT8" s="327"/>
      <c r="BU8" s="327"/>
      <c r="BV8" s="327"/>
      <c r="BW8" s="327"/>
      <c r="BX8" s="327"/>
      <c r="BY8" s="327"/>
      <c r="BZ8" s="327"/>
      <c r="CA8" s="327"/>
      <c r="CB8" s="327"/>
      <c r="CC8" s="327"/>
      <c r="CD8" s="327"/>
      <c r="CE8" s="327"/>
      <c r="CF8" s="327"/>
      <c r="CG8" s="327"/>
      <c r="CH8" s="327"/>
      <c r="CI8" s="327"/>
      <c r="CJ8" s="327"/>
      <c r="CK8" s="327"/>
      <c r="CL8" s="327"/>
      <c r="CM8" s="327"/>
      <c r="CN8" s="327"/>
      <c r="CO8" s="327"/>
      <c r="CP8" s="327"/>
      <c r="CQ8" s="327"/>
      <c r="CR8" s="327"/>
      <c r="CS8" s="327"/>
      <c r="CT8" s="327"/>
      <c r="CU8" s="327"/>
      <c r="CV8" s="327"/>
      <c r="CW8" s="327"/>
      <c r="CX8" s="327"/>
      <c r="CY8" s="327"/>
      <c r="CZ8" s="327"/>
      <c r="DA8" s="327"/>
      <c r="DB8" s="327"/>
      <c r="DC8" s="327"/>
      <c r="DD8" s="327"/>
      <c r="DE8" s="327"/>
      <c r="DF8" s="327"/>
      <c r="DG8" s="327"/>
      <c r="DH8" s="327"/>
      <c r="DI8" s="327"/>
      <c r="DJ8" s="327"/>
      <c r="DK8" s="327"/>
      <c r="DL8" s="327"/>
      <c r="DM8" s="327"/>
      <c r="DN8" s="327"/>
      <c r="DO8" s="327"/>
      <c r="DP8" s="327"/>
      <c r="DQ8" s="327"/>
      <c r="DR8" s="327"/>
      <c r="DS8" s="327"/>
      <c r="DT8" s="327"/>
      <c r="DU8" s="327"/>
      <c r="DV8" s="327"/>
      <c r="DW8" s="327"/>
      <c r="DX8" s="327"/>
      <c r="DY8" s="327"/>
      <c r="DZ8" s="327"/>
      <c r="EA8" s="327"/>
      <c r="EB8" s="327"/>
      <c r="EC8" s="327"/>
      <c r="ED8" s="327"/>
      <c r="EE8" s="327"/>
      <c r="EF8" s="327"/>
      <c r="EG8" s="327"/>
      <c r="EH8" s="327"/>
      <c r="EI8" s="327"/>
      <c r="EJ8" s="327"/>
      <c r="EK8" s="327"/>
      <c r="EL8" s="327"/>
      <c r="EM8" s="327"/>
      <c r="EN8" s="327"/>
      <c r="EO8" s="327"/>
      <c r="EP8" s="327"/>
      <c r="EQ8" s="327"/>
      <c r="ER8" s="327"/>
      <c r="ES8" s="327"/>
      <c r="ET8" s="327"/>
      <c r="EU8" s="327"/>
      <c r="EV8" s="327"/>
      <c r="EW8" s="327"/>
      <c r="EX8" s="327"/>
      <c r="EY8" s="327"/>
      <c r="EZ8" s="327"/>
      <c r="FA8" s="327"/>
      <c r="FB8" s="327"/>
      <c r="FC8" s="327"/>
      <c r="FD8" s="327"/>
      <c r="FE8" s="327"/>
      <c r="FF8" s="327"/>
      <c r="FG8" s="327"/>
      <c r="FH8" s="327"/>
      <c r="FI8" s="327"/>
      <c r="FJ8" s="327"/>
      <c r="FK8" s="327"/>
      <c r="FL8" s="327"/>
      <c r="FM8" s="327"/>
      <c r="FN8" s="327"/>
      <c r="FO8" s="327"/>
      <c r="FP8" s="327"/>
      <c r="FQ8" s="327"/>
      <c r="FR8" s="327"/>
      <c r="FS8" s="327"/>
      <c r="FT8" s="327"/>
      <c r="FU8" s="327"/>
      <c r="FV8" s="327"/>
      <c r="FW8" s="327"/>
      <c r="FX8" s="327"/>
      <c r="FY8" s="327"/>
      <c r="FZ8" s="327"/>
      <c r="GA8" s="327"/>
      <c r="GB8" s="327"/>
      <c r="GC8" s="327"/>
      <c r="GD8" s="327"/>
      <c r="GE8" s="327"/>
      <c r="GF8" s="327"/>
      <c r="GG8" s="327"/>
      <c r="GH8" s="327"/>
      <c r="GI8" s="327"/>
      <c r="GJ8" s="327"/>
      <c r="GK8" s="327"/>
      <c r="GL8" s="327"/>
      <c r="GM8" s="327"/>
      <c r="GN8" s="327"/>
      <c r="GO8" s="327"/>
      <c r="GP8" s="327"/>
      <c r="GQ8" s="327"/>
      <c r="GR8" s="327"/>
      <c r="GS8" s="327"/>
      <c r="GT8" s="327"/>
      <c r="GU8" s="327"/>
      <c r="GV8" s="327"/>
      <c r="GW8" s="327"/>
      <c r="GX8" s="327"/>
      <c r="GY8" s="327"/>
      <c r="GZ8" s="327"/>
      <c r="HA8" s="327"/>
      <c r="HB8" s="327"/>
      <c r="HC8" s="327"/>
      <c r="HD8" s="327"/>
      <c r="HE8" s="327"/>
      <c r="HF8" s="327"/>
      <c r="HG8" s="327"/>
      <c r="HH8" s="327"/>
      <c r="HI8" s="327"/>
      <c r="HJ8" s="327"/>
      <c r="HK8" s="327"/>
      <c r="HL8" s="327"/>
      <c r="HM8" s="327"/>
      <c r="HN8" s="327"/>
      <c r="HO8" s="327"/>
      <c r="HP8" s="327"/>
      <c r="HQ8" s="327"/>
      <c r="HR8" s="327"/>
      <c r="HS8" s="327"/>
      <c r="HT8" s="327"/>
      <c r="HU8" s="327"/>
      <c r="HV8" s="327"/>
      <c r="HW8" s="327"/>
      <c r="HX8" s="327"/>
      <c r="HY8" s="327"/>
      <c r="HZ8" s="327"/>
      <c r="IA8" s="327"/>
      <c r="IB8" s="327"/>
      <c r="IC8" s="327"/>
      <c r="ID8" s="327"/>
      <c r="IE8" s="327"/>
      <c r="IF8" s="327"/>
      <c r="IG8" s="327"/>
      <c r="IH8" s="327"/>
      <c r="II8" s="327"/>
      <c r="IJ8" s="327"/>
      <c r="IK8" s="327"/>
      <c r="IL8" s="327"/>
      <c r="IM8" s="327"/>
      <c r="IN8" s="327"/>
      <c r="IO8" s="327"/>
      <c r="IP8" s="327"/>
      <c r="IQ8" s="327"/>
      <c r="IR8" s="327"/>
      <c r="IS8" s="327"/>
      <c r="IT8" s="327"/>
      <c r="IU8" s="327"/>
      <c r="IV8" s="327"/>
    </row>
    <row r="9" spans="1:256" ht="54" customHeight="1" thickBot="1">
      <c r="A9" s="327"/>
      <c r="B9" s="520"/>
      <c r="C9" s="522"/>
      <c r="D9" s="328" t="s">
        <v>257</v>
      </c>
      <c r="E9" s="329" t="s">
        <v>258</v>
      </c>
      <c r="F9" s="330" t="s">
        <v>259</v>
      </c>
      <c r="G9" s="329" t="s">
        <v>260</v>
      </c>
      <c r="H9" s="327"/>
      <c r="I9" s="331" t="s">
        <v>261</v>
      </c>
      <c r="J9" s="332"/>
      <c r="K9" s="327"/>
      <c r="L9" s="327"/>
      <c r="M9" s="327"/>
      <c r="N9" s="327"/>
      <c r="O9" s="327"/>
      <c r="P9" s="327"/>
      <c r="Q9" s="327"/>
      <c r="R9" s="327"/>
      <c r="S9" s="327"/>
      <c r="T9" s="327"/>
      <c r="U9" s="327"/>
      <c r="V9" s="327"/>
      <c r="W9" s="327"/>
      <c r="X9" s="327"/>
      <c r="Y9" s="327"/>
      <c r="Z9" s="327"/>
      <c r="AA9" s="327"/>
      <c r="AB9" s="327"/>
      <c r="AC9" s="327"/>
      <c r="AD9" s="327"/>
      <c r="AE9" s="327"/>
      <c r="AF9" s="327"/>
      <c r="AG9" s="327"/>
      <c r="AH9" s="327"/>
      <c r="AI9" s="327"/>
      <c r="AJ9" s="327"/>
      <c r="AK9" s="327"/>
      <c r="AL9" s="327"/>
      <c r="AM9" s="327"/>
      <c r="AN9" s="327"/>
      <c r="AO9" s="327"/>
      <c r="AP9" s="327"/>
      <c r="AQ9" s="327"/>
      <c r="AR9" s="327"/>
      <c r="AS9" s="327"/>
      <c r="AT9" s="327"/>
      <c r="AU9" s="327"/>
      <c r="AV9" s="327"/>
      <c r="AW9" s="327"/>
      <c r="AX9" s="327"/>
      <c r="AY9" s="327"/>
      <c r="AZ9" s="327"/>
      <c r="BA9" s="327"/>
      <c r="BB9" s="327"/>
      <c r="BC9" s="327"/>
      <c r="BD9" s="327"/>
      <c r="BE9" s="327"/>
      <c r="BF9" s="327"/>
      <c r="BG9" s="327"/>
      <c r="BH9" s="327"/>
      <c r="BI9" s="327"/>
      <c r="BJ9" s="327"/>
      <c r="BK9" s="327"/>
      <c r="BL9" s="327"/>
      <c r="BM9" s="327"/>
      <c r="BN9" s="327"/>
      <c r="BO9" s="327"/>
      <c r="BP9" s="327"/>
      <c r="BQ9" s="327"/>
      <c r="BR9" s="327"/>
      <c r="BS9" s="327"/>
      <c r="BT9" s="327"/>
      <c r="BU9" s="327"/>
      <c r="BV9" s="327"/>
      <c r="BW9" s="327"/>
      <c r="BX9" s="327"/>
      <c r="BY9" s="327"/>
      <c r="BZ9" s="327"/>
      <c r="CA9" s="327"/>
      <c r="CB9" s="327"/>
      <c r="CC9" s="327"/>
      <c r="CD9" s="327"/>
      <c r="CE9" s="327"/>
      <c r="CF9" s="327"/>
      <c r="CG9" s="327"/>
      <c r="CH9" s="327"/>
      <c r="CI9" s="327"/>
      <c r="CJ9" s="327"/>
      <c r="CK9" s="327"/>
      <c r="CL9" s="327"/>
      <c r="CM9" s="327"/>
      <c r="CN9" s="327"/>
      <c r="CO9" s="327"/>
      <c r="CP9" s="327"/>
      <c r="CQ9" s="327"/>
      <c r="CR9" s="327"/>
      <c r="CS9" s="327"/>
      <c r="CT9" s="327"/>
      <c r="CU9" s="327"/>
      <c r="CV9" s="327"/>
      <c r="CW9" s="327"/>
      <c r="CX9" s="327"/>
      <c r="CY9" s="327"/>
      <c r="CZ9" s="327"/>
      <c r="DA9" s="327"/>
      <c r="DB9" s="327"/>
      <c r="DC9" s="327"/>
      <c r="DD9" s="327"/>
      <c r="DE9" s="327"/>
      <c r="DF9" s="327"/>
      <c r="DG9" s="327"/>
      <c r="DH9" s="327"/>
      <c r="DI9" s="327"/>
      <c r="DJ9" s="327"/>
      <c r="DK9" s="327"/>
      <c r="DL9" s="327"/>
      <c r="DM9" s="327"/>
      <c r="DN9" s="327"/>
      <c r="DO9" s="327"/>
      <c r="DP9" s="327"/>
      <c r="DQ9" s="327"/>
      <c r="DR9" s="327"/>
      <c r="DS9" s="327"/>
      <c r="DT9" s="327"/>
      <c r="DU9" s="327"/>
      <c r="DV9" s="327"/>
      <c r="DW9" s="327"/>
      <c r="DX9" s="327"/>
      <c r="DY9" s="327"/>
      <c r="DZ9" s="327"/>
      <c r="EA9" s="327"/>
      <c r="EB9" s="327"/>
      <c r="EC9" s="327"/>
      <c r="ED9" s="327"/>
      <c r="EE9" s="327"/>
      <c r="EF9" s="327"/>
      <c r="EG9" s="327"/>
      <c r="EH9" s="327"/>
      <c r="EI9" s="327"/>
      <c r="EJ9" s="327"/>
      <c r="EK9" s="327"/>
      <c r="EL9" s="327"/>
      <c r="EM9" s="327"/>
      <c r="EN9" s="327"/>
      <c r="EO9" s="327"/>
      <c r="EP9" s="327"/>
      <c r="EQ9" s="327"/>
      <c r="ER9" s="327"/>
      <c r="ES9" s="327"/>
      <c r="ET9" s="327"/>
      <c r="EU9" s="327"/>
      <c r="EV9" s="327"/>
      <c r="EW9" s="327"/>
      <c r="EX9" s="327"/>
      <c r="EY9" s="327"/>
      <c r="EZ9" s="327"/>
      <c r="FA9" s="327"/>
      <c r="FB9" s="327"/>
      <c r="FC9" s="327"/>
      <c r="FD9" s="327"/>
      <c r="FE9" s="327"/>
      <c r="FF9" s="327"/>
      <c r="FG9" s="327"/>
      <c r="FH9" s="327"/>
      <c r="FI9" s="327"/>
      <c r="FJ9" s="327"/>
      <c r="FK9" s="327"/>
      <c r="FL9" s="327"/>
      <c r="FM9" s="327"/>
      <c r="FN9" s="327"/>
      <c r="FO9" s="327"/>
      <c r="FP9" s="327"/>
      <c r="FQ9" s="327"/>
      <c r="FR9" s="327"/>
      <c r="FS9" s="327"/>
      <c r="FT9" s="327"/>
      <c r="FU9" s="327"/>
      <c r="FV9" s="327"/>
      <c r="FW9" s="327"/>
      <c r="FX9" s="327"/>
      <c r="FY9" s="327"/>
      <c r="FZ9" s="327"/>
      <c r="GA9" s="327"/>
      <c r="GB9" s="327"/>
      <c r="GC9" s="327"/>
      <c r="GD9" s="327"/>
      <c r="GE9" s="327"/>
      <c r="GF9" s="327"/>
      <c r="GG9" s="327"/>
      <c r="GH9" s="327"/>
      <c r="GI9" s="327"/>
      <c r="GJ9" s="327"/>
      <c r="GK9" s="327"/>
      <c r="GL9" s="327"/>
      <c r="GM9" s="327"/>
      <c r="GN9" s="327"/>
      <c r="GO9" s="327"/>
      <c r="GP9" s="327"/>
      <c r="GQ9" s="327"/>
      <c r="GR9" s="327"/>
      <c r="GS9" s="327"/>
      <c r="GT9" s="327"/>
      <c r="GU9" s="327"/>
      <c r="GV9" s="327"/>
      <c r="GW9" s="327"/>
      <c r="GX9" s="327"/>
      <c r="GY9" s="327"/>
      <c r="GZ9" s="327"/>
      <c r="HA9" s="327"/>
      <c r="HB9" s="327"/>
      <c r="HC9" s="327"/>
      <c r="HD9" s="327"/>
      <c r="HE9" s="327"/>
      <c r="HF9" s="327"/>
      <c r="HG9" s="327"/>
      <c r="HH9" s="327"/>
      <c r="HI9" s="327"/>
      <c r="HJ9" s="327"/>
      <c r="HK9" s="327"/>
      <c r="HL9" s="327"/>
      <c r="HM9" s="327"/>
      <c r="HN9" s="327"/>
      <c r="HO9" s="327"/>
      <c r="HP9" s="327"/>
      <c r="HQ9" s="327"/>
      <c r="HR9" s="327"/>
      <c r="HS9" s="327"/>
      <c r="HT9" s="327"/>
      <c r="HU9" s="327"/>
      <c r="HV9" s="327"/>
      <c r="HW9" s="327"/>
      <c r="HX9" s="327"/>
      <c r="HY9" s="327"/>
      <c r="HZ9" s="327"/>
      <c r="IA9" s="327"/>
      <c r="IB9" s="327"/>
      <c r="IC9" s="327"/>
      <c r="ID9" s="327"/>
      <c r="IE9" s="327"/>
      <c r="IF9" s="327"/>
      <c r="IG9" s="327"/>
      <c r="IH9" s="327"/>
      <c r="II9" s="327"/>
      <c r="IJ9" s="327"/>
      <c r="IK9" s="327"/>
      <c r="IL9" s="327"/>
      <c r="IM9" s="327"/>
      <c r="IN9" s="327"/>
      <c r="IO9" s="327"/>
      <c r="IP9" s="327"/>
      <c r="IQ9" s="327"/>
      <c r="IR9" s="327"/>
      <c r="IS9" s="327"/>
      <c r="IT9" s="327"/>
      <c r="IU9" s="327"/>
      <c r="IV9" s="327"/>
    </row>
    <row r="10" spans="2:9" ht="38.25" customHeight="1">
      <c r="B10" s="333" t="s">
        <v>241</v>
      </c>
      <c r="C10" s="334" t="s">
        <v>262</v>
      </c>
      <c r="D10" s="335">
        <v>1</v>
      </c>
      <c r="E10" s="336">
        <v>1</v>
      </c>
      <c r="F10" s="337" t="s">
        <v>263</v>
      </c>
      <c r="G10" s="338">
        <f>D10</f>
        <v>1</v>
      </c>
      <c r="I10" s="339" t="str">
        <f>IF(D10=E10,IF(D11=E11,"Y","N"),"N")</f>
        <v>Y</v>
      </c>
    </row>
    <row r="11" spans="2:7" ht="38.25" customHeight="1">
      <c r="B11" s="340" t="s">
        <v>241</v>
      </c>
      <c r="C11" s="341" t="s">
        <v>264</v>
      </c>
      <c r="D11" s="342">
        <v>1</v>
      </c>
      <c r="E11" s="343">
        <v>1</v>
      </c>
      <c r="F11" s="344" t="s">
        <v>263</v>
      </c>
      <c r="G11" s="345">
        <f>D11</f>
        <v>1</v>
      </c>
    </row>
    <row r="12" spans="2:7" ht="12.75">
      <c r="B12" s="346"/>
      <c r="C12" s="347"/>
      <c r="D12" s="347"/>
      <c r="E12" s="347"/>
      <c r="F12" s="347"/>
      <c r="G12" s="346"/>
    </row>
    <row r="13" spans="2:9" ht="38.25" customHeight="1">
      <c r="B13" s="348" t="s">
        <v>265</v>
      </c>
      <c r="C13" s="473" t="s">
        <v>107</v>
      </c>
      <c r="D13" s="349">
        <v>1.8</v>
      </c>
      <c r="E13" s="350">
        <v>1.8</v>
      </c>
      <c r="F13" s="476" t="s">
        <v>279</v>
      </c>
      <c r="G13" s="351">
        <f>IF($I$10="Y",D13,E13)</f>
        <v>1.8</v>
      </c>
      <c r="H13" s="512"/>
      <c r="I13" s="331" t="s">
        <v>266</v>
      </c>
    </row>
    <row r="14" spans="2:9" ht="38.25" customHeight="1">
      <c r="B14" s="352" t="s">
        <v>265</v>
      </c>
      <c r="C14" s="474" t="s">
        <v>280</v>
      </c>
      <c r="D14" s="353">
        <v>90.48</v>
      </c>
      <c r="E14" s="354">
        <v>90.48</v>
      </c>
      <c r="F14" s="477" t="s">
        <v>281</v>
      </c>
      <c r="G14" s="355">
        <f>IF($I$10="Y",D14,E14)</f>
        <v>90.48</v>
      </c>
      <c r="H14" s="512"/>
      <c r="I14" s="378"/>
    </row>
    <row r="15" spans="2:9" ht="38.25" customHeight="1">
      <c r="B15" s="352" t="s">
        <v>265</v>
      </c>
      <c r="C15" s="474" t="s">
        <v>277</v>
      </c>
      <c r="D15" s="353">
        <v>20</v>
      </c>
      <c r="E15" s="354">
        <v>20</v>
      </c>
      <c r="F15" s="477" t="s">
        <v>282</v>
      </c>
      <c r="G15" s="355">
        <f>IF($I$10="Y",D15,E15)</f>
        <v>20</v>
      </c>
      <c r="H15" s="512"/>
      <c r="I15" s="378"/>
    </row>
    <row r="16" spans="2:9" ht="38.25" customHeight="1">
      <c r="B16" s="356" t="s">
        <v>265</v>
      </c>
      <c r="C16" s="475" t="s">
        <v>278</v>
      </c>
      <c r="D16" s="379">
        <v>1.8</v>
      </c>
      <c r="E16" s="380">
        <v>1.8</v>
      </c>
      <c r="F16" s="478" t="s">
        <v>267</v>
      </c>
      <c r="G16" s="381">
        <f>IF($I$10="Y",D16,E16)</f>
        <v>1.8</v>
      </c>
      <c r="H16" s="512"/>
      <c r="I16" s="339" t="str">
        <f>IF(D13=E13,IF(D14=E14,IF(D15=E15,IF(D16=E16,"Y","N"),"N"),"N"),"N")</f>
        <v>Y</v>
      </c>
    </row>
    <row r="17" spans="4:8" ht="38.25" customHeight="1">
      <c r="D17" s="513"/>
      <c r="E17" s="513"/>
      <c r="F17" s="513"/>
      <c r="G17" s="513"/>
      <c r="H17" s="512"/>
    </row>
    <row r="18" spans="2:7" ht="12.75">
      <c r="B18" s="514">
        <f>IF(I10="N",IF(I16="N","Reminder: Please reset all summary parameters to original values before changing specific parameters.  Specific parameters will only be used in ERR computation when all summary parameters are set to initial values",0),0)</f>
        <v>0</v>
      </c>
      <c r="C18" s="514"/>
      <c r="D18" s="514"/>
      <c r="E18" s="514"/>
      <c r="F18" s="514"/>
      <c r="G18" s="514"/>
    </row>
    <row r="19" spans="2:7" ht="12.75">
      <c r="B19" s="357"/>
      <c r="C19" s="357"/>
      <c r="D19" s="357"/>
      <c r="E19" s="357"/>
      <c r="F19" s="357"/>
      <c r="G19" s="357"/>
    </row>
    <row r="20" spans="3:5" ht="12.75">
      <c r="C20" s="358" t="s">
        <v>268</v>
      </c>
      <c r="D20" s="359">
        <f>'Cost-Benefit Summary'!B17</f>
        <v>0.2580431537736725</v>
      </c>
      <c r="E20" s="360"/>
    </row>
    <row r="21" spans="3:5" ht="12.75">
      <c r="C21" s="358"/>
      <c r="D21" s="360"/>
      <c r="E21" s="360"/>
    </row>
    <row r="22" spans="3:5" ht="12.75">
      <c r="C22" s="358"/>
      <c r="D22" s="361"/>
      <c r="E22" s="360"/>
    </row>
    <row r="23" spans="3:7" ht="12.75">
      <c r="C23" s="358" t="s">
        <v>269</v>
      </c>
      <c r="D23" s="362"/>
      <c r="E23" s="363" t="s">
        <v>270</v>
      </c>
      <c r="F23" s="364" t="s">
        <v>271</v>
      </c>
      <c r="G23" s="365" t="s">
        <v>196</v>
      </c>
    </row>
    <row r="24" spans="3:7" ht="12.75">
      <c r="C24" s="358"/>
      <c r="D24" s="366" t="s">
        <v>91</v>
      </c>
      <c r="E24" s="367">
        <v>0.13</v>
      </c>
      <c r="F24" s="367" t="s">
        <v>272</v>
      </c>
      <c r="G24" s="368">
        <f>D20</f>
        <v>0.2580431537736725</v>
      </c>
    </row>
    <row r="25" spans="4:7" ht="12.75">
      <c r="D25" s="366" t="s">
        <v>273</v>
      </c>
      <c r="E25" s="369">
        <v>39239</v>
      </c>
      <c r="F25" s="370" t="s">
        <v>272</v>
      </c>
      <c r="G25" s="371">
        <v>41653</v>
      </c>
    </row>
    <row r="27" spans="3:4" ht="12.75">
      <c r="C27" s="372" t="s">
        <v>344</v>
      </c>
      <c r="D27" s="373">
        <f>NPV(0.1,'Cost-Benefit Summary'!B12:U12)/'Dollar Conversion'!C5</f>
        <v>62910310.89362017</v>
      </c>
    </row>
    <row r="28" spans="3:4" ht="12.75">
      <c r="C28" s="372"/>
      <c r="D28" s="374"/>
    </row>
    <row r="29" spans="3:4" ht="12.75">
      <c r="C29" s="372" t="s">
        <v>345</v>
      </c>
      <c r="D29" s="373">
        <f>NPV(0.1,'Cost-Benefit Summary'!B7:F7)/'Dollar Conversion'!C5</f>
        <v>24072821.418037675</v>
      </c>
    </row>
    <row r="30" spans="3:4" ht="12.75">
      <c r="C30" s="375"/>
      <c r="D30" s="375"/>
    </row>
    <row r="31" ht="12.75">
      <c r="C31" s="376" t="s">
        <v>274</v>
      </c>
    </row>
    <row r="78" spans="3:6" ht="12.75">
      <c r="C78" s="515"/>
      <c r="D78" s="515"/>
      <c r="E78" s="515"/>
      <c r="F78" s="515"/>
    </row>
    <row r="79" spans="3:6" ht="12.75">
      <c r="C79" s="515"/>
      <c r="D79" s="515"/>
      <c r="E79" s="515"/>
      <c r="F79" s="515"/>
    </row>
    <row r="80" spans="3:6" ht="12.75">
      <c r="C80" s="376"/>
      <c r="D80" s="376"/>
      <c r="E80" s="376"/>
      <c r="F80" s="376"/>
    </row>
  </sheetData>
  <sheetProtection/>
  <mergeCells count="10">
    <mergeCell ref="H13:H17"/>
    <mergeCell ref="D17:G17"/>
    <mergeCell ref="B18:G18"/>
    <mergeCell ref="C78:F78"/>
    <mergeCell ref="C79:F79"/>
    <mergeCell ref="B3:C3"/>
    <mergeCell ref="B6:G6"/>
    <mergeCell ref="B8:B9"/>
    <mergeCell ref="C8:C9"/>
    <mergeCell ref="D8:G8"/>
  </mergeCells>
  <conditionalFormatting sqref="B18:B19 B12">
    <cfRule type="cellIs" priority="1" dxfId="1" operator="equal" stopIfTrue="1">
      <formula>0</formula>
    </cfRule>
    <cfRule type="cellIs" priority="2" dxfId="0" operator="notEqual" stopIfTrue="1">
      <formula>0</formula>
    </cfRule>
  </conditionalFormatting>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codeName="Sheet4"/>
  <dimension ref="A1:U24"/>
  <sheetViews>
    <sheetView zoomScalePageLayoutView="0" workbookViewId="0" topLeftCell="A1">
      <pane xSplit="1" ySplit="6" topLeftCell="B7" activePane="bottomRight" state="frozen"/>
      <selection pane="topLeft" activeCell="A1" sqref="A1"/>
      <selection pane="topRight" activeCell="B1" sqref="B1"/>
      <selection pane="bottomLeft" activeCell="A8" sqref="A8"/>
      <selection pane="bottomRight" activeCell="B7" sqref="B7"/>
    </sheetView>
  </sheetViews>
  <sheetFormatPr defaultColWidth="9.140625" defaultRowHeight="12.75"/>
  <cols>
    <col min="1" max="1" width="45.421875" style="11" customWidth="1"/>
    <col min="2" max="2" width="20.7109375" style="11" bestFit="1" customWidth="1"/>
    <col min="3" max="3" width="13.7109375" style="11" customWidth="1"/>
    <col min="4" max="4" width="14.00390625" style="11" customWidth="1"/>
    <col min="5" max="5" width="15.28125" style="11" customWidth="1"/>
    <col min="6" max="6" width="14.8515625" style="11" customWidth="1"/>
    <col min="7" max="7" width="13.8515625" style="11" customWidth="1"/>
    <col min="8" max="8" width="13.140625" style="11" customWidth="1"/>
    <col min="9" max="9" width="13.00390625" style="11" customWidth="1"/>
    <col min="10" max="15" width="15.00390625" style="11" bestFit="1" customWidth="1"/>
    <col min="16" max="16" width="13.00390625" style="11" customWidth="1"/>
    <col min="17" max="17" width="15.8515625" style="11" customWidth="1"/>
    <col min="18" max="18" width="16.421875" style="11" customWidth="1"/>
    <col min="19" max="19" width="14.7109375" style="11" customWidth="1"/>
    <col min="20" max="20" width="15.57421875" style="11" customWidth="1"/>
    <col min="21" max="21" width="16.8515625" style="11" customWidth="1"/>
    <col min="22" max="16384" width="9.140625" style="11" customWidth="1"/>
  </cols>
  <sheetData>
    <row r="1" spans="2:7" s="4" customFormat="1" ht="12.75">
      <c r="B1" s="320" t="str">
        <f>'User''s Guide'!$D$1</f>
        <v>Last updated: 10/07/2014</v>
      </c>
      <c r="G1" s="2"/>
    </row>
    <row r="2" spans="1:4" s="4" customFormat="1" ht="39" customHeight="1">
      <c r="A2" s="526" t="s">
        <v>224</v>
      </c>
      <c r="B2" s="526"/>
      <c r="C2" s="526"/>
      <c r="D2" s="526"/>
    </row>
    <row r="3" spans="1:3" s="5" customFormat="1" ht="12.75">
      <c r="A3" s="3"/>
      <c r="C3" s="93" t="s">
        <v>8</v>
      </c>
    </row>
    <row r="4" s="5" customFormat="1" ht="15.75">
      <c r="A4" s="1" t="s">
        <v>8</v>
      </c>
    </row>
    <row r="5" spans="1:21" s="7" customFormat="1" ht="18" customHeight="1" thickBot="1">
      <c r="A5" s="6"/>
      <c r="B5" s="6">
        <v>2009</v>
      </c>
      <c r="C5" s="7">
        <f>B5+1</f>
        <v>2010</v>
      </c>
      <c r="D5" s="7">
        <f aca="true" t="shared" si="0" ref="D5:U5">C5+1</f>
        <v>2011</v>
      </c>
      <c r="E5" s="7">
        <f t="shared" si="0"/>
        <v>2012</v>
      </c>
      <c r="F5" s="7">
        <f t="shared" si="0"/>
        <v>2013</v>
      </c>
      <c r="G5" s="7">
        <f t="shared" si="0"/>
        <v>2014</v>
      </c>
      <c r="H5" s="7">
        <f t="shared" si="0"/>
        <v>2015</v>
      </c>
      <c r="I5" s="7">
        <f t="shared" si="0"/>
        <v>2016</v>
      </c>
      <c r="J5" s="7">
        <f t="shared" si="0"/>
        <v>2017</v>
      </c>
      <c r="K5" s="7">
        <f t="shared" si="0"/>
        <v>2018</v>
      </c>
      <c r="L5" s="7">
        <f t="shared" si="0"/>
        <v>2019</v>
      </c>
      <c r="M5" s="7">
        <f t="shared" si="0"/>
        <v>2020</v>
      </c>
      <c r="N5" s="7">
        <f t="shared" si="0"/>
        <v>2021</v>
      </c>
      <c r="O5" s="7">
        <f t="shared" si="0"/>
        <v>2022</v>
      </c>
      <c r="P5" s="7">
        <f t="shared" si="0"/>
        <v>2023</v>
      </c>
      <c r="Q5" s="7">
        <f t="shared" si="0"/>
        <v>2024</v>
      </c>
      <c r="R5" s="7">
        <f t="shared" si="0"/>
        <v>2025</v>
      </c>
      <c r="S5" s="7">
        <f t="shared" si="0"/>
        <v>2026</v>
      </c>
      <c r="T5" s="7">
        <f t="shared" si="0"/>
        <v>2027</v>
      </c>
      <c r="U5" s="7">
        <f t="shared" si="0"/>
        <v>2028</v>
      </c>
    </row>
    <row r="6" spans="1:21" ht="22.5" customHeight="1">
      <c r="A6" s="8" t="s">
        <v>3</v>
      </c>
      <c r="B6" s="9">
        <v>1</v>
      </c>
      <c r="C6" s="9">
        <f>B6+1</f>
        <v>2</v>
      </c>
      <c r="D6" s="10">
        <f>C6+1</f>
        <v>3</v>
      </c>
      <c r="E6" s="10">
        <f aca="true" t="shared" si="1" ref="E6:U6">D6+1</f>
        <v>4</v>
      </c>
      <c r="F6" s="10">
        <f t="shared" si="1"/>
        <v>5</v>
      </c>
      <c r="G6" s="10">
        <f t="shared" si="1"/>
        <v>6</v>
      </c>
      <c r="H6" s="10">
        <f t="shared" si="1"/>
        <v>7</v>
      </c>
      <c r="I6" s="10">
        <f t="shared" si="1"/>
        <v>8</v>
      </c>
      <c r="J6" s="10">
        <f t="shared" si="1"/>
        <v>9</v>
      </c>
      <c r="K6" s="10">
        <f t="shared" si="1"/>
        <v>10</v>
      </c>
      <c r="L6" s="10">
        <f t="shared" si="1"/>
        <v>11</v>
      </c>
      <c r="M6" s="10">
        <f t="shared" si="1"/>
        <v>12</v>
      </c>
      <c r="N6" s="10">
        <f t="shared" si="1"/>
        <v>13</v>
      </c>
      <c r="O6" s="10">
        <f t="shared" si="1"/>
        <v>14</v>
      </c>
      <c r="P6" s="10">
        <f t="shared" si="1"/>
        <v>15</v>
      </c>
      <c r="Q6" s="10">
        <f t="shared" si="1"/>
        <v>16</v>
      </c>
      <c r="R6" s="10">
        <f t="shared" si="1"/>
        <v>17</v>
      </c>
      <c r="S6" s="10">
        <f t="shared" si="1"/>
        <v>18</v>
      </c>
      <c r="T6" s="10">
        <f t="shared" si="1"/>
        <v>19</v>
      </c>
      <c r="U6" s="10">
        <f t="shared" si="1"/>
        <v>20</v>
      </c>
    </row>
    <row r="7" spans="1:8" s="193" customFormat="1" ht="21.75" customHeight="1">
      <c r="A7" s="210" t="s">
        <v>346</v>
      </c>
      <c r="B7" s="210">
        <f>'Dollar Conversion'!C18*$F$19</f>
        <v>21883778.5802127</v>
      </c>
      <c r="C7" s="210">
        <f>'Dollar Conversion'!D18*$F$19</f>
        <v>135944120.8015187</v>
      </c>
      <c r="D7" s="210">
        <f>'Dollar Conversion'!E18*$F$19</f>
        <v>201141780.14447716</v>
      </c>
      <c r="E7" s="210">
        <f>'Dollar Conversion'!F18*$F$19</f>
        <v>248959433.19559616</v>
      </c>
      <c r="F7" s="210">
        <f>'Dollar Conversion'!G18*$F$19</f>
        <v>305293607.4859436</v>
      </c>
      <c r="G7" s="210">
        <f>'Dollar Conversion'!H18*$F$19</f>
        <v>88932410.34010038</v>
      </c>
      <c r="H7" s="210">
        <f>'Dollar Conversion'!I18*$F$19</f>
        <v>0</v>
      </c>
    </row>
    <row r="8" spans="1:11" ht="12.75">
      <c r="A8" s="11" t="s">
        <v>347</v>
      </c>
      <c r="B8" s="467">
        <f>NPV(0.1,B7:U7)</f>
        <v>693171634.2933325</v>
      </c>
      <c r="C8" s="14"/>
      <c r="D8" s="14"/>
      <c r="E8" s="14"/>
      <c r="F8" s="13" t="s">
        <v>8</v>
      </c>
      <c r="G8" s="14"/>
      <c r="H8" s="14"/>
      <c r="K8" s="14"/>
    </row>
    <row r="9" s="84" customFormat="1" ht="12.75"/>
    <row r="10" spans="1:21" s="193" customFormat="1" ht="18" customHeight="1">
      <c r="A10" s="195" t="s">
        <v>348</v>
      </c>
      <c r="B10" s="196">
        <f>'Benefit Calculations Community'!B20</f>
        <v>0</v>
      </c>
      <c r="C10" s="196">
        <f>'Benefit Calculations Community'!C20</f>
        <v>0</v>
      </c>
      <c r="D10" s="196">
        <f>'Benefit Calculations Community'!D20</f>
        <v>0</v>
      </c>
      <c r="E10" s="196">
        <f>'Benefit Calculations Community'!E20</f>
        <v>0</v>
      </c>
      <c r="F10" s="196">
        <f>'Benefit Calculations Community'!F20</f>
        <v>8389531.388192683</v>
      </c>
      <c r="G10" s="196">
        <f>'Benefit Calculations Community'!G20</f>
        <v>17514823.0491423</v>
      </c>
      <c r="H10" s="196">
        <f>'Benefit Calculations Community'!H20</f>
        <v>34708749.23687643</v>
      </c>
      <c r="I10" s="196">
        <f>'Benefit Calculations Community'!I20</f>
        <v>34708749.23687643</v>
      </c>
      <c r="J10" s="196">
        <f>'Benefit Calculations Community'!J20</f>
        <v>34708749.23687643</v>
      </c>
      <c r="K10" s="196">
        <f>'Benefit Calculations Community'!K20</f>
        <v>34708749.23687643</v>
      </c>
      <c r="L10" s="196">
        <f>'Benefit Calculations Community'!L20</f>
        <v>34708749.23687643</v>
      </c>
      <c r="M10" s="196">
        <f>'Benefit Calculations Community'!M20</f>
        <v>34708749.23687643</v>
      </c>
      <c r="N10" s="196">
        <f>'Benefit Calculations Community'!N20</f>
        <v>34708749.23687643</v>
      </c>
      <c r="O10" s="196">
        <f>'Benefit Calculations Community'!O20</f>
        <v>34708749.23687643</v>
      </c>
      <c r="P10" s="196">
        <f>'Benefit Calculations Community'!P20</f>
        <v>34708749.23687643</v>
      </c>
      <c r="Q10" s="196">
        <f>'Benefit Calculations Community'!Q20</f>
        <v>34708749.23687643</v>
      </c>
      <c r="R10" s="196">
        <f>'Benefit Calculations Community'!R20</f>
        <v>34708749.23687643</v>
      </c>
      <c r="S10" s="196">
        <f>'Benefit Calculations Community'!S20</f>
        <v>34708749.23687643</v>
      </c>
      <c r="T10" s="196">
        <f>'Benefit Calculations Community'!T20</f>
        <v>34708749.23687643</v>
      </c>
      <c r="U10" s="196">
        <f>'Benefit Calculations Community'!U20</f>
        <v>34708749.23687643</v>
      </c>
    </row>
    <row r="11" spans="1:21" s="199" customFormat="1" ht="13.5" thickBot="1">
      <c r="A11" s="197" t="s">
        <v>349</v>
      </c>
      <c r="B11" s="198">
        <f>'Benefit Calculations Community'!B21</f>
        <v>0</v>
      </c>
      <c r="C11" s="199">
        <f>'Assumptions and Benefits DUATs'!D107</f>
        <v>0</v>
      </c>
      <c r="D11" s="199">
        <f>'Assumptions and Benefits DUATs'!E107</f>
        <v>0</v>
      </c>
      <c r="E11" s="199">
        <f>'Assumptions and Benefits DUATs'!F107</f>
        <v>0</v>
      </c>
      <c r="F11" s="199">
        <f>'Assumptions and Benefits DUATs'!G107</f>
        <v>0</v>
      </c>
      <c r="G11" s="199">
        <f>'Assumptions and Benefits DUATs'!H107</f>
        <v>322029574.1643734</v>
      </c>
      <c r="H11" s="199">
        <f>'Assumptions and Benefits DUATs'!I107</f>
        <v>322029574.1643734</v>
      </c>
      <c r="I11" s="199">
        <f>'Assumptions and Benefits DUATs'!J107</f>
        <v>322029574.1643734</v>
      </c>
      <c r="J11" s="199">
        <f>'Assumptions and Benefits DUATs'!K107</f>
        <v>322029574.1643734</v>
      </c>
      <c r="K11" s="199">
        <f>'Assumptions and Benefits DUATs'!L107</f>
        <v>322029574.1643734</v>
      </c>
      <c r="L11" s="199">
        <f>'Assumptions and Benefits DUATs'!M107</f>
        <v>322029574.1643734</v>
      </c>
      <c r="M11" s="199">
        <f>'Assumptions and Benefits DUATs'!N107</f>
        <v>322029574.1643734</v>
      </c>
      <c r="N11" s="199">
        <f>'Assumptions and Benefits DUATs'!O107</f>
        <v>322029574.1643734</v>
      </c>
      <c r="O11" s="199">
        <f>'Assumptions and Benefits DUATs'!P107</f>
        <v>322029574.1643734</v>
      </c>
      <c r="P11" s="199">
        <f>'Assumptions and Benefits DUATs'!Q107</f>
        <v>322029574.1643734</v>
      </c>
      <c r="Q11" s="199">
        <f>'Assumptions and Benefits DUATs'!R107</f>
        <v>322029574.1643734</v>
      </c>
      <c r="R11" s="199">
        <f>'Assumptions and Benefits DUATs'!S107</f>
        <v>322029574.1643734</v>
      </c>
      <c r="S11" s="199">
        <f>'Assumptions and Benefits DUATs'!T107</f>
        <v>322029574.1643734</v>
      </c>
      <c r="T11" s="199">
        <f>'Assumptions and Benefits DUATs'!U107</f>
        <v>322029574.1643734</v>
      </c>
      <c r="U11" s="199">
        <f>'Assumptions and Benefits DUATs'!V107</f>
        <v>322029574.1643734</v>
      </c>
    </row>
    <row r="12" spans="1:21" s="202" customFormat="1" ht="14.25" thickBot="1" thickTop="1">
      <c r="A12" s="200" t="s">
        <v>34</v>
      </c>
      <c r="B12" s="201">
        <f>B11+B10</f>
        <v>0</v>
      </c>
      <c r="C12" s="202">
        <f>(C11+C10)*$F$20</f>
        <v>0</v>
      </c>
      <c r="D12" s="202">
        <f aca="true" t="shared" si="2" ref="D12:U12">(D11+D10)*$F$20</f>
        <v>0</v>
      </c>
      <c r="E12" s="202">
        <f t="shared" si="2"/>
        <v>0</v>
      </c>
      <c r="F12" s="202">
        <f t="shared" si="2"/>
        <v>8389531.388192683</v>
      </c>
      <c r="G12" s="202">
        <f t="shared" si="2"/>
        <v>339544397.2135157</v>
      </c>
      <c r="H12" s="202">
        <f t="shared" si="2"/>
        <v>356738323.4012498</v>
      </c>
      <c r="I12" s="202">
        <f t="shared" si="2"/>
        <v>356738323.4012498</v>
      </c>
      <c r="J12" s="202">
        <f t="shared" si="2"/>
        <v>356738323.4012498</v>
      </c>
      <c r="K12" s="202">
        <f t="shared" si="2"/>
        <v>356738323.4012498</v>
      </c>
      <c r="L12" s="202">
        <f t="shared" si="2"/>
        <v>356738323.4012498</v>
      </c>
      <c r="M12" s="202">
        <f t="shared" si="2"/>
        <v>356738323.4012498</v>
      </c>
      <c r="N12" s="202">
        <f t="shared" si="2"/>
        <v>356738323.4012498</v>
      </c>
      <c r="O12" s="202">
        <f t="shared" si="2"/>
        <v>356738323.4012498</v>
      </c>
      <c r="P12" s="202">
        <f t="shared" si="2"/>
        <v>356738323.4012498</v>
      </c>
      <c r="Q12" s="202">
        <f t="shared" si="2"/>
        <v>356738323.4012498</v>
      </c>
      <c r="R12" s="202">
        <f t="shared" si="2"/>
        <v>356738323.4012498</v>
      </c>
      <c r="S12" s="202">
        <f t="shared" si="2"/>
        <v>356738323.4012498</v>
      </c>
      <c r="T12" s="202">
        <f t="shared" si="2"/>
        <v>356738323.4012498</v>
      </c>
      <c r="U12" s="202">
        <f t="shared" si="2"/>
        <v>356738323.4012498</v>
      </c>
    </row>
    <row r="13" spans="1:2" s="210" customFormat="1" ht="13.5" thickTop="1">
      <c r="A13" s="468" t="s">
        <v>350</v>
      </c>
      <c r="B13" s="469">
        <f>NPV(0.1,B12:U12)</f>
        <v>1680299246.907124</v>
      </c>
    </row>
    <row r="14" ht="12.75">
      <c r="A14" s="83"/>
    </row>
    <row r="15" spans="1:21" ht="12.75">
      <c r="A15" s="83" t="s">
        <v>71</v>
      </c>
      <c r="B15" s="61">
        <f aca="true" t="shared" si="3" ref="B15:U15">B12-B7</f>
        <v>-21883778.5802127</v>
      </c>
      <c r="C15" s="61">
        <f t="shared" si="3"/>
        <v>-135944120.8015187</v>
      </c>
      <c r="D15" s="61">
        <f t="shared" si="3"/>
        <v>-201141780.14447716</v>
      </c>
      <c r="E15" s="61">
        <f t="shared" si="3"/>
        <v>-248959433.19559616</v>
      </c>
      <c r="F15" s="61">
        <f t="shared" si="3"/>
        <v>-296904076.0977509</v>
      </c>
      <c r="G15" s="61">
        <f t="shared" si="3"/>
        <v>250611986.87341532</v>
      </c>
      <c r="H15" s="61">
        <f t="shared" si="3"/>
        <v>356738323.4012498</v>
      </c>
      <c r="I15" s="61">
        <f t="shared" si="3"/>
        <v>356738323.4012498</v>
      </c>
      <c r="J15" s="61">
        <f t="shared" si="3"/>
        <v>356738323.4012498</v>
      </c>
      <c r="K15" s="61">
        <f t="shared" si="3"/>
        <v>356738323.4012498</v>
      </c>
      <c r="L15" s="61">
        <f t="shared" si="3"/>
        <v>356738323.4012498</v>
      </c>
      <c r="M15" s="61">
        <f t="shared" si="3"/>
        <v>356738323.4012498</v>
      </c>
      <c r="N15" s="61">
        <f t="shared" si="3"/>
        <v>356738323.4012498</v>
      </c>
      <c r="O15" s="61">
        <f t="shared" si="3"/>
        <v>356738323.4012498</v>
      </c>
      <c r="P15" s="61">
        <f t="shared" si="3"/>
        <v>356738323.4012498</v>
      </c>
      <c r="Q15" s="61">
        <f t="shared" si="3"/>
        <v>356738323.4012498</v>
      </c>
      <c r="R15" s="61">
        <f t="shared" si="3"/>
        <v>356738323.4012498</v>
      </c>
      <c r="S15" s="61">
        <f t="shared" si="3"/>
        <v>356738323.4012498</v>
      </c>
      <c r="T15" s="61">
        <f t="shared" si="3"/>
        <v>356738323.4012498</v>
      </c>
      <c r="U15" s="61">
        <f t="shared" si="3"/>
        <v>356738323.4012498</v>
      </c>
    </row>
    <row r="16" spans="5:6" ht="12.75">
      <c r="E16" s="11" t="s">
        <v>8</v>
      </c>
      <c r="F16" s="11" t="s">
        <v>8</v>
      </c>
    </row>
    <row r="17" spans="1:2" s="101" customFormat="1" ht="15.75">
      <c r="A17" s="100" t="s">
        <v>35</v>
      </c>
      <c r="B17" s="62">
        <f>IRR(B15:U15)</f>
        <v>0.2580431537736725</v>
      </c>
    </row>
    <row r="18" spans="1:5" s="101" customFormat="1" ht="15.75">
      <c r="A18" s="102" t="s">
        <v>350</v>
      </c>
      <c r="B18" s="211">
        <f>NPV(0.1,B15:U15)</f>
        <v>987127612.613792</v>
      </c>
      <c r="D18" s="101" t="s">
        <v>8</v>
      </c>
      <c r="E18" s="101" t="s">
        <v>8</v>
      </c>
    </row>
    <row r="19" spans="1:6" ht="12.75">
      <c r="A19" s="11" t="s">
        <v>8</v>
      </c>
      <c r="D19" s="11" t="s">
        <v>8</v>
      </c>
      <c r="E19" s="479" t="s">
        <v>275</v>
      </c>
      <c r="F19" s="377">
        <f>'ERR &amp; Sensitivity Analysis'!G10</f>
        <v>1</v>
      </c>
    </row>
    <row r="20" spans="1:6" ht="12.75">
      <c r="A20" s="99" t="s">
        <v>87</v>
      </c>
      <c r="B20" s="103">
        <f>'Poverty Scorecard'!D16</f>
        <v>1333445</v>
      </c>
      <c r="E20" s="479" t="s">
        <v>276</v>
      </c>
      <c r="F20" s="377">
        <f>'ERR &amp; Sensitivity Analysis'!G11</f>
        <v>1</v>
      </c>
    </row>
    <row r="22" spans="1:3" ht="12.75">
      <c r="A22" s="15" t="s">
        <v>115</v>
      </c>
      <c r="B22" s="182">
        <f>NPV(0.1,B10:U10)</f>
        <v>159425396.71256006</v>
      </c>
      <c r="C22" s="185">
        <f>B22/B24</f>
        <v>0.0948791692944037</v>
      </c>
    </row>
    <row r="23" spans="1:3" ht="12.75">
      <c r="A23" s="183" t="s">
        <v>116</v>
      </c>
      <c r="B23" s="184">
        <f>NPV(0.1,B11:U11)</f>
        <v>1520873850.1945639</v>
      </c>
      <c r="C23" s="186">
        <f>B23/B24</f>
        <v>0.9051208307055962</v>
      </c>
    </row>
    <row r="24" spans="1:2" ht="12.75">
      <c r="A24" s="15" t="s">
        <v>117</v>
      </c>
      <c r="B24" s="182">
        <f>NPV(0.1,B12:U12)</f>
        <v>1680299246.907124</v>
      </c>
    </row>
  </sheetData>
  <sheetProtection/>
  <mergeCells count="1">
    <mergeCell ref="A2:D2"/>
  </mergeCell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L35"/>
  <sheetViews>
    <sheetView zoomScalePageLayoutView="0" workbookViewId="0" topLeftCell="A1">
      <selection activeCell="G11" sqref="G11"/>
    </sheetView>
  </sheetViews>
  <sheetFormatPr defaultColWidth="9.140625" defaultRowHeight="12.75"/>
  <cols>
    <col min="1" max="1" width="49.140625" style="0" bestFit="1" customWidth="1"/>
    <col min="2" max="2" width="14.140625" style="0" bestFit="1" customWidth="1"/>
    <col min="3" max="3" width="14.421875" style="0" bestFit="1" customWidth="1"/>
    <col min="4" max="4" width="14.140625" style="0" bestFit="1" customWidth="1"/>
    <col min="5" max="7" width="15.00390625" style="0" bestFit="1" customWidth="1"/>
    <col min="8" max="8" width="13.8515625" style="0" customWidth="1"/>
    <col min="9" max="9" width="16.57421875" style="0" bestFit="1" customWidth="1"/>
  </cols>
  <sheetData>
    <row r="1" ht="12.75">
      <c r="C1" s="320" t="str">
        <f>'User''s Guide'!$D$1</f>
        <v>Last updated: 10/07/2014</v>
      </c>
    </row>
    <row r="2" ht="20.25">
      <c r="A2" s="322" t="s">
        <v>283</v>
      </c>
    </row>
    <row r="3" spans="3:12" ht="12.75">
      <c r="C3">
        <v>2009</v>
      </c>
      <c r="D3">
        <f>C3+1</f>
        <v>2010</v>
      </c>
      <c r="E3">
        <f aca="true" t="shared" si="0" ref="E3:L3">D3+1</f>
        <v>2011</v>
      </c>
      <c r="F3">
        <f t="shared" si="0"/>
        <v>2012</v>
      </c>
      <c r="G3">
        <f t="shared" si="0"/>
        <v>2013</v>
      </c>
      <c r="H3">
        <f t="shared" si="0"/>
        <v>2014</v>
      </c>
      <c r="I3">
        <f t="shared" si="0"/>
        <v>2015</v>
      </c>
      <c r="J3">
        <f t="shared" si="0"/>
        <v>2016</v>
      </c>
      <c r="K3">
        <f t="shared" si="0"/>
        <v>2017</v>
      </c>
      <c r="L3">
        <f t="shared" si="0"/>
        <v>2018</v>
      </c>
    </row>
    <row r="4" spans="2:7" ht="12.75">
      <c r="B4" t="s">
        <v>3</v>
      </c>
      <c r="C4" s="203">
        <v>1</v>
      </c>
      <c r="D4" s="203">
        <v>2</v>
      </c>
      <c r="E4" s="203">
        <v>3</v>
      </c>
      <c r="F4" s="203">
        <v>4</v>
      </c>
      <c r="G4" s="203">
        <v>5</v>
      </c>
    </row>
    <row r="5" spans="1:12" ht="15">
      <c r="A5" t="s">
        <v>127</v>
      </c>
      <c r="C5" s="204">
        <v>26.709441155814186</v>
      </c>
      <c r="D5" s="204">
        <v>32.98711772098869</v>
      </c>
      <c r="E5" s="204">
        <v>29.059338211899462</v>
      </c>
      <c r="F5" s="204">
        <v>28.300437098757</v>
      </c>
      <c r="G5" s="204">
        <v>30.499684183931276</v>
      </c>
      <c r="H5" s="204">
        <v>32.07127013775391</v>
      </c>
      <c r="I5" s="204">
        <v>32.7233641926879</v>
      </c>
      <c r="J5" s="204">
        <v>33.37355271176112</v>
      </c>
      <c r="K5" s="204">
        <v>34.0868265993266</v>
      </c>
      <c r="L5" s="204">
        <v>34.0868265993266</v>
      </c>
    </row>
    <row r="6" spans="3:7" ht="12.75">
      <c r="C6" s="203"/>
      <c r="D6" s="203"/>
      <c r="E6" s="203"/>
      <c r="F6" s="203"/>
      <c r="G6" s="203"/>
    </row>
    <row r="7" spans="1:12" ht="15">
      <c r="A7" t="s">
        <v>141</v>
      </c>
      <c r="C7" s="205">
        <v>1</v>
      </c>
      <c r="D7" s="205">
        <f>101.336632307425/100</f>
        <v>1.01336632307425</v>
      </c>
      <c r="E7" s="205">
        <f>103.496790804262/100</f>
        <v>1.03496790804262</v>
      </c>
      <c r="F7" s="205">
        <f>105.348355230122/100</f>
        <v>1.05348355230122</v>
      </c>
      <c r="G7" s="205">
        <f>107.080316628473/100</f>
        <v>1.07080316628473</v>
      </c>
      <c r="H7" s="205">
        <f>109.20852011796/100</f>
        <v>1.0920852011796</v>
      </c>
      <c r="I7" s="205">
        <f>111.409763624246/100</f>
        <v>1.11409763624246</v>
      </c>
      <c r="J7" s="205">
        <f>113.72969715783/100</f>
        <v>1.1372969715783001</v>
      </c>
      <c r="K7" s="205">
        <f>116.171972719554/100</f>
        <v>1.16171972719554</v>
      </c>
      <c r="L7" s="206">
        <f>118.634334285897/100</f>
        <v>1.18634334285897</v>
      </c>
    </row>
    <row r="8" spans="1:12" ht="15">
      <c r="A8" t="s">
        <v>128</v>
      </c>
      <c r="C8" s="205">
        <v>1</v>
      </c>
      <c r="D8" s="205">
        <f>110.484305201021/100</f>
        <v>1.10484305201021</v>
      </c>
      <c r="E8" s="205">
        <f>119.411096043395/100</f>
        <v>1.1941109604339502</v>
      </c>
      <c r="F8" s="205">
        <f>125.990646936822/100</f>
        <v>1.25990646936822</v>
      </c>
      <c r="G8" s="205">
        <f>135.43993299298/100</f>
        <v>1.3543993299298</v>
      </c>
      <c r="H8" s="205">
        <f>143.024589183153/100</f>
        <v>1.4302458918315302</v>
      </c>
      <c r="I8" s="205">
        <f>151.034022016592/100</f>
        <v>1.51034022016592</v>
      </c>
      <c r="J8" s="205">
        <f>159.492162571793/100</f>
        <v>1.59492162571793</v>
      </c>
      <c r="K8" s="205">
        <f>168.423440491385/100</f>
        <v>1.68423440491385</v>
      </c>
      <c r="L8" s="206">
        <f>177.855276802808/100</f>
        <v>1.77855276802808</v>
      </c>
    </row>
    <row r="9" spans="3:12" ht="15">
      <c r="C9" s="205"/>
      <c r="D9" s="205"/>
      <c r="E9" s="205"/>
      <c r="F9" s="205"/>
      <c r="G9" s="205"/>
      <c r="H9" s="205"/>
      <c r="I9" s="205"/>
      <c r="J9" s="205"/>
      <c r="K9" s="205"/>
      <c r="L9" s="206"/>
    </row>
    <row r="10" spans="1:9" ht="12.75">
      <c r="A10" t="s">
        <v>129</v>
      </c>
      <c r="C10" s="207">
        <v>819327.46</v>
      </c>
      <c r="D10" s="207">
        <v>5157771.48</v>
      </c>
      <c r="E10" s="207">
        <v>7794071.25</v>
      </c>
      <c r="F10" s="207">
        <v>9819549.07</v>
      </c>
      <c r="G10" s="207">
        <v>12239468.419999998</v>
      </c>
      <c r="H10" s="207">
        <v>3636233.67</v>
      </c>
      <c r="I10" s="536"/>
    </row>
    <row r="11" spans="3:9" ht="12.75">
      <c r="C11" s="470"/>
      <c r="D11" s="203"/>
      <c r="E11" s="203"/>
      <c r="F11" s="203"/>
      <c r="G11" s="203"/>
      <c r="I11" s="536"/>
    </row>
    <row r="12" spans="1:12" ht="12.75">
      <c r="A12" s="173" t="s">
        <v>130</v>
      </c>
      <c r="B12" s="173"/>
      <c r="C12" s="208">
        <v>1</v>
      </c>
      <c r="D12" s="208">
        <v>1</v>
      </c>
      <c r="E12" s="208">
        <v>1</v>
      </c>
      <c r="F12" s="208">
        <f>1-F13</f>
        <v>1</v>
      </c>
      <c r="G12" s="208">
        <f>1-G13</f>
        <v>1</v>
      </c>
      <c r="H12" s="208">
        <f>1-H13</f>
        <v>1</v>
      </c>
      <c r="I12" s="173"/>
      <c r="J12" s="173"/>
      <c r="K12" s="173"/>
      <c r="L12" s="173"/>
    </row>
    <row r="13" spans="1:12" ht="12.75">
      <c r="A13" s="173" t="s">
        <v>131</v>
      </c>
      <c r="B13" s="173"/>
      <c r="C13" s="212">
        <v>0</v>
      </c>
      <c r="D13" s="212">
        <v>0</v>
      </c>
      <c r="E13" s="212">
        <v>0</v>
      </c>
      <c r="F13" s="212">
        <v>0</v>
      </c>
      <c r="G13" s="212">
        <v>0</v>
      </c>
      <c r="H13" s="212">
        <v>0</v>
      </c>
      <c r="I13" s="173"/>
      <c r="J13" s="173" t="s">
        <v>8</v>
      </c>
      <c r="K13" s="173"/>
      <c r="L13" s="173"/>
    </row>
    <row r="14" spans="3:7" ht="12.75">
      <c r="C14" s="203"/>
      <c r="D14" s="203"/>
      <c r="E14" s="203"/>
      <c r="F14" s="203"/>
      <c r="G14" s="203"/>
    </row>
    <row r="15" spans="1:8" s="51" customFormat="1" ht="12.75">
      <c r="A15" s="51" t="s">
        <v>132</v>
      </c>
      <c r="C15" s="51">
        <f>C10*C12/C7</f>
        <v>819327.46</v>
      </c>
      <c r="D15" s="51">
        <f>D10*D12/D7</f>
        <v>5089740.36590526</v>
      </c>
      <c r="E15" s="51">
        <f>E10*E12/E7</f>
        <v>7530737.126661748</v>
      </c>
      <c r="F15" s="51">
        <f>F10*F12/F7</f>
        <v>9321027.412863035</v>
      </c>
      <c r="G15" s="51">
        <f>G10*G12/G7</f>
        <v>11430175.783347921</v>
      </c>
      <c r="H15" s="51">
        <f>H10*H12/H7</f>
        <v>3329624.525698521</v>
      </c>
    </row>
    <row r="16" spans="1:8" s="51" customFormat="1" ht="12.75">
      <c r="A16" s="51" t="s">
        <v>133</v>
      </c>
      <c r="C16" s="51">
        <f aca="true" t="shared" si="1" ref="C16:H16">C15*$C$5</f>
        <v>21883778.5802127</v>
      </c>
      <c r="D16" s="51">
        <f t="shared" si="1"/>
        <v>135944120.8015187</v>
      </c>
      <c r="E16" s="51">
        <f t="shared" si="1"/>
        <v>201141780.14447716</v>
      </c>
      <c r="F16" s="51">
        <f t="shared" si="1"/>
        <v>248959433.19559616</v>
      </c>
      <c r="G16" s="51">
        <f t="shared" si="1"/>
        <v>305293607.4859436</v>
      </c>
      <c r="H16" s="51">
        <f t="shared" si="1"/>
        <v>88932410.34010038</v>
      </c>
    </row>
    <row r="17" spans="1:11" s="51" customFormat="1" ht="12.75">
      <c r="A17" s="51" t="s">
        <v>134</v>
      </c>
      <c r="C17" s="209">
        <f>C10*C13*C5/C8</f>
        <v>0</v>
      </c>
      <c r="D17" s="209">
        <f>D10*D13*D5/D8</f>
        <v>0</v>
      </c>
      <c r="E17" s="209">
        <f>E10*E13*E5/E8</f>
        <v>0</v>
      </c>
      <c r="F17" s="209">
        <f>F10*F13*F5/F8</f>
        <v>0</v>
      </c>
      <c r="G17" s="209">
        <f>G10*G13*G5/G8</f>
        <v>0</v>
      </c>
      <c r="H17" s="209">
        <f>H10*H13*H5/H8</f>
        <v>0</v>
      </c>
      <c r="K17" s="51" t="s">
        <v>8</v>
      </c>
    </row>
    <row r="18" spans="1:8" s="51" customFormat="1" ht="12.75">
      <c r="A18" s="51" t="s">
        <v>135</v>
      </c>
      <c r="C18" s="51">
        <f aca="true" t="shared" si="2" ref="C18:H18">C16+C17</f>
        <v>21883778.5802127</v>
      </c>
      <c r="D18" s="51">
        <f t="shared" si="2"/>
        <v>135944120.8015187</v>
      </c>
      <c r="E18" s="51">
        <f t="shared" si="2"/>
        <v>201141780.14447716</v>
      </c>
      <c r="F18" s="51">
        <f t="shared" si="2"/>
        <v>248959433.19559616</v>
      </c>
      <c r="G18" s="51">
        <f t="shared" si="2"/>
        <v>305293607.4859436</v>
      </c>
      <c r="H18" s="51">
        <f t="shared" si="2"/>
        <v>88932410.34010038</v>
      </c>
    </row>
    <row r="19" spans="3:8" ht="12.75">
      <c r="C19" s="203"/>
      <c r="D19" s="203"/>
      <c r="E19" s="203"/>
      <c r="F19" s="203"/>
      <c r="G19" s="203"/>
      <c r="H19" s="203"/>
    </row>
    <row r="20" spans="1:9" s="213" customFormat="1" ht="12.75">
      <c r="A20" s="213" t="s">
        <v>137</v>
      </c>
      <c r="C20" s="213">
        <f>C10*C5</f>
        <v>21883778.5802127</v>
      </c>
      <c r="D20" s="213">
        <f>D10*D5</f>
        <v>170140014.9887181</v>
      </c>
      <c r="E20" s="213">
        <f>E10*E5</f>
        <v>226490552.501392</v>
      </c>
      <c r="F20" s="213">
        <f>F10*F5</f>
        <v>277897530.7936928</v>
      </c>
      <c r="G20" s="213">
        <f>G10*G5</f>
        <v>373299921.38920027</v>
      </c>
      <c r="H20" s="213">
        <f>H10*H5</f>
        <v>116618632.31456631</v>
      </c>
      <c r="I20" s="210">
        <f>SUM(C20:H20)</f>
        <v>1186330430.5677822</v>
      </c>
    </row>
    <row r="22" spans="1:12" s="11" customFormat="1" ht="21.75" customHeight="1">
      <c r="A22" s="12" t="s">
        <v>359</v>
      </c>
      <c r="B22" s="12"/>
      <c r="C22" s="13">
        <f>'MCC Costs'!E4</f>
        <v>2881266.75</v>
      </c>
      <c r="D22" s="13">
        <f>'MCC Costs'!E5</f>
        <v>4198026.1899999995</v>
      </c>
      <c r="E22" s="13">
        <f>'MCC Costs'!C6</f>
        <v>6890800.29</v>
      </c>
      <c r="F22" s="13">
        <f>'MCC Costs'!E12</f>
        <v>10136693.15</v>
      </c>
      <c r="G22" s="13">
        <f>'MCC Costs'!E18</f>
        <v>18400090.787162125</v>
      </c>
      <c r="H22" s="13">
        <f>'MCC Costs'!E20</f>
        <v>206259.75</v>
      </c>
      <c r="I22" s="13">
        <f>SUM(C22:H22)</f>
        <v>42713136.91716213</v>
      </c>
      <c r="L22" s="14"/>
    </row>
    <row r="23" spans="1:9" ht="12.75">
      <c r="A23" s="232" t="s">
        <v>360</v>
      </c>
      <c r="C23" s="501">
        <f aca="true" t="shared" si="3" ref="C23:H23">C22/SUM($C$22:$H$22)</f>
        <v>0.06745621974775418</v>
      </c>
      <c r="D23" s="501">
        <f t="shared" si="3"/>
        <v>0.09828419294376933</v>
      </c>
      <c r="E23" s="501">
        <f t="shared" si="3"/>
        <v>0.1613274225998437</v>
      </c>
      <c r="F23" s="501">
        <f t="shared" si="3"/>
        <v>0.23732026916353877</v>
      </c>
      <c r="G23" s="501">
        <f t="shared" si="3"/>
        <v>0.43078294209220147</v>
      </c>
      <c r="H23" s="501">
        <f t="shared" si="3"/>
        <v>0.004828953452892496</v>
      </c>
      <c r="I23" s="501"/>
    </row>
    <row r="25" spans="1:3" ht="12.75">
      <c r="A25" s="232" t="s">
        <v>362</v>
      </c>
      <c r="C25" s="503">
        <v>40068307</v>
      </c>
    </row>
    <row r="26" spans="1:8" ht="12.75">
      <c r="A26" s="232" t="s">
        <v>361</v>
      </c>
      <c r="C26" s="502">
        <f aca="true" t="shared" si="4" ref="C26:H26">$C$25*C23</f>
        <v>2702856.521912477</v>
      </c>
      <c r="D26" s="502">
        <f t="shared" si="4"/>
        <v>3938081.2161181835</v>
      </c>
      <c r="E26" s="502">
        <f t="shared" si="4"/>
        <v>6464116.6962492755</v>
      </c>
      <c r="F26" s="502">
        <f t="shared" si="4"/>
        <v>9509021.402167305</v>
      </c>
      <c r="G26" s="502">
        <f t="shared" si="4"/>
        <v>17260743.17411355</v>
      </c>
      <c r="H26" s="502">
        <f t="shared" si="4"/>
        <v>193487.98943920655</v>
      </c>
    </row>
    <row r="35" ht="12.75">
      <c r="D35" s="207"/>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codeName="Sheet5"/>
  <dimension ref="A1:K32"/>
  <sheetViews>
    <sheetView zoomScalePageLayoutView="0" workbookViewId="0" topLeftCell="A1">
      <selection activeCell="D30" sqref="D30"/>
    </sheetView>
  </sheetViews>
  <sheetFormatPr defaultColWidth="9.140625" defaultRowHeight="12.75"/>
  <cols>
    <col min="1" max="1" width="52.57421875" style="17" customWidth="1"/>
    <col min="2" max="2" width="11.57421875" style="23" customWidth="1"/>
    <col min="3" max="3" width="10.00390625" style="17" customWidth="1"/>
    <col min="4" max="4" width="33.140625" style="16" customWidth="1"/>
    <col min="5" max="5" width="27.421875" style="17" customWidth="1"/>
    <col min="6" max="6" width="16.421875" style="17" customWidth="1"/>
    <col min="7" max="7" width="12.140625" style="17" customWidth="1"/>
    <col min="8" max="8" width="18.00390625" style="17" customWidth="1"/>
    <col min="9" max="9" width="13.140625" style="17" customWidth="1"/>
    <col min="10" max="10" width="14.00390625" style="17" customWidth="1"/>
    <col min="11" max="11" width="12.7109375" style="17" customWidth="1"/>
    <col min="12" max="12" width="14.140625" style="17" customWidth="1"/>
    <col min="13" max="13" width="14.8515625" style="17" customWidth="1"/>
    <col min="14" max="14" width="18.140625" style="17" customWidth="1"/>
    <col min="15" max="16384" width="9.140625" style="17" customWidth="1"/>
  </cols>
  <sheetData>
    <row r="1" spans="2:7" s="4" customFormat="1" ht="12.75">
      <c r="B1" s="20"/>
      <c r="C1" s="320" t="str">
        <f>'User''s Guide'!$D$1</f>
        <v>Last updated: 10/07/2014</v>
      </c>
      <c r="G1" s="21"/>
    </row>
    <row r="2" ht="17.25" customHeight="1" thickBot="1"/>
    <row r="3" spans="1:6" ht="21" thickBot="1">
      <c r="A3" s="480" t="s">
        <v>4</v>
      </c>
      <c r="B3" s="25" t="s">
        <v>2</v>
      </c>
      <c r="C3" s="26"/>
      <c r="D3" s="42" t="s">
        <v>5</v>
      </c>
      <c r="E3" s="26" t="s">
        <v>6</v>
      </c>
      <c r="F3" s="22"/>
    </row>
    <row r="4" spans="1:5" ht="13.5" thickBot="1">
      <c r="A4" s="18" t="s">
        <v>43</v>
      </c>
      <c r="B4" s="27"/>
      <c r="C4" s="18"/>
      <c r="D4" s="40"/>
      <c r="E4" s="28"/>
    </row>
    <row r="5" spans="1:5" ht="12.75">
      <c r="A5" s="16" t="s">
        <v>0</v>
      </c>
      <c r="B5" s="159">
        <v>257</v>
      </c>
      <c r="D5" s="16" t="s">
        <v>354</v>
      </c>
      <c r="E5" s="19"/>
    </row>
    <row r="6" spans="1:10" ht="12.75">
      <c r="A6" s="16" t="s">
        <v>1</v>
      </c>
      <c r="B6" s="159">
        <f>'Input Community'!H15</f>
        <v>2248419.3699999996</v>
      </c>
      <c r="D6" s="16" t="s">
        <v>37</v>
      </c>
      <c r="E6" s="66">
        <f>B6*G6</f>
        <v>674525.8109999999</v>
      </c>
      <c r="F6" s="17" t="s">
        <v>47</v>
      </c>
      <c r="G6" s="17">
        <v>0.3</v>
      </c>
      <c r="H6" s="17">
        <v>0.3</v>
      </c>
      <c r="I6" s="17">
        <v>0.5</v>
      </c>
      <c r="J6" s="17">
        <v>0.8</v>
      </c>
    </row>
    <row r="7" spans="1:5" s="64" customFormat="1" ht="12.75">
      <c r="A7" s="63" t="s">
        <v>153</v>
      </c>
      <c r="B7" s="160">
        <v>350</v>
      </c>
      <c r="D7" s="65" t="s">
        <v>15</v>
      </c>
      <c r="E7" s="69">
        <f>E9/B5</f>
        <v>2187.178375486381</v>
      </c>
    </row>
    <row r="8" spans="1:4" ht="12.75">
      <c r="A8" s="16" t="s">
        <v>11</v>
      </c>
      <c r="B8" s="29">
        <f>B6/B5</f>
        <v>8748.713501945524</v>
      </c>
      <c r="D8" s="16" t="s">
        <v>36</v>
      </c>
    </row>
    <row r="9" spans="1:6" ht="12.75">
      <c r="A9" s="63" t="s">
        <v>9</v>
      </c>
      <c r="B9" s="138">
        <f>B5*B7</f>
        <v>89950</v>
      </c>
      <c r="C9" s="64"/>
      <c r="D9" s="63" t="s">
        <v>36</v>
      </c>
      <c r="E9" s="67">
        <f>E6/E10</f>
        <v>562104.8424999999</v>
      </c>
      <c r="F9" s="17" t="s">
        <v>8</v>
      </c>
    </row>
    <row r="10" spans="1:7" ht="12.75">
      <c r="A10" s="63" t="s">
        <v>49</v>
      </c>
      <c r="B10" s="140">
        <f>B6/B9</f>
        <v>24.996324291272927</v>
      </c>
      <c r="C10" s="64"/>
      <c r="D10" s="63" t="s">
        <v>36</v>
      </c>
      <c r="E10" s="19">
        <v>1.2</v>
      </c>
      <c r="F10" s="19" t="s">
        <v>46</v>
      </c>
      <c r="G10" s="97" t="s">
        <v>48</v>
      </c>
    </row>
    <row r="11" spans="1:7" ht="12.75">
      <c r="A11" s="63"/>
      <c r="B11" s="138"/>
      <c r="C11" s="64"/>
      <c r="D11" s="63"/>
      <c r="E11" s="19" t="s">
        <v>146</v>
      </c>
      <c r="G11" s="97" t="s">
        <v>147</v>
      </c>
    </row>
    <row r="12" spans="1:5" ht="12.75">
      <c r="A12" s="63" t="s">
        <v>110</v>
      </c>
      <c r="B12" s="159">
        <f>'Input Community'!H21</f>
        <v>139</v>
      </c>
      <c r="C12" s="64"/>
      <c r="D12" s="63" t="s">
        <v>37</v>
      </c>
      <c r="E12" s="19"/>
    </row>
    <row r="13" spans="1:7" ht="12.75">
      <c r="A13" s="63" t="s">
        <v>10</v>
      </c>
      <c r="B13" s="159">
        <f>'Input Community'!H27</f>
        <v>10459.008699999998</v>
      </c>
      <c r="C13" s="64"/>
      <c r="D13" s="63" t="s">
        <v>37</v>
      </c>
      <c r="G13" s="17" t="s">
        <v>8</v>
      </c>
    </row>
    <row r="14" spans="1:4" s="41" customFormat="1" ht="12.75">
      <c r="A14" s="63" t="s">
        <v>13</v>
      </c>
      <c r="B14" s="138">
        <f>B16/B12</f>
        <v>70</v>
      </c>
      <c r="C14" s="64"/>
      <c r="D14" s="63" t="s">
        <v>36</v>
      </c>
    </row>
    <row r="15" spans="1:11" ht="15">
      <c r="A15" s="63" t="s">
        <v>12</v>
      </c>
      <c r="B15" s="138">
        <f>B13/B12</f>
        <v>75.2446669064748</v>
      </c>
      <c r="C15" s="64"/>
      <c r="D15" s="63" t="s">
        <v>36</v>
      </c>
      <c r="G15" s="527" t="s">
        <v>148</v>
      </c>
      <c r="H15" s="527"/>
      <c r="I15" s="527"/>
      <c r="J15" s="527"/>
      <c r="K15" s="527"/>
    </row>
    <row r="16" spans="1:7" ht="12.75">
      <c r="A16" s="64" t="s">
        <v>14</v>
      </c>
      <c r="B16" s="138">
        <f>B7*B12*B19</f>
        <v>9730</v>
      </c>
      <c r="C16" s="64"/>
      <c r="D16" s="63" t="s">
        <v>36</v>
      </c>
      <c r="G16" s="97" t="s">
        <v>149</v>
      </c>
    </row>
    <row r="17" spans="1:4" ht="12.75">
      <c r="A17" s="63" t="s">
        <v>29</v>
      </c>
      <c r="B17" s="139">
        <f>B13/B16</f>
        <v>1.0749238129496401</v>
      </c>
      <c r="C17" s="64"/>
      <c r="D17" s="63" t="s">
        <v>36</v>
      </c>
    </row>
    <row r="18" spans="1:4" ht="12.75">
      <c r="A18" s="64"/>
      <c r="B18" s="141"/>
      <c r="C18" s="64"/>
      <c r="D18" s="63"/>
    </row>
    <row r="19" spans="1:4" ht="25.5">
      <c r="A19" s="16" t="s">
        <v>38</v>
      </c>
      <c r="B19" s="43">
        <v>0.2</v>
      </c>
      <c r="D19" s="16" t="s">
        <v>45</v>
      </c>
    </row>
    <row r="21" spans="1:5" ht="13.5" thickBot="1">
      <c r="A21" s="18" t="s">
        <v>44</v>
      </c>
      <c r="B21" s="27"/>
      <c r="C21" s="18"/>
      <c r="D21" s="40"/>
      <c r="E21" s="28"/>
    </row>
    <row r="22" spans="1:5" s="45" customFormat="1" ht="12.75">
      <c r="A22" s="45" t="s">
        <v>181</v>
      </c>
      <c r="B22" s="256">
        <f>'Assumptions and Benefits DUATs'!L120</f>
        <v>5107.335877862595</v>
      </c>
      <c r="D22" s="33" t="s">
        <v>175</v>
      </c>
      <c r="E22" s="68" t="s">
        <v>8</v>
      </c>
    </row>
    <row r="23" spans="1:5" s="45" customFormat="1" ht="25.5">
      <c r="A23" s="45" t="s">
        <v>169</v>
      </c>
      <c r="B23" s="217">
        <f>'Crystal Ball Sensitivity'!B8</f>
        <v>0.64</v>
      </c>
      <c r="D23" s="33" t="s">
        <v>157</v>
      </c>
      <c r="E23" s="68" t="s">
        <v>8</v>
      </c>
    </row>
    <row r="24" spans="1:5" s="45" customFormat="1" ht="25.5">
      <c r="A24" s="44" t="s">
        <v>17</v>
      </c>
      <c r="B24" s="45">
        <f>'Assumptions and Benefits DUATs'!D129*B28</f>
        <v>9818</v>
      </c>
      <c r="D24" s="33" t="s">
        <v>23</v>
      </c>
      <c r="E24" s="68" t="s">
        <v>8</v>
      </c>
    </row>
    <row r="25" spans="1:4" s="45" customFormat="1" ht="12.75">
      <c r="A25" s="45" t="s">
        <v>18</v>
      </c>
      <c r="B25" s="143">
        <f>1+'Crystal Ball Sensitivity'!B7</f>
        <v>1.09</v>
      </c>
      <c r="D25" s="35" t="s">
        <v>357</v>
      </c>
    </row>
    <row r="26" spans="2:4" s="45" customFormat="1" ht="12.75">
      <c r="B26" s="143"/>
      <c r="D26" s="33"/>
    </row>
    <row r="27" spans="1:5" s="45" customFormat="1" ht="12.75">
      <c r="A27" s="45" t="s">
        <v>16</v>
      </c>
      <c r="B27" s="217">
        <f>1+'Crystal Ball Sensitivity'!B6*B23</f>
        <v>1.0576</v>
      </c>
      <c r="D27" s="33" t="s">
        <v>8</v>
      </c>
      <c r="E27" s="68" t="s">
        <v>8</v>
      </c>
    </row>
    <row r="28" spans="1:4" ht="24">
      <c r="A28" s="17" t="s">
        <v>42</v>
      </c>
      <c r="B28" s="231">
        <v>4</v>
      </c>
      <c r="D28" s="230" t="s">
        <v>156</v>
      </c>
    </row>
    <row r="29" spans="2:5" ht="12.75">
      <c r="B29" s="17"/>
      <c r="C29" s="235"/>
      <c r="E29" s="16" t="s">
        <v>8</v>
      </c>
    </row>
    <row r="30" spans="1:2" ht="12.75">
      <c r="A30" s="45" t="s">
        <v>173</v>
      </c>
      <c r="B30" s="249">
        <f>'Crystal Ball Sensitivity'!B9</f>
        <v>0.99</v>
      </c>
    </row>
    <row r="31" spans="1:2" ht="12.75">
      <c r="A31" s="45"/>
      <c r="B31" s="17"/>
    </row>
    <row r="32" spans="1:2" ht="12.75">
      <c r="A32" s="218" t="s">
        <v>87</v>
      </c>
      <c r="B32" s="221">
        <f>'Poverty Scorecard'!D16</f>
        <v>1333445</v>
      </c>
    </row>
  </sheetData>
  <sheetProtection/>
  <mergeCells count="1">
    <mergeCell ref="G15:K15"/>
  </mergeCells>
  <hyperlinks>
    <hyperlink ref="G10" r:id="rId1" display="http://en.wikipedia.org/wiki/Agriculture_in_Mozambique"/>
    <hyperlink ref="G11" r:id="rId2" display="http://www.fao.org/fileadmin/templates/tc/tce/pdf/Mozambique_factsheet.pdf"/>
    <hyperlink ref="G16" r:id="rId3" display="http://www.ifdc.org/Nations/Mozambique/Articles/Commercialized-Cassava-Production-in-Mozambique-He/"/>
  </hyperlinks>
  <printOptions/>
  <pageMargins left="0.75" right="0.75" top="1" bottom="1" header="0.5" footer="0.5"/>
  <pageSetup horizontalDpi="600" verticalDpi="600" orientation="portrait" r:id="rId5"/>
  <drawing r:id="rId4"/>
</worksheet>
</file>

<file path=xl/worksheets/sheet8.xml><?xml version="1.0" encoding="utf-8"?>
<worksheet xmlns="http://schemas.openxmlformats.org/spreadsheetml/2006/main" xmlns:r="http://schemas.openxmlformats.org/officeDocument/2006/relationships">
  <dimension ref="A1:Y35"/>
  <sheetViews>
    <sheetView zoomScalePageLayoutView="0" workbookViewId="0" topLeftCell="A7">
      <selection activeCell="H31" sqref="H31"/>
    </sheetView>
  </sheetViews>
  <sheetFormatPr defaultColWidth="9.140625" defaultRowHeight="12.75"/>
  <cols>
    <col min="2" max="2" width="16.00390625" style="0" customWidth="1"/>
    <col min="3" max="3" width="9.28125" style="0" bestFit="1" customWidth="1"/>
    <col min="4" max="4" width="12.421875" style="0" customWidth="1"/>
    <col min="5" max="7" width="11.8515625" style="0" bestFit="1" customWidth="1"/>
    <col min="8" max="8" width="13.57421875" style="0" bestFit="1" customWidth="1"/>
    <col min="9" max="9" width="9.421875" style="0" customWidth="1"/>
  </cols>
  <sheetData>
    <row r="1" ht="12.75">
      <c r="E1" s="488" t="str">
        <f>'User''s Guide'!$D$1</f>
        <v>Last updated: 10/07/2014</v>
      </c>
    </row>
    <row r="3" spans="1:25" s="32" customFormat="1" ht="13.5" thickBot="1">
      <c r="A3" s="30" t="s">
        <v>8</v>
      </c>
      <c r="B3" s="31" t="s">
        <v>3</v>
      </c>
      <c r="C3" s="31">
        <v>1</v>
      </c>
      <c r="D3" s="31">
        <f aca="true" t="shared" si="0" ref="D3:Y3">C3+1</f>
        <v>2</v>
      </c>
      <c r="E3" s="31">
        <f t="shared" si="0"/>
        <v>3</v>
      </c>
      <c r="F3" s="31">
        <f t="shared" si="0"/>
        <v>4</v>
      </c>
      <c r="G3" s="31">
        <f t="shared" si="0"/>
        <v>5</v>
      </c>
      <c r="H3" s="31">
        <f t="shared" si="0"/>
        <v>6</v>
      </c>
      <c r="I3" s="31">
        <f t="shared" si="0"/>
        <v>7</v>
      </c>
      <c r="J3" s="31">
        <f t="shared" si="0"/>
        <v>8</v>
      </c>
      <c r="K3" s="31">
        <f t="shared" si="0"/>
        <v>9</v>
      </c>
      <c r="L3" s="31">
        <f t="shared" si="0"/>
        <v>10</v>
      </c>
      <c r="M3" s="31">
        <f t="shared" si="0"/>
        <v>11</v>
      </c>
      <c r="N3" s="31">
        <f t="shared" si="0"/>
        <v>12</v>
      </c>
      <c r="O3" s="31">
        <f t="shared" si="0"/>
        <v>13</v>
      </c>
      <c r="P3" s="31">
        <f t="shared" si="0"/>
        <v>14</v>
      </c>
      <c r="Q3" s="31">
        <f t="shared" si="0"/>
        <v>15</v>
      </c>
      <c r="R3" s="31">
        <f t="shared" si="0"/>
        <v>16</v>
      </c>
      <c r="S3" s="31">
        <f t="shared" si="0"/>
        <v>17</v>
      </c>
      <c r="T3" s="31">
        <f t="shared" si="0"/>
        <v>18</v>
      </c>
      <c r="U3" s="31">
        <f t="shared" si="0"/>
        <v>19</v>
      </c>
      <c r="V3" s="31">
        <f t="shared" si="0"/>
        <v>20</v>
      </c>
      <c r="W3" s="31">
        <f t="shared" si="0"/>
        <v>21</v>
      </c>
      <c r="X3" s="31">
        <f t="shared" si="0"/>
        <v>22</v>
      </c>
      <c r="Y3" s="31">
        <f t="shared" si="0"/>
        <v>23</v>
      </c>
    </row>
    <row r="4" spans="1:25" s="32" customFormat="1" ht="12.75">
      <c r="A4" s="12"/>
      <c r="B4" s="49" t="s">
        <v>24</v>
      </c>
      <c r="C4" s="11"/>
      <c r="D4" s="11"/>
      <c r="E4" s="11"/>
      <c r="F4" s="11"/>
      <c r="G4" s="11"/>
      <c r="H4" s="52" t="s">
        <v>28</v>
      </c>
      <c r="I4" s="11"/>
      <c r="J4" s="11"/>
      <c r="K4" s="11"/>
      <c r="L4" s="11"/>
      <c r="M4" s="11"/>
      <c r="N4" s="11"/>
      <c r="O4" s="11"/>
      <c r="P4" s="11"/>
      <c r="Q4" s="11"/>
      <c r="R4" s="11"/>
      <c r="S4" s="11"/>
      <c r="T4" s="11"/>
      <c r="U4" s="11"/>
      <c r="V4" s="11"/>
      <c r="W4" s="11"/>
      <c r="X4" s="11"/>
      <c r="Y4" s="11"/>
    </row>
    <row r="5" spans="1:25" s="32" customFormat="1" ht="12.75">
      <c r="A5" s="12"/>
      <c r="B5" s="46" t="s">
        <v>26</v>
      </c>
      <c r="C5" s="11"/>
      <c r="D5" s="11"/>
      <c r="E5" s="11"/>
      <c r="F5" s="11"/>
      <c r="G5" s="11"/>
      <c r="H5" s="53"/>
      <c r="I5" s="11"/>
      <c r="J5" s="11"/>
      <c r="K5" s="11"/>
      <c r="L5" s="11"/>
      <c r="M5" s="11"/>
      <c r="N5" s="11"/>
      <c r="O5" s="11"/>
      <c r="P5" s="11"/>
      <c r="Q5" s="11"/>
      <c r="R5" s="11"/>
      <c r="S5" s="11"/>
      <c r="T5" s="11"/>
      <c r="U5" s="11"/>
      <c r="V5" s="11"/>
      <c r="W5" s="11"/>
      <c r="X5" s="11"/>
      <c r="Y5" s="11"/>
    </row>
    <row r="6" spans="2:8" ht="12.75">
      <c r="B6" s="35" t="s">
        <v>20</v>
      </c>
      <c r="C6">
        <v>0</v>
      </c>
      <c r="D6">
        <v>0</v>
      </c>
      <c r="E6" s="35">
        <v>26</v>
      </c>
      <c r="F6" s="35">
        <v>36</v>
      </c>
      <c r="G6" s="35">
        <v>40</v>
      </c>
      <c r="H6" s="54">
        <f>SUM(E6:G6)</f>
        <v>102</v>
      </c>
    </row>
    <row r="7" spans="2:8" ht="12.75">
      <c r="B7" s="35" t="s">
        <v>19</v>
      </c>
      <c r="C7">
        <v>0</v>
      </c>
      <c r="D7">
        <v>0</v>
      </c>
      <c r="E7">
        <v>11</v>
      </c>
      <c r="F7">
        <v>35</v>
      </c>
      <c r="G7">
        <v>36</v>
      </c>
      <c r="H7" s="54">
        <f>SUM(E7:G7)</f>
        <v>82</v>
      </c>
    </row>
    <row r="8" spans="2:10" ht="15.75" thickBot="1">
      <c r="B8" s="39" t="s">
        <v>21</v>
      </c>
      <c r="C8" s="48">
        <v>0</v>
      </c>
      <c r="D8" s="48">
        <v>0</v>
      </c>
      <c r="E8" s="48">
        <v>9</v>
      </c>
      <c r="F8" s="48">
        <v>23</v>
      </c>
      <c r="G8" s="48">
        <v>46</v>
      </c>
      <c r="H8" s="55">
        <f>SUM(E8:G8)</f>
        <v>78</v>
      </c>
      <c r="J8" s="144"/>
    </row>
    <row r="9" spans="2:10" s="47" customFormat="1" ht="15">
      <c r="B9" s="47" t="s">
        <v>30</v>
      </c>
      <c r="C9" s="47">
        <f aca="true" t="shared" si="1" ref="C9:H9">SUM(C6:C8)</f>
        <v>0</v>
      </c>
      <c r="D9" s="47">
        <f t="shared" si="1"/>
        <v>0</v>
      </c>
      <c r="E9" s="47">
        <f t="shared" si="1"/>
        <v>46</v>
      </c>
      <c r="F9" s="47">
        <f t="shared" si="1"/>
        <v>94</v>
      </c>
      <c r="G9" s="47">
        <f t="shared" si="1"/>
        <v>122</v>
      </c>
      <c r="H9" s="56">
        <f t="shared" si="1"/>
        <v>262</v>
      </c>
      <c r="J9" s="144"/>
    </row>
    <row r="10" spans="2:9" ht="12.75">
      <c r="B10" s="35"/>
      <c r="H10" s="54"/>
      <c r="I10" s="145"/>
    </row>
    <row r="11" spans="2:13" ht="12.75">
      <c r="B11" s="50" t="s">
        <v>27</v>
      </c>
      <c r="H11" s="54"/>
      <c r="M11" s="35" t="s">
        <v>8</v>
      </c>
    </row>
    <row r="12" spans="2:12" ht="12.75">
      <c r="B12" s="35" t="s">
        <v>20</v>
      </c>
      <c r="C12">
        <v>0</v>
      </c>
      <c r="D12">
        <v>0</v>
      </c>
      <c r="E12" s="244">
        <v>154667.7</v>
      </c>
      <c r="F12" s="244">
        <v>92625.67</v>
      </c>
      <c r="G12" s="244">
        <v>224437.3</v>
      </c>
      <c r="H12" s="245">
        <f>SUM(E12:G12)</f>
        <v>471730.67</v>
      </c>
      <c r="I12" s="243"/>
      <c r="L12" s="35" t="s">
        <v>8</v>
      </c>
    </row>
    <row r="13" spans="2:13" ht="12.75">
      <c r="B13" s="35" t="s">
        <v>19</v>
      </c>
      <c r="C13">
        <v>0</v>
      </c>
      <c r="D13">
        <v>0</v>
      </c>
      <c r="E13" s="244">
        <v>654610.1</v>
      </c>
      <c r="F13" s="244">
        <v>329033.3</v>
      </c>
      <c r="G13" s="244">
        <v>370881.2</v>
      </c>
      <c r="H13" s="245">
        <f>SUM(E13:G13)</f>
        <v>1354524.5999999999</v>
      </c>
      <c r="I13" s="243"/>
      <c r="M13" s="35" t="s">
        <v>8</v>
      </c>
    </row>
    <row r="14" spans="2:9" ht="13.5" thickBot="1">
      <c r="B14" s="39" t="s">
        <v>21</v>
      </c>
      <c r="C14" s="48">
        <v>0</v>
      </c>
      <c r="D14" s="48">
        <v>0</v>
      </c>
      <c r="E14" s="247">
        <v>6114.61</v>
      </c>
      <c r="F14" s="247">
        <v>51384.89</v>
      </c>
      <c r="G14" s="247">
        <v>364664.6</v>
      </c>
      <c r="H14" s="248">
        <f>SUM(E14:G14)</f>
        <v>422164.1</v>
      </c>
      <c r="I14" s="243"/>
    </row>
    <row r="15" spans="2:8" s="215" customFormat="1" ht="12.75">
      <c r="B15" s="215" t="s">
        <v>30</v>
      </c>
      <c r="C15" s="215">
        <f aca="true" t="shared" si="2" ref="C15:H15">SUM(C12:C14)</f>
        <v>0</v>
      </c>
      <c r="D15" s="215">
        <f t="shared" si="2"/>
        <v>0</v>
      </c>
      <c r="E15" s="215">
        <f t="shared" si="2"/>
        <v>815392.41</v>
      </c>
      <c r="F15" s="215">
        <f>SUM(F12:F14)</f>
        <v>473043.86</v>
      </c>
      <c r="G15" s="215">
        <f t="shared" si="2"/>
        <v>959983.1</v>
      </c>
      <c r="H15" s="216">
        <f t="shared" si="2"/>
        <v>2248419.3699999996</v>
      </c>
    </row>
    <row r="16" spans="2:12" ht="12.75">
      <c r="B16" s="35"/>
      <c r="H16" s="54"/>
      <c r="L16" s="35" t="s">
        <v>8</v>
      </c>
    </row>
    <row r="17" spans="2:8" ht="12.75">
      <c r="B17" s="50" t="s">
        <v>25</v>
      </c>
      <c r="H17" s="54"/>
    </row>
    <row r="18" spans="2:8" ht="12.75">
      <c r="B18" s="35" t="s">
        <v>20</v>
      </c>
      <c r="C18">
        <v>0</v>
      </c>
      <c r="D18">
        <v>0</v>
      </c>
      <c r="E18">
        <v>4</v>
      </c>
      <c r="F18">
        <v>1</v>
      </c>
      <c r="G18">
        <v>10</v>
      </c>
      <c r="H18" s="54">
        <f aca="true" t="shared" si="3" ref="H18:H26">SUM(E18:G18)</f>
        <v>15</v>
      </c>
    </row>
    <row r="19" spans="2:8" ht="12.75">
      <c r="B19" s="35" t="s">
        <v>19</v>
      </c>
      <c r="C19">
        <v>0</v>
      </c>
      <c r="D19">
        <v>0</v>
      </c>
      <c r="E19">
        <v>4</v>
      </c>
      <c r="F19">
        <v>50</v>
      </c>
      <c r="G19">
        <v>19</v>
      </c>
      <c r="H19" s="54">
        <f t="shared" si="3"/>
        <v>73</v>
      </c>
    </row>
    <row r="20" spans="2:12" ht="13.5" thickBot="1">
      <c r="B20" s="39" t="s">
        <v>21</v>
      </c>
      <c r="C20" s="48">
        <v>0</v>
      </c>
      <c r="D20" s="48">
        <v>0</v>
      </c>
      <c r="E20" s="48">
        <v>3</v>
      </c>
      <c r="F20" s="39">
        <v>15</v>
      </c>
      <c r="G20" s="39">
        <v>33</v>
      </c>
      <c r="H20" s="55">
        <f t="shared" si="3"/>
        <v>51</v>
      </c>
      <c r="L20" s="35" t="s">
        <v>8</v>
      </c>
    </row>
    <row r="21" spans="2:15" s="47" customFormat="1" ht="12.75">
      <c r="B21" s="47" t="s">
        <v>30</v>
      </c>
      <c r="C21" s="47">
        <f aca="true" t="shared" si="4" ref="C21:H21">SUM(C18:C20)</f>
        <v>0</v>
      </c>
      <c r="D21" s="47">
        <f t="shared" si="4"/>
        <v>0</v>
      </c>
      <c r="E21" s="47">
        <f t="shared" si="4"/>
        <v>11</v>
      </c>
      <c r="F21" s="47">
        <f t="shared" si="4"/>
        <v>66</v>
      </c>
      <c r="G21" s="47">
        <f t="shared" si="4"/>
        <v>62</v>
      </c>
      <c r="H21" s="56">
        <f t="shared" si="4"/>
        <v>139</v>
      </c>
      <c r="I21" s="47" t="s">
        <v>8</v>
      </c>
      <c r="J21" s="145" t="s">
        <v>8</v>
      </c>
      <c r="O21" s="47" t="s">
        <v>8</v>
      </c>
    </row>
    <row r="22" s="47" customFormat="1" ht="12.75">
      <c r="H22" s="56"/>
    </row>
    <row r="23" spans="2:16" ht="12.75">
      <c r="B23" s="50" t="s">
        <v>27</v>
      </c>
      <c r="H23" s="54"/>
      <c r="I23" s="35" t="s">
        <v>8</v>
      </c>
      <c r="L23" s="35" t="s">
        <v>8</v>
      </c>
      <c r="N23" s="35" t="s">
        <v>8</v>
      </c>
      <c r="P23" s="35" t="s">
        <v>8</v>
      </c>
    </row>
    <row r="24" spans="2:13" ht="12.75">
      <c r="B24" s="35" t="s">
        <v>20</v>
      </c>
      <c r="C24">
        <v>0</v>
      </c>
      <c r="D24">
        <v>0</v>
      </c>
      <c r="E24" s="244">
        <v>244.99</v>
      </c>
      <c r="F24" s="244">
        <v>240</v>
      </c>
      <c r="G24" s="244">
        <v>481</v>
      </c>
      <c r="H24" s="245">
        <f t="shared" si="3"/>
        <v>965.99</v>
      </c>
      <c r="M24" s="35" t="s">
        <v>8</v>
      </c>
    </row>
    <row r="25" spans="2:10" ht="12.75">
      <c r="B25" s="35" t="s">
        <v>19</v>
      </c>
      <c r="C25">
        <v>0</v>
      </c>
      <c r="D25">
        <v>0</v>
      </c>
      <c r="E25" s="244">
        <v>330.928</v>
      </c>
      <c r="F25" s="244">
        <v>2058.225</v>
      </c>
      <c r="G25" s="244">
        <v>227.457</v>
      </c>
      <c r="H25" s="245">
        <f t="shared" si="3"/>
        <v>2616.6099999999997</v>
      </c>
      <c r="J25" s="35" t="s">
        <v>8</v>
      </c>
    </row>
    <row r="26" spans="2:8" ht="13.5" thickBot="1">
      <c r="B26" s="39" t="s">
        <v>21</v>
      </c>
      <c r="C26" s="48">
        <v>0</v>
      </c>
      <c r="D26" s="48">
        <v>0</v>
      </c>
      <c r="E26" s="246">
        <v>105.8474</v>
      </c>
      <c r="F26" s="247">
        <v>95.4343</v>
      </c>
      <c r="G26" s="247">
        <v>6675.127</v>
      </c>
      <c r="H26" s="248">
        <f t="shared" si="3"/>
        <v>6876.4087</v>
      </c>
    </row>
    <row r="27" spans="2:8" s="47" customFormat="1" ht="12.75">
      <c r="B27" s="47" t="s">
        <v>30</v>
      </c>
      <c r="C27" s="47">
        <f aca="true" t="shared" si="5" ref="C27:H27">SUM(C24:C26)</f>
        <v>0</v>
      </c>
      <c r="D27" s="47">
        <f t="shared" si="5"/>
        <v>0</v>
      </c>
      <c r="E27" s="47">
        <f t="shared" si="5"/>
        <v>681.7654</v>
      </c>
      <c r="F27" s="47">
        <f t="shared" si="5"/>
        <v>2393.6593</v>
      </c>
      <c r="G27" s="47">
        <f t="shared" si="5"/>
        <v>7383.584000000001</v>
      </c>
      <c r="H27" s="214">
        <f t="shared" si="5"/>
        <v>10459.008699999998</v>
      </c>
    </row>
    <row r="28" ht="12.75">
      <c r="H28" s="57"/>
    </row>
    <row r="29" spans="2:8" ht="12.75" customHeight="1" thickBot="1">
      <c r="B29" s="58" t="s">
        <v>31</v>
      </c>
      <c r="C29" s="48"/>
      <c r="D29" s="48"/>
      <c r="E29" s="48"/>
      <c r="F29" s="48"/>
      <c r="G29" s="48"/>
      <c r="H29" s="59"/>
    </row>
    <row r="30" spans="2:11" ht="12.75">
      <c r="B30" s="35" t="s">
        <v>24</v>
      </c>
      <c r="E30" s="51">
        <f>E15/'Assumptions Community'!$B$10</f>
        <v>32620.492537164013</v>
      </c>
      <c r="F30" s="51">
        <f>F15/'Assumptions Community'!$B$10</f>
        <v>18924.536843409245</v>
      </c>
      <c r="G30" s="51">
        <f>G15/'Assumptions Community'!$B$10</f>
        <v>38404.97061942675</v>
      </c>
      <c r="H30" s="51">
        <f>H15/'Assumptions Community'!$B$10</f>
        <v>89950</v>
      </c>
      <c r="I30" s="253">
        <f>SUM(E30:G30)</f>
        <v>89950</v>
      </c>
      <c r="J30" s="158"/>
      <c r="K30" s="158" t="s">
        <v>8</v>
      </c>
    </row>
    <row r="31" spans="2:12" ht="12.75">
      <c r="B31" s="35" t="s">
        <v>25</v>
      </c>
      <c r="E31" s="51">
        <f>E27/'Assumptions Community'!$B$17</f>
        <v>634.2453221212065</v>
      </c>
      <c r="F31" s="51">
        <f>F27/'Assumptions Community'!$B$17</f>
        <v>2226.817632248456</v>
      </c>
      <c r="G31" s="51">
        <f>G27/'Assumptions Community'!$B$17</f>
        <v>6868.9370456303395</v>
      </c>
      <c r="H31" s="51">
        <f>H27/'Assumptions Community'!$B$17</f>
        <v>9730</v>
      </c>
      <c r="I31" s="253">
        <f>SUM(E31:G31)</f>
        <v>9730.000000000002</v>
      </c>
      <c r="L31" s="35" t="s">
        <v>8</v>
      </c>
    </row>
    <row r="33" ht="12.75">
      <c r="B33" s="35" t="s">
        <v>142</v>
      </c>
    </row>
    <row r="34" ht="12.75">
      <c r="N34" s="35" t="s">
        <v>8</v>
      </c>
    </row>
    <row r="35" spans="5:13" ht="12.75">
      <c r="E35" s="157"/>
      <c r="M35" s="35" t="s">
        <v>8</v>
      </c>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Sheet6"/>
  <dimension ref="A1:Y26"/>
  <sheetViews>
    <sheetView zoomScalePageLayoutView="0" workbookViewId="0" topLeftCell="A1">
      <pane xSplit="2" ySplit="7" topLeftCell="C17" activePane="bottomRight" state="frozen"/>
      <selection pane="topLeft" activeCell="A1" sqref="A1"/>
      <selection pane="topRight" activeCell="C1" sqref="C1"/>
      <selection pane="bottomLeft" activeCell="A8" sqref="A8"/>
      <selection pane="bottomRight" activeCell="H17" sqref="H17"/>
    </sheetView>
  </sheetViews>
  <sheetFormatPr defaultColWidth="9.140625" defaultRowHeight="12.75"/>
  <cols>
    <col min="1" max="1" width="43.8515625" style="35" customWidth="1"/>
    <col min="2" max="2" width="4.8515625" style="35" bestFit="1" customWidth="1"/>
    <col min="3" max="3" width="17.28125" style="35" bestFit="1" customWidth="1"/>
    <col min="4" max="22" width="15.00390625" style="35" bestFit="1" customWidth="1"/>
    <col min="23" max="16384" width="9.140625" style="35" customWidth="1"/>
  </cols>
  <sheetData>
    <row r="1" spans="4:7" s="4" customFormat="1" ht="12.75">
      <c r="D1" s="320" t="str">
        <f>'User''s Guide'!$D$1</f>
        <v>Last updated: 10/07/2014</v>
      </c>
      <c r="G1" s="37"/>
    </row>
    <row r="2" spans="1:4" s="4" customFormat="1" ht="39" customHeight="1">
      <c r="A2" s="526" t="s">
        <v>340</v>
      </c>
      <c r="B2" s="526"/>
      <c r="C2" s="526"/>
      <c r="D2" s="526"/>
    </row>
    <row r="3" spans="1:8" s="5" customFormat="1" ht="12.75">
      <c r="A3" s="3" t="s">
        <v>7</v>
      </c>
      <c r="C3" s="5" t="s">
        <v>8</v>
      </c>
      <c r="H3" s="5" t="s">
        <v>8</v>
      </c>
    </row>
    <row r="4" s="5" customFormat="1" ht="12.75">
      <c r="A4" s="38"/>
    </row>
    <row r="5" spans="1:2" s="7" customFormat="1" ht="18" customHeight="1" thickBot="1">
      <c r="A5" s="6"/>
      <c r="B5" s="6"/>
    </row>
    <row r="6" spans="1:22" ht="12.75">
      <c r="A6" s="34"/>
      <c r="B6" s="36"/>
      <c r="C6" s="36"/>
      <c r="D6" s="36"/>
      <c r="E6" s="36"/>
      <c r="F6" s="36"/>
      <c r="G6" s="36"/>
      <c r="H6" s="36"/>
      <c r="I6" s="36"/>
      <c r="J6" s="36"/>
      <c r="K6" s="36"/>
      <c r="L6" s="36"/>
      <c r="M6" s="36"/>
      <c r="N6" s="36"/>
      <c r="O6" s="36"/>
      <c r="P6" s="36"/>
      <c r="Q6" s="36"/>
      <c r="R6" s="36"/>
      <c r="S6" s="36"/>
      <c r="T6" s="36"/>
      <c r="U6" s="36"/>
      <c r="V6" s="36"/>
    </row>
    <row r="7" spans="1:22" s="32" customFormat="1" ht="13.5" thickBot="1">
      <c r="A7" s="30" t="s">
        <v>73</v>
      </c>
      <c r="B7" s="31" t="s">
        <v>3</v>
      </c>
      <c r="C7" s="31">
        <v>1</v>
      </c>
      <c r="D7" s="31">
        <f aca="true" t="shared" si="0" ref="D7:V7">C7+1</f>
        <v>2</v>
      </c>
      <c r="E7" s="31">
        <f t="shared" si="0"/>
        <v>3</v>
      </c>
      <c r="F7" s="31">
        <f t="shared" si="0"/>
        <v>4</v>
      </c>
      <c r="G7" s="31">
        <f t="shared" si="0"/>
        <v>5</v>
      </c>
      <c r="H7" s="31">
        <f t="shared" si="0"/>
        <v>6</v>
      </c>
      <c r="I7" s="31">
        <f t="shared" si="0"/>
        <v>7</v>
      </c>
      <c r="J7" s="31">
        <f t="shared" si="0"/>
        <v>8</v>
      </c>
      <c r="K7" s="31">
        <f t="shared" si="0"/>
        <v>9</v>
      </c>
      <c r="L7" s="31">
        <f t="shared" si="0"/>
        <v>10</v>
      </c>
      <c r="M7" s="31">
        <f t="shared" si="0"/>
        <v>11</v>
      </c>
      <c r="N7" s="31">
        <f t="shared" si="0"/>
        <v>12</v>
      </c>
      <c r="O7" s="31">
        <f t="shared" si="0"/>
        <v>13</v>
      </c>
      <c r="P7" s="31">
        <f t="shared" si="0"/>
        <v>14</v>
      </c>
      <c r="Q7" s="31">
        <f t="shared" si="0"/>
        <v>15</v>
      </c>
      <c r="R7" s="31">
        <f t="shared" si="0"/>
        <v>16</v>
      </c>
      <c r="S7" s="31">
        <f t="shared" si="0"/>
        <v>17</v>
      </c>
      <c r="T7" s="31">
        <f t="shared" si="0"/>
        <v>18</v>
      </c>
      <c r="U7" s="31">
        <f t="shared" si="0"/>
        <v>19</v>
      </c>
      <c r="V7" s="31">
        <f t="shared" si="0"/>
        <v>20</v>
      </c>
    </row>
    <row r="8" spans="1:22" s="32" customFormat="1" ht="12.75">
      <c r="A8" s="12"/>
      <c r="B8" s="11"/>
      <c r="C8" s="11"/>
      <c r="D8" s="11"/>
      <c r="E8" s="11"/>
      <c r="F8" s="11"/>
      <c r="G8" s="11"/>
      <c r="H8" s="11"/>
      <c r="I8" s="11"/>
      <c r="J8" s="11"/>
      <c r="K8" s="11"/>
      <c r="L8" s="11"/>
      <c r="M8" s="11"/>
      <c r="N8" s="11"/>
      <c r="O8" s="11"/>
      <c r="P8" s="11"/>
      <c r="Q8" s="11"/>
      <c r="R8" s="11"/>
      <c r="S8" s="11"/>
      <c r="T8" s="11"/>
      <c r="U8" s="11"/>
      <c r="V8" s="11"/>
    </row>
    <row r="9" ht="12.75">
      <c r="A9" s="60" t="s">
        <v>24</v>
      </c>
    </row>
    <row r="10" spans="1:22" s="190" customFormat="1" ht="12.75">
      <c r="A10" s="189" t="s">
        <v>32</v>
      </c>
      <c r="C10" s="190">
        <f>'Assumptions Community'!$B$9*'Assumptions Community'!$B$22</f>
        <v>459404862.21374047</v>
      </c>
      <c r="D10" s="190">
        <f>'Assumptions Community'!$B$9*'Assumptions Community'!$B$22</f>
        <v>459404862.21374047</v>
      </c>
      <c r="E10" s="190">
        <f>'Assumptions Community'!$B$9*'Assumptions Community'!$B$22</f>
        <v>459404862.21374047</v>
      </c>
      <c r="F10" s="190">
        <f>'Assumptions Community'!$B$9*'Assumptions Community'!$B$22</f>
        <v>459404862.21374047</v>
      </c>
      <c r="G10" s="190">
        <f>'Assumptions Community'!$B$9*'Assumptions Community'!$B$22</f>
        <v>459404862.21374047</v>
      </c>
      <c r="H10" s="190">
        <f>'Assumptions Community'!$B$9*'Assumptions Community'!$B$22</f>
        <v>459404862.21374047</v>
      </c>
      <c r="I10" s="190">
        <f>'Assumptions Community'!$B$9*'Assumptions Community'!$B$22</f>
        <v>459404862.21374047</v>
      </c>
      <c r="J10" s="190">
        <f>'Assumptions Community'!$B$9*'Assumptions Community'!$B$22</f>
        <v>459404862.21374047</v>
      </c>
      <c r="K10" s="190">
        <f>'Assumptions Community'!$B$9*'Assumptions Community'!$B$22</f>
        <v>459404862.21374047</v>
      </c>
      <c r="L10" s="190">
        <f>'Assumptions Community'!$B$9*'Assumptions Community'!$B$22</f>
        <v>459404862.21374047</v>
      </c>
      <c r="M10" s="190">
        <f>'Assumptions Community'!$B$9*'Assumptions Community'!$B$22</f>
        <v>459404862.21374047</v>
      </c>
      <c r="N10" s="190">
        <f>'Assumptions Community'!$B$9*'Assumptions Community'!$B$22</f>
        <v>459404862.21374047</v>
      </c>
      <c r="O10" s="190">
        <f>'Assumptions Community'!$B$9*'Assumptions Community'!$B$22</f>
        <v>459404862.21374047</v>
      </c>
      <c r="P10" s="190">
        <f>'Assumptions Community'!$B$9*'Assumptions Community'!$B$22</f>
        <v>459404862.21374047</v>
      </c>
      <c r="Q10" s="190">
        <f>'Assumptions Community'!$B$9*'Assumptions Community'!$B$22</f>
        <v>459404862.21374047</v>
      </c>
      <c r="R10" s="190">
        <f>'Assumptions Community'!$B$9*'Assumptions Community'!$B$22</f>
        <v>459404862.21374047</v>
      </c>
      <c r="S10" s="190">
        <f>'Assumptions Community'!$B$9*'Assumptions Community'!$B$22</f>
        <v>459404862.21374047</v>
      </c>
      <c r="T10" s="190">
        <f>'Assumptions Community'!$B$9*'Assumptions Community'!$B$22</f>
        <v>459404862.21374047</v>
      </c>
      <c r="U10" s="190">
        <f>'Assumptions Community'!$B$9*'Assumptions Community'!$B$22</f>
        <v>459404862.21374047</v>
      </c>
      <c r="V10" s="190">
        <f>'Assumptions Community'!$B$9*'Assumptions Community'!$B$22</f>
        <v>459404862.21374047</v>
      </c>
    </row>
    <row r="11" spans="1:22" s="190" customFormat="1" ht="12.75">
      <c r="A11" s="189" t="s">
        <v>33</v>
      </c>
      <c r="C11" s="190">
        <f>('Input Community'!$E$30+'Input Community'!$F$30+'Input Community'!$G$30)*'Assumptions Community'!$B$22</f>
        <v>459404862.21374047</v>
      </c>
      <c r="D11" s="190">
        <f>('Input Community'!$E$30+'Input Community'!$F$30+'Input Community'!$G$30)*'Assumptions Community'!$B$22</f>
        <v>459404862.21374047</v>
      </c>
      <c r="E11" s="190">
        <f>('Input Community'!$E$30+'Input Community'!$F$30+'Input Community'!$G$30)*'Assumptions Community'!$B$22</f>
        <v>459404862.21374047</v>
      </c>
      <c r="F11" s="190">
        <f>('Input Community'!$E$30*'Assumptions Community'!$B$27*'Assumptions Community'!$B$30+'Input Community'!$F$30+'Input Community'!$G$30)*'Assumptions Community'!$B$22+('Input Community'!$E$30*(1-'Assumptions Community'!$B$30))</f>
        <v>467239566.0689157</v>
      </c>
      <c r="G11" s="190">
        <f>('Input Community'!$E$30*'Assumptions Community'!$B$27*'Assumptions Community'!$B$30+'Input Community'!$F$30*'Assumptions Community'!$B$27*'Assumptions Community'!$B$30+'Input Community'!$G$30)*'Assumptions Community'!$B$22+(('Input Community'!$E$30+'Input Community'!$F$30)*'Assumptions Community'!B22*(1-'Assumptions Community'!$B$30))</f>
        <v>474416873.73962003</v>
      </c>
      <c r="H11" s="190">
        <f>'Assumptions Community'!$B$9*'Assumptions Community'!$B$22*'Assumptions Community'!$B$27*'Assumptions Community'!$B$30+H10*(1-'Assumptions Community'!$B$30)</f>
        <v>485601965.0766169</v>
      </c>
      <c r="I11" s="190">
        <f>'Assumptions Community'!$B$9*'Assumptions Community'!$B$22*'Assumptions Community'!$B$27*'Assumptions Community'!$B$30+I10*(1-'Assumptions Community'!$B$30)</f>
        <v>485601965.0766169</v>
      </c>
      <c r="J11" s="190">
        <f>'Assumptions Community'!$B$9*'Assumptions Community'!$B$22*'Assumptions Community'!$B$27*'Assumptions Community'!$B$30+J10*(1-'Assumptions Community'!$B$30)</f>
        <v>485601965.0766169</v>
      </c>
      <c r="K11" s="190">
        <f>'Assumptions Community'!$B$9*'Assumptions Community'!$B$22*'Assumptions Community'!$B$27*'Assumptions Community'!$B$30+K10*(1-'Assumptions Community'!$B$30)</f>
        <v>485601965.0766169</v>
      </c>
      <c r="L11" s="190">
        <f>'Assumptions Community'!$B$9*'Assumptions Community'!$B$22*'Assumptions Community'!$B$27*'Assumptions Community'!$B$30+L10*(1-'Assumptions Community'!$B$30)</f>
        <v>485601965.0766169</v>
      </c>
      <c r="M11" s="190">
        <f>'Assumptions Community'!$B$9*'Assumptions Community'!$B$22*'Assumptions Community'!$B$27*'Assumptions Community'!$B$30+M10*(1-'Assumptions Community'!$B$30)</f>
        <v>485601965.0766169</v>
      </c>
      <c r="N11" s="190">
        <f>'Assumptions Community'!$B$9*'Assumptions Community'!$B$22*'Assumptions Community'!$B$27*'Assumptions Community'!$B$30+N10*(1-'Assumptions Community'!$B$30)</f>
        <v>485601965.0766169</v>
      </c>
      <c r="O11" s="190">
        <f>'Assumptions Community'!$B$9*'Assumptions Community'!$B$22*'Assumptions Community'!$B$27*'Assumptions Community'!$B$30+O10*(1-'Assumptions Community'!$B$30)</f>
        <v>485601965.0766169</v>
      </c>
      <c r="P11" s="190">
        <f>'Assumptions Community'!$B$9*'Assumptions Community'!$B$22*'Assumptions Community'!$B$27*'Assumptions Community'!$B$30+P10*(1-'Assumptions Community'!$B$30)</f>
        <v>485601965.0766169</v>
      </c>
      <c r="Q11" s="190">
        <f>'Assumptions Community'!$B$9*'Assumptions Community'!$B$22*'Assumptions Community'!$B$27*'Assumptions Community'!$B$30+Q10*(1-'Assumptions Community'!$B$30)</f>
        <v>485601965.0766169</v>
      </c>
      <c r="R11" s="190">
        <f>'Assumptions Community'!$B$9*'Assumptions Community'!$B$22*'Assumptions Community'!$B$27*'Assumptions Community'!$B$30+R10*(1-'Assumptions Community'!$B$30)</f>
        <v>485601965.0766169</v>
      </c>
      <c r="S11" s="190">
        <f>'Assumptions Community'!$B$9*'Assumptions Community'!$B$22*'Assumptions Community'!$B$27*'Assumptions Community'!$B$30+S10*(1-'Assumptions Community'!$B$30)</f>
        <v>485601965.0766169</v>
      </c>
      <c r="T11" s="190">
        <f>'Assumptions Community'!$B$9*'Assumptions Community'!$B$22*'Assumptions Community'!$B$27*'Assumptions Community'!$B$30+T10*(1-'Assumptions Community'!$B$30)</f>
        <v>485601965.0766169</v>
      </c>
      <c r="U11" s="190">
        <f>'Assumptions Community'!$B$9*'Assumptions Community'!$B$22*'Assumptions Community'!$B$27*'Assumptions Community'!$B$30+U10*(1-'Assumptions Community'!$B$30)</f>
        <v>485601965.0766169</v>
      </c>
      <c r="V11" s="190">
        <f>'Assumptions Community'!$B$9*'Assumptions Community'!$B$22*'Assumptions Community'!$B$27*'Assumptions Community'!$B$30+V10*(1-'Assumptions Community'!$B$30)</f>
        <v>485601965.0766169</v>
      </c>
    </row>
    <row r="12" spans="1:22" s="190" customFormat="1" ht="12.75">
      <c r="A12" s="192" t="s">
        <v>119</v>
      </c>
      <c r="C12" s="190">
        <f>C11-C10</f>
        <v>0</v>
      </c>
      <c r="D12" s="190">
        <f>D11-D10</f>
        <v>0</v>
      </c>
      <c r="E12" s="190">
        <f>E11-E10</f>
        <v>0</v>
      </c>
      <c r="F12" s="190">
        <f aca="true" t="shared" si="1" ref="F12:V12">F11-F10</f>
        <v>7834703.855175257</v>
      </c>
      <c r="G12" s="190">
        <f t="shared" si="1"/>
        <v>15012011.525879562</v>
      </c>
      <c r="H12" s="190">
        <f t="shared" si="1"/>
        <v>26197102.862876415</v>
      </c>
      <c r="I12" s="190">
        <f t="shared" si="1"/>
        <v>26197102.862876415</v>
      </c>
      <c r="J12" s="190">
        <f t="shared" si="1"/>
        <v>26197102.862876415</v>
      </c>
      <c r="K12" s="190">
        <f t="shared" si="1"/>
        <v>26197102.862876415</v>
      </c>
      <c r="L12" s="190">
        <f t="shared" si="1"/>
        <v>26197102.862876415</v>
      </c>
      <c r="M12" s="190">
        <f t="shared" si="1"/>
        <v>26197102.862876415</v>
      </c>
      <c r="N12" s="190">
        <f t="shared" si="1"/>
        <v>26197102.862876415</v>
      </c>
      <c r="O12" s="190">
        <f t="shared" si="1"/>
        <v>26197102.862876415</v>
      </c>
      <c r="P12" s="190">
        <f t="shared" si="1"/>
        <v>26197102.862876415</v>
      </c>
      <c r="Q12" s="190">
        <f t="shared" si="1"/>
        <v>26197102.862876415</v>
      </c>
      <c r="R12" s="190">
        <f t="shared" si="1"/>
        <v>26197102.862876415</v>
      </c>
      <c r="S12" s="190">
        <f t="shared" si="1"/>
        <v>26197102.862876415</v>
      </c>
      <c r="T12" s="190">
        <f t="shared" si="1"/>
        <v>26197102.862876415</v>
      </c>
      <c r="U12" s="190">
        <f t="shared" si="1"/>
        <v>26197102.862876415</v>
      </c>
      <c r="V12" s="190">
        <f t="shared" si="1"/>
        <v>26197102.862876415</v>
      </c>
    </row>
    <row r="14" ht="12.75">
      <c r="G14" s="35" t="s">
        <v>8</v>
      </c>
    </row>
    <row r="15" ht="12.75">
      <c r="A15" s="47" t="s">
        <v>25</v>
      </c>
    </row>
    <row r="16" spans="1:25" s="190" customFormat="1" ht="12.75">
      <c r="A16" s="189" t="s">
        <v>32</v>
      </c>
      <c r="C16" s="190">
        <f>'Assumptions Community'!$B$16*'Assumptions Community'!$B$24</f>
        <v>95529140</v>
      </c>
      <c r="D16" s="190">
        <f>'Assumptions Community'!$B$16*'Assumptions Community'!$B$24</f>
        <v>95529140</v>
      </c>
      <c r="E16" s="190">
        <f>'Assumptions Community'!$B$16*'Assumptions Community'!$B$24</f>
        <v>95529140</v>
      </c>
      <c r="F16" s="190">
        <f>'Assumptions Community'!$B$16*'Assumptions Community'!$B$24</f>
        <v>95529140</v>
      </c>
      <c r="G16" s="190">
        <f>'Assumptions Community'!$B$16*'Assumptions Community'!$B$24</f>
        <v>95529140</v>
      </c>
      <c r="H16" s="190">
        <f>'Assumptions Community'!$B$16*'Assumptions Community'!$B$24</f>
        <v>95529140</v>
      </c>
      <c r="I16" s="190">
        <f>'Assumptions Community'!$B$16*'Assumptions Community'!$B$24</f>
        <v>95529140</v>
      </c>
      <c r="J16" s="190">
        <f>'Assumptions Community'!$B$16*'Assumptions Community'!$B$24</f>
        <v>95529140</v>
      </c>
      <c r="K16" s="190">
        <f>'Assumptions Community'!$B$16*'Assumptions Community'!$B$24</f>
        <v>95529140</v>
      </c>
      <c r="L16" s="190">
        <f>'Assumptions Community'!$B$16*'Assumptions Community'!$B$24</f>
        <v>95529140</v>
      </c>
      <c r="M16" s="190">
        <f>'Assumptions Community'!$B$16*'Assumptions Community'!$B$24</f>
        <v>95529140</v>
      </c>
      <c r="N16" s="190">
        <f>'Assumptions Community'!$B$16*'Assumptions Community'!$B$24</f>
        <v>95529140</v>
      </c>
      <c r="O16" s="190">
        <f>'Assumptions Community'!$B$16*'Assumptions Community'!$B$24</f>
        <v>95529140</v>
      </c>
      <c r="P16" s="190">
        <f>'Assumptions Community'!$B$16*'Assumptions Community'!$B$24</f>
        <v>95529140</v>
      </c>
      <c r="Q16" s="190">
        <f>'Assumptions Community'!$B$16*'Assumptions Community'!$B$24</f>
        <v>95529140</v>
      </c>
      <c r="R16" s="190">
        <f>'Assumptions Community'!$B$16*'Assumptions Community'!$B$24</f>
        <v>95529140</v>
      </c>
      <c r="S16" s="190">
        <f>'Assumptions Community'!$B$16*'Assumptions Community'!$B$24</f>
        <v>95529140</v>
      </c>
      <c r="T16" s="190">
        <f>'Assumptions Community'!$B$16*'Assumptions Community'!$B$24</f>
        <v>95529140</v>
      </c>
      <c r="U16" s="190">
        <f>'Assumptions Community'!$B$16*'Assumptions Community'!$B$24</f>
        <v>95529140</v>
      </c>
      <c r="V16" s="190">
        <f>'Assumptions Community'!$B$16*'Assumptions Community'!$B$24</f>
        <v>95529140</v>
      </c>
      <c r="Y16" s="190" t="s">
        <v>8</v>
      </c>
    </row>
    <row r="17" spans="1:22" s="190" customFormat="1" ht="12.75">
      <c r="A17" s="189" t="s">
        <v>33</v>
      </c>
      <c r="C17" s="190">
        <f>('Input Community'!$E$31+'Input Community'!$F$31+'Input Community'!$G$31)*'Assumptions Community'!$B$24</f>
        <v>95529140.00000001</v>
      </c>
      <c r="D17" s="190">
        <f>('Input Community'!$E$31+'Input Community'!$F$31+'Input Community'!$G$31)*'Assumptions Community'!$B$24</f>
        <v>95529140.00000001</v>
      </c>
      <c r="E17" s="190">
        <f>('Input Community'!$E$31+'Input Community'!$F$31+'Input Community'!$G$31)*'Assumptions Community'!$B$24</f>
        <v>95529140.00000001</v>
      </c>
      <c r="F17" s="190">
        <f>('Input Community'!$E$31*'Assumptions Community'!$B$25*'Assumptions Community'!$B$30+'Input Community'!$F$31+'Input Community'!$G$31)*'Assumptions Community'!$B$24+('Input Community'!$E$31*'Assumptions Community'!$B$24*(1-'Assumptions Community'!B30))</f>
        <v>96083967.53301743</v>
      </c>
      <c r="G17" s="190">
        <f>('Input Community'!$E$31*'Assumptions Community'!$B$25*'Assumptions Community'!$B$30+'Input Community'!$F$31*'Assumptions Community'!$B$25*'Assumptions Community'!$B$30+'Input Community'!$G$31)*'Assumptions Community'!$B$24+('Input Community'!$E$31+'Input Community'!$F$31)*'Assumptions Community'!$B$24*(1-'Assumptions Community'!$B$30)</f>
        <v>98031951.52326274</v>
      </c>
      <c r="H17" s="190">
        <f>'Input Community'!$H$31*'Assumptions Community'!$B$24*'Assumptions Community'!$B$25*('Assumptions Community'!$B$30)+H16*(1-'Assumptions Community'!$B$30)</f>
        <v>104040786.37400001</v>
      </c>
      <c r="I17" s="190">
        <f>'Input Community'!$H$31*'Assumptions Community'!$B$24*'Assumptions Community'!$B$25*('Assumptions Community'!$B$30)+I16*(1-'Assumptions Community'!$B$30)</f>
        <v>104040786.37400001</v>
      </c>
      <c r="J17" s="190">
        <f>'Input Community'!$H$31*'Assumptions Community'!$B$24*'Assumptions Community'!$B$25*('Assumptions Community'!$B$30)+J16*(1-'Assumptions Community'!$B$30)</f>
        <v>104040786.37400001</v>
      </c>
      <c r="K17" s="190">
        <f>'Input Community'!$H$31*'Assumptions Community'!$B$24*'Assumptions Community'!$B$25*('Assumptions Community'!$B$30)+K16*(1-'Assumptions Community'!$B$30)</f>
        <v>104040786.37400001</v>
      </c>
      <c r="L17" s="190">
        <f>'Input Community'!$H$31*'Assumptions Community'!$B$24*'Assumptions Community'!$B$25*('Assumptions Community'!$B$30)+L16*(1-'Assumptions Community'!$B$30)</f>
        <v>104040786.37400001</v>
      </c>
      <c r="M17" s="190">
        <f>'Input Community'!$H$31*'Assumptions Community'!$B$24*'Assumptions Community'!$B$25*('Assumptions Community'!$B$30)+M16*(1-'Assumptions Community'!$B$30)</f>
        <v>104040786.37400001</v>
      </c>
      <c r="N17" s="190">
        <f>'Input Community'!$H$31*'Assumptions Community'!$B$24*'Assumptions Community'!$B$25*('Assumptions Community'!$B$30)+N16*(1-'Assumptions Community'!$B$30)</f>
        <v>104040786.37400001</v>
      </c>
      <c r="O17" s="190">
        <f>'Input Community'!$H$31*'Assumptions Community'!$B$24*'Assumptions Community'!$B$25*('Assumptions Community'!$B$30)+O16*(1-'Assumptions Community'!$B$30)</f>
        <v>104040786.37400001</v>
      </c>
      <c r="P17" s="190">
        <f>'Input Community'!$H$31*'Assumptions Community'!$B$24*'Assumptions Community'!$B$25*('Assumptions Community'!$B$30)+P16*(1-'Assumptions Community'!$B$30)</f>
        <v>104040786.37400001</v>
      </c>
      <c r="Q17" s="190">
        <f>'Input Community'!$H$31*'Assumptions Community'!$B$24*'Assumptions Community'!$B$25*('Assumptions Community'!$B$30)+Q16*(1-'Assumptions Community'!$B$30)</f>
        <v>104040786.37400001</v>
      </c>
      <c r="R17" s="190">
        <f>'Input Community'!$H$31*'Assumptions Community'!$B$24*'Assumptions Community'!$B$25*('Assumptions Community'!$B$30)+R16*(1-'Assumptions Community'!$B$30)</f>
        <v>104040786.37400001</v>
      </c>
      <c r="S17" s="190">
        <f>'Input Community'!$H$31*'Assumptions Community'!$B$24*'Assumptions Community'!$B$25*('Assumptions Community'!$B$30)+S16*(1-'Assumptions Community'!$B$30)</f>
        <v>104040786.37400001</v>
      </c>
      <c r="T17" s="190">
        <f>'Input Community'!$H$31*'Assumptions Community'!$B$24*'Assumptions Community'!$B$25*('Assumptions Community'!$B$30)+T16*(1-'Assumptions Community'!$B$30)</f>
        <v>104040786.37400001</v>
      </c>
      <c r="U17" s="190">
        <f>'Input Community'!$H$31*'Assumptions Community'!$B$24*'Assumptions Community'!$B$25*('Assumptions Community'!$B$30)+U16*(1-'Assumptions Community'!$B$30)</f>
        <v>104040786.37400001</v>
      </c>
      <c r="V17" s="190">
        <f>'Input Community'!$H$31*'Assumptions Community'!$B$24*'Assumptions Community'!$B$25*('Assumptions Community'!$B$30)+V16*(1-'Assumptions Community'!$B$30)</f>
        <v>104040786.37400001</v>
      </c>
    </row>
    <row r="18" spans="1:22" s="190" customFormat="1" ht="12.75">
      <c r="A18" s="192" t="s">
        <v>120</v>
      </c>
      <c r="C18" s="190">
        <f>C17-C16</f>
        <v>0</v>
      </c>
      <c r="D18" s="190">
        <f>D17-D16</f>
        <v>0</v>
      </c>
      <c r="E18" s="190">
        <f>E17-E16</f>
        <v>0</v>
      </c>
      <c r="F18" s="190">
        <f aca="true" t="shared" si="2" ref="F18:V18">F17-F16</f>
        <v>554827.5330174267</v>
      </c>
      <c r="G18" s="190">
        <f t="shared" si="2"/>
        <v>2502811.523262739</v>
      </c>
      <c r="H18" s="190">
        <f t="shared" si="2"/>
        <v>8511646.374000013</v>
      </c>
      <c r="I18" s="190">
        <f t="shared" si="2"/>
        <v>8511646.374000013</v>
      </c>
      <c r="J18" s="190">
        <f t="shared" si="2"/>
        <v>8511646.374000013</v>
      </c>
      <c r="K18" s="190">
        <f t="shared" si="2"/>
        <v>8511646.374000013</v>
      </c>
      <c r="L18" s="190">
        <f t="shared" si="2"/>
        <v>8511646.374000013</v>
      </c>
      <c r="M18" s="190">
        <f t="shared" si="2"/>
        <v>8511646.374000013</v>
      </c>
      <c r="N18" s="190">
        <f t="shared" si="2"/>
        <v>8511646.374000013</v>
      </c>
      <c r="O18" s="190">
        <f t="shared" si="2"/>
        <v>8511646.374000013</v>
      </c>
      <c r="P18" s="190">
        <f t="shared" si="2"/>
        <v>8511646.374000013</v>
      </c>
      <c r="Q18" s="190">
        <f t="shared" si="2"/>
        <v>8511646.374000013</v>
      </c>
      <c r="R18" s="190">
        <f t="shared" si="2"/>
        <v>8511646.374000013</v>
      </c>
      <c r="S18" s="190">
        <f t="shared" si="2"/>
        <v>8511646.374000013</v>
      </c>
      <c r="T18" s="190">
        <f t="shared" si="2"/>
        <v>8511646.374000013</v>
      </c>
      <c r="U18" s="190">
        <f t="shared" si="2"/>
        <v>8511646.374000013</v>
      </c>
      <c r="V18" s="190">
        <f t="shared" si="2"/>
        <v>8511646.374000013</v>
      </c>
    </row>
    <row r="20" spans="1:22" s="191" customFormat="1" ht="12.75">
      <c r="A20" s="191" t="s">
        <v>118</v>
      </c>
      <c r="C20" s="191">
        <f>C12+C18</f>
        <v>0</v>
      </c>
      <c r="D20" s="191">
        <f aca="true" t="shared" si="3" ref="D20:V20">D12+D18</f>
        <v>0</v>
      </c>
      <c r="E20" s="191">
        <f t="shared" si="3"/>
        <v>0</v>
      </c>
      <c r="F20" s="191">
        <f t="shared" si="3"/>
        <v>8389531.388192683</v>
      </c>
      <c r="G20" s="191">
        <f t="shared" si="3"/>
        <v>17514823.0491423</v>
      </c>
      <c r="H20" s="191">
        <f t="shared" si="3"/>
        <v>34708749.23687643</v>
      </c>
      <c r="I20" s="191">
        <f t="shared" si="3"/>
        <v>34708749.23687643</v>
      </c>
      <c r="J20" s="191">
        <f t="shared" si="3"/>
        <v>34708749.23687643</v>
      </c>
      <c r="K20" s="191">
        <f t="shared" si="3"/>
        <v>34708749.23687643</v>
      </c>
      <c r="L20" s="191">
        <f t="shared" si="3"/>
        <v>34708749.23687643</v>
      </c>
      <c r="M20" s="191">
        <f t="shared" si="3"/>
        <v>34708749.23687643</v>
      </c>
      <c r="N20" s="191">
        <f t="shared" si="3"/>
        <v>34708749.23687643</v>
      </c>
      <c r="O20" s="191">
        <f t="shared" si="3"/>
        <v>34708749.23687643</v>
      </c>
      <c r="P20" s="191">
        <f t="shared" si="3"/>
        <v>34708749.23687643</v>
      </c>
      <c r="Q20" s="191">
        <f t="shared" si="3"/>
        <v>34708749.23687643</v>
      </c>
      <c r="R20" s="191">
        <f t="shared" si="3"/>
        <v>34708749.23687643</v>
      </c>
      <c r="S20" s="191">
        <f t="shared" si="3"/>
        <v>34708749.23687643</v>
      </c>
      <c r="T20" s="191">
        <f t="shared" si="3"/>
        <v>34708749.23687643</v>
      </c>
      <c r="U20" s="191">
        <f t="shared" si="3"/>
        <v>34708749.23687643</v>
      </c>
      <c r="V20" s="191">
        <f t="shared" si="3"/>
        <v>34708749.23687643</v>
      </c>
    </row>
    <row r="22" ht="12.75">
      <c r="E22" s="35" t="s">
        <v>8</v>
      </c>
    </row>
    <row r="23" spans="3:18" ht="12.75">
      <c r="C23" s="35" t="s">
        <v>8</v>
      </c>
      <c r="E23" s="35" t="s">
        <v>8</v>
      </c>
      <c r="F23" s="35" t="s">
        <v>8</v>
      </c>
      <c r="G23" s="35" t="s">
        <v>8</v>
      </c>
      <c r="R23" s="35" t="s">
        <v>8</v>
      </c>
    </row>
    <row r="24" ht="12.75" hidden="1"/>
    <row r="25" ht="12.75">
      <c r="G25" s="35" t="s">
        <v>8</v>
      </c>
    </row>
    <row r="26" spans="6:8" ht="12.75">
      <c r="F26" s="35" t="s">
        <v>8</v>
      </c>
      <c r="G26" s="35" t="s">
        <v>8</v>
      </c>
      <c r="H26" s="35" t="s">
        <v>8</v>
      </c>
    </row>
  </sheetData>
  <sheetProtection/>
  <mergeCells count="1">
    <mergeCell ref="A2:D2"/>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Mozambique's Land Tenure Services Project</dc:title>
  <dc:subject/>
  <dc:creator>Millennium Challenge Corporation</dc:creator>
  <cp:keywords/>
  <dc:description/>
  <cp:lastModifiedBy>mcc</cp:lastModifiedBy>
  <dcterms:created xsi:type="dcterms:W3CDTF">2007-01-24T09:20:10Z</dcterms:created>
  <dcterms:modified xsi:type="dcterms:W3CDTF">2014-11-05T19:58:12Z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